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Ex1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codeName="Questa_cartella_di_lavoro" autoCompressPictures="0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2024/Caso Mozart/"/>
    </mc:Choice>
  </mc:AlternateContent>
  <xr:revisionPtr revIDLastSave="0" documentId="13_ncr:1_{E736DC45-4CA5-5345-BD10-1045D28380A8}" xr6:coauthVersionLast="47" xr6:coauthVersionMax="47" xr10:uidLastSave="{00000000-0000-0000-0000-000000000000}"/>
  <bookViews>
    <workbookView xWindow="0" yWindow="0" windowWidth="38400" windowHeight="21600" tabRatio="704" firstSheet="46" activeTab="58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. 4" sheetId="88" r:id="rId9"/>
    <sheet name="Tab 5" sheetId="89" r:id="rId10"/>
    <sheet name="All. 1-2-3" sheetId="91" r:id="rId11"/>
    <sheet name="Tab. 6" sheetId="56" r:id="rId12"/>
    <sheet name="Tab. 7" sheetId="90" r:id="rId13"/>
    <sheet name="Tab. 8" sheetId="92" r:id="rId14"/>
    <sheet name="Tab. 9" sheetId="93" r:id="rId15"/>
    <sheet name="All. 4" sheetId="94" r:id="rId16"/>
    <sheet name="Tab. 10" sheetId="95" r:id="rId17"/>
    <sheet name="Tab. 11" sheetId="96" r:id="rId18"/>
    <sheet name="All. 6" sheetId="97" r:id="rId19"/>
    <sheet name="All. 7" sheetId="98" r:id="rId20"/>
    <sheet name="All. 8" sheetId="99" r:id="rId21"/>
    <sheet name="All. 9" sheetId="100" r:id="rId22"/>
    <sheet name="All. 10" sheetId="101" r:id="rId23"/>
    <sheet name="All. 11" sheetId="102" r:id="rId24"/>
    <sheet name="Tab. 12" sheetId="103" r:id="rId25"/>
    <sheet name="Tab. 13" sheetId="104" r:id="rId26"/>
    <sheet name="Tab. 14" sheetId="105" r:id="rId27"/>
    <sheet name="Tab. 15" sheetId="107" r:id="rId28"/>
    <sheet name="Tab. 16" sheetId="106" r:id="rId29"/>
    <sheet name="Tab. 17" sheetId="108" r:id="rId30"/>
    <sheet name="Mens costi industriali DIR" sheetId="132" r:id="rId31"/>
    <sheet name="Mens costi industriali IND" sheetId="135" r:id="rId32"/>
    <sheet name="All. 12" sheetId="110" r:id="rId33"/>
    <sheet name="Tab. 18" sheetId="109" r:id="rId34"/>
    <sheet name="Tab. 19" sheetId="111" r:id="rId35"/>
    <sheet name="Tab. 20" sheetId="112" r:id="rId36"/>
    <sheet name="Tab. 21" sheetId="113" r:id="rId37"/>
    <sheet name="Tab. 22" sheetId="115" r:id="rId38"/>
    <sheet name="Tab. 23" sheetId="116" r:id="rId39"/>
    <sheet name="CE_1" sheetId="114" r:id="rId40"/>
    <sheet name="CE_2" sheetId="117" r:id="rId41"/>
    <sheet name="CE_3" sheetId="118" r:id="rId42"/>
    <sheet name="CE_1_mens" sheetId="119" r:id="rId43"/>
    <sheet name="CE_2_mens" sheetId="120" r:id="rId44"/>
    <sheet name="CE_3_mens" sheetId="121" r:id="rId45"/>
    <sheet name="All. 13" sheetId="122" r:id="rId46"/>
    <sheet name="All. 14" sheetId="128" r:id="rId47"/>
    <sheet name="30.Entrate Operative" sheetId="123" r:id="rId48"/>
    <sheet name="31.Uscite mp" sheetId="124" r:id="rId49"/>
    <sheet name="32. Uscite altro" sheetId="125" r:id="rId50"/>
    <sheet name="33. Uscite amministratori" sheetId="126" r:id="rId51"/>
    <sheet name="34. Uscite personale" sheetId="127" r:id="rId52"/>
    <sheet name="35. Budget degli investimenti" sheetId="129" r:id="rId53"/>
    <sheet name="36. IVA" sheetId="70" r:id="rId54"/>
    <sheet name="All. 15" sheetId="82" r:id="rId55"/>
    <sheet name="All. 16" sheetId="83" r:id="rId56"/>
    <sheet name="37. Budget dei fin. diretti" sheetId="75" r:id="rId57"/>
    <sheet name="BUDGET FINANZIARIO" sheetId="72" r:id="rId58"/>
    <sheet name="BUDGET PATRIMONIALE" sheetId="73" r:id="rId59"/>
  </sheets>
  <definedNames>
    <definedName name="_xlchart.v1.0" hidden="1">'BUDGET FINANZIARIO'!$H$48:$H$61</definedName>
    <definedName name="_xlchart.v1.1" hidden="1">'BUDGET FINANZIARIO'!$J$48:$J$61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72" l="1"/>
  <c r="I17" i="124"/>
  <c r="I25" i="123"/>
  <c r="Q7" i="86"/>
  <c r="C36" i="75"/>
  <c r="G34" i="118"/>
  <c r="N23" i="135"/>
  <c r="M23" i="135"/>
  <c r="L23" i="135"/>
  <c r="K23" i="135"/>
  <c r="J23" i="135"/>
  <c r="I23" i="135"/>
  <c r="H23" i="135"/>
  <c r="G23" i="135"/>
  <c r="F23" i="135"/>
  <c r="E23" i="135"/>
  <c r="D23" i="135"/>
  <c r="C23" i="135"/>
  <c r="N11" i="135"/>
  <c r="M11" i="135"/>
  <c r="L11" i="135"/>
  <c r="K11" i="135"/>
  <c r="J11" i="135"/>
  <c r="I11" i="135"/>
  <c r="H11" i="135"/>
  <c r="G11" i="135"/>
  <c r="F11" i="135"/>
  <c r="E11" i="135"/>
  <c r="C11" i="135"/>
  <c r="D34" i="104"/>
  <c r="E34" i="104"/>
  <c r="F34" i="104"/>
  <c r="G34" i="104"/>
  <c r="H34" i="104"/>
  <c r="I34" i="104"/>
  <c r="J34" i="104"/>
  <c r="K34" i="104"/>
  <c r="L34" i="104"/>
  <c r="M34" i="104"/>
  <c r="N34" i="104"/>
  <c r="C34" i="104"/>
  <c r="D12" i="104"/>
  <c r="E12" i="104"/>
  <c r="F12" i="104"/>
  <c r="G12" i="104"/>
  <c r="H12" i="104"/>
  <c r="I12" i="104"/>
  <c r="J12" i="104"/>
  <c r="K12" i="104"/>
  <c r="L12" i="104"/>
  <c r="M12" i="104"/>
  <c r="N12" i="104"/>
  <c r="C12" i="104"/>
  <c r="D27" i="106"/>
  <c r="D8" i="96" l="1"/>
  <c r="E8" i="96"/>
  <c r="E10" i="96" s="1"/>
  <c r="F8" i="96"/>
  <c r="F10" i="96" s="1"/>
  <c r="G8" i="96"/>
  <c r="G10" i="96" s="1"/>
  <c r="H8" i="96"/>
  <c r="H10" i="96" s="1"/>
  <c r="I8" i="96"/>
  <c r="I10" i="96" s="1"/>
  <c r="J8" i="96"/>
  <c r="J10" i="96" s="1"/>
  <c r="K8" i="96"/>
  <c r="K10" i="96" s="1"/>
  <c r="L8" i="96"/>
  <c r="L10" i="96" s="1"/>
  <c r="M8" i="96"/>
  <c r="M10" i="96" s="1"/>
  <c r="N8" i="96"/>
  <c r="N10" i="96" s="1"/>
  <c r="D10" i="96"/>
  <c r="C8" i="96"/>
  <c r="O8" i="96" s="1"/>
  <c r="C10" i="96" l="1"/>
  <c r="D23" i="132"/>
  <c r="E23" i="132"/>
  <c r="F23" i="132"/>
  <c r="G23" i="132"/>
  <c r="H23" i="132"/>
  <c r="I23" i="132"/>
  <c r="J23" i="132"/>
  <c r="K23" i="132"/>
  <c r="L23" i="132"/>
  <c r="M23" i="132"/>
  <c r="N23" i="132"/>
  <c r="C23" i="132"/>
  <c r="E11" i="132"/>
  <c r="F11" i="132"/>
  <c r="G11" i="132"/>
  <c r="H11" i="132"/>
  <c r="I11" i="132"/>
  <c r="J11" i="132"/>
  <c r="K11" i="132"/>
  <c r="L11" i="132"/>
  <c r="M11" i="132"/>
  <c r="N11" i="132"/>
  <c r="C11" i="132"/>
  <c r="F9" i="102"/>
  <c r="N68" i="121"/>
  <c r="M68" i="121"/>
  <c r="L68" i="121"/>
  <c r="K68" i="121"/>
  <c r="J68" i="121"/>
  <c r="I68" i="121"/>
  <c r="H68" i="121"/>
  <c r="G68" i="121"/>
  <c r="G71" i="121" s="1"/>
  <c r="F68" i="121"/>
  <c r="F71" i="121" s="1"/>
  <c r="E68" i="121"/>
  <c r="D68" i="121"/>
  <c r="J71" i="121"/>
  <c r="K71" i="121"/>
  <c r="H71" i="121"/>
  <c r="I71" i="121"/>
  <c r="N71" i="121"/>
  <c r="C68" i="121"/>
  <c r="E25" i="125"/>
  <c r="F25" i="125"/>
  <c r="G25" i="125"/>
  <c r="H25" i="125"/>
  <c r="I25" i="125"/>
  <c r="J25" i="125"/>
  <c r="K25" i="125"/>
  <c r="L25" i="125"/>
  <c r="M25" i="125"/>
  <c r="N25" i="125"/>
  <c r="O25" i="125"/>
  <c r="D25" i="125"/>
  <c r="C25" i="125"/>
  <c r="D67" i="121"/>
  <c r="E67" i="121"/>
  <c r="F67" i="121"/>
  <c r="G67" i="121"/>
  <c r="H67" i="121"/>
  <c r="I67" i="121"/>
  <c r="J67" i="121"/>
  <c r="K67" i="121"/>
  <c r="L67" i="121"/>
  <c r="M67" i="121"/>
  <c r="N67" i="121"/>
  <c r="D69" i="121"/>
  <c r="E69" i="121"/>
  <c r="F69" i="121"/>
  <c r="G69" i="121"/>
  <c r="H69" i="121"/>
  <c r="I69" i="121"/>
  <c r="J69" i="121"/>
  <c r="K69" i="121"/>
  <c r="L69" i="121"/>
  <c r="M69" i="121"/>
  <c r="M71" i="121" s="1"/>
  <c r="N69" i="121"/>
  <c r="C69" i="121"/>
  <c r="C67" i="121"/>
  <c r="D97" i="121"/>
  <c r="E97" i="121"/>
  <c r="F97" i="121"/>
  <c r="G97" i="121"/>
  <c r="H97" i="121"/>
  <c r="I97" i="121"/>
  <c r="J97" i="121"/>
  <c r="J109" i="121" s="1"/>
  <c r="K97" i="121"/>
  <c r="K101" i="121" s="1"/>
  <c r="L97" i="121"/>
  <c r="L101" i="121" s="1"/>
  <c r="M97" i="121"/>
  <c r="M101" i="121" s="1"/>
  <c r="N97" i="121"/>
  <c r="N101" i="121" s="1"/>
  <c r="C97" i="121"/>
  <c r="D99" i="121"/>
  <c r="D111" i="121" s="1"/>
  <c r="E99" i="121"/>
  <c r="E111" i="121" s="1"/>
  <c r="F99" i="121"/>
  <c r="G99" i="121"/>
  <c r="H99" i="121"/>
  <c r="I99" i="121"/>
  <c r="J99" i="121"/>
  <c r="K99" i="121"/>
  <c r="L99" i="121"/>
  <c r="M99" i="121"/>
  <c r="N99" i="121"/>
  <c r="F101" i="121"/>
  <c r="G101" i="121"/>
  <c r="H101" i="121"/>
  <c r="I101" i="121"/>
  <c r="J101" i="121"/>
  <c r="D109" i="121"/>
  <c r="E109" i="121"/>
  <c r="F109" i="121"/>
  <c r="G109" i="121"/>
  <c r="H109" i="121"/>
  <c r="I109" i="121"/>
  <c r="D110" i="121"/>
  <c r="E110" i="121"/>
  <c r="F110" i="121"/>
  <c r="G110" i="121"/>
  <c r="H110" i="121"/>
  <c r="I110" i="121"/>
  <c r="J110" i="121"/>
  <c r="K110" i="121"/>
  <c r="L110" i="121"/>
  <c r="M110" i="121"/>
  <c r="N110" i="121"/>
  <c r="F111" i="121"/>
  <c r="G111" i="121"/>
  <c r="H111" i="121"/>
  <c r="I111" i="121"/>
  <c r="J111" i="121"/>
  <c r="K111" i="121"/>
  <c r="L111" i="121"/>
  <c r="M111" i="121"/>
  <c r="N111" i="121"/>
  <c r="C99" i="121"/>
  <c r="C111" i="121"/>
  <c r="C110" i="121"/>
  <c r="E42" i="121"/>
  <c r="F42" i="121"/>
  <c r="G42" i="121"/>
  <c r="H42" i="121"/>
  <c r="I42" i="121"/>
  <c r="J42" i="121"/>
  <c r="K42" i="121"/>
  <c r="L42" i="121"/>
  <c r="M42" i="121"/>
  <c r="N42" i="121"/>
  <c r="D42" i="121"/>
  <c r="D125" i="121"/>
  <c r="D133" i="121" s="1"/>
  <c r="E125" i="121"/>
  <c r="E133" i="121" s="1"/>
  <c r="F125" i="121"/>
  <c r="F133" i="121" s="1"/>
  <c r="G125" i="121"/>
  <c r="G133" i="121" s="1"/>
  <c r="H125" i="121"/>
  <c r="H133" i="121" s="1"/>
  <c r="I125" i="121"/>
  <c r="I133" i="121" s="1"/>
  <c r="J125" i="121"/>
  <c r="J133" i="121" s="1"/>
  <c r="K125" i="121"/>
  <c r="K133" i="121" s="1"/>
  <c r="L125" i="121"/>
  <c r="L133" i="121" s="1"/>
  <c r="M125" i="121"/>
  <c r="M133" i="121" s="1"/>
  <c r="N125" i="121"/>
  <c r="N133" i="121" s="1"/>
  <c r="C125" i="121"/>
  <c r="C133" i="121" s="1"/>
  <c r="C42" i="121"/>
  <c r="P25" i="125" l="1"/>
  <c r="L71" i="121"/>
  <c r="J112" i="121"/>
  <c r="H112" i="121"/>
  <c r="F112" i="121"/>
  <c r="D112" i="121"/>
  <c r="E71" i="121"/>
  <c r="D71" i="121"/>
  <c r="G112" i="121"/>
  <c r="I112" i="121"/>
  <c r="E112" i="121"/>
  <c r="E101" i="121"/>
  <c r="D101" i="121"/>
  <c r="N109" i="121"/>
  <c r="N112" i="121" s="1"/>
  <c r="M109" i="121"/>
  <c r="M112" i="121" s="1"/>
  <c r="L109" i="121"/>
  <c r="L112" i="121" s="1"/>
  <c r="K109" i="121"/>
  <c r="K112" i="121" s="1"/>
  <c r="C109" i="121"/>
  <c r="C101" i="121"/>
  <c r="C71" i="121"/>
  <c r="C4" i="83"/>
  <c r="J2" i="83"/>
  <c r="C15" i="73"/>
  <c r="C9" i="73"/>
  <c r="D26" i="72"/>
  <c r="D27" i="72" s="1"/>
  <c r="E26" i="72"/>
  <c r="E27" i="72" s="1"/>
  <c r="C26" i="72"/>
  <c r="C27" i="72" s="1"/>
  <c r="D13" i="70"/>
  <c r="E13" i="70"/>
  <c r="F13" i="70"/>
  <c r="G13" i="70"/>
  <c r="L13" i="70"/>
  <c r="M13" i="70"/>
  <c r="N13" i="70"/>
  <c r="D20" i="129"/>
  <c r="D23" i="129" s="1"/>
  <c r="G24" i="129" s="1"/>
  <c r="G26" i="72" s="1"/>
  <c r="G27" i="72" s="1"/>
  <c r="E20" i="129"/>
  <c r="E23" i="129" s="1"/>
  <c r="H24" i="129" s="1"/>
  <c r="H26" i="72" s="1"/>
  <c r="H27" i="72" s="1"/>
  <c r="F20" i="129"/>
  <c r="F23" i="129" s="1"/>
  <c r="I24" i="129" s="1"/>
  <c r="I26" i="72" s="1"/>
  <c r="I27" i="72" s="1"/>
  <c r="G20" i="129"/>
  <c r="G23" i="129" s="1"/>
  <c r="J24" i="129" s="1"/>
  <c r="J26" i="72" s="1"/>
  <c r="J27" i="72" s="1"/>
  <c r="H20" i="129"/>
  <c r="H13" i="70" s="1"/>
  <c r="I20" i="129"/>
  <c r="I13" i="70" s="1"/>
  <c r="J20" i="129"/>
  <c r="J13" i="70" s="1"/>
  <c r="K20" i="129"/>
  <c r="K13" i="70" s="1"/>
  <c r="L20" i="129"/>
  <c r="L23" i="129" s="1"/>
  <c r="M20" i="129"/>
  <c r="M23" i="129" s="1"/>
  <c r="N20" i="129"/>
  <c r="N23" i="129" s="1"/>
  <c r="C20" i="129"/>
  <c r="C13" i="70" s="1"/>
  <c r="C8" i="129"/>
  <c r="C23" i="129" s="1"/>
  <c r="C25" i="129" s="1"/>
  <c r="J41" i="98"/>
  <c r="I41" i="98"/>
  <c r="C12" i="129"/>
  <c r="C6" i="73" s="1"/>
  <c r="C7" i="129"/>
  <c r="C10" i="129" s="1"/>
  <c r="D7" i="129" s="1"/>
  <c r="D10" i="129" s="1"/>
  <c r="E7" i="129" s="1"/>
  <c r="C27" i="73"/>
  <c r="C43" i="73"/>
  <c r="C37" i="73"/>
  <c r="N69" i="127"/>
  <c r="N70" i="127"/>
  <c r="N71" i="127"/>
  <c r="D63" i="127"/>
  <c r="E63" i="127"/>
  <c r="F63" i="127"/>
  <c r="G63" i="127"/>
  <c r="H63" i="127"/>
  <c r="I63" i="127"/>
  <c r="J63" i="127"/>
  <c r="K63" i="127"/>
  <c r="L63" i="127"/>
  <c r="M63" i="127"/>
  <c r="C70" i="127"/>
  <c r="D70" i="127"/>
  <c r="E70" i="127"/>
  <c r="F70" i="127"/>
  <c r="G70" i="127"/>
  <c r="I70" i="127"/>
  <c r="J70" i="127"/>
  <c r="K70" i="127"/>
  <c r="L70" i="127"/>
  <c r="M70" i="127"/>
  <c r="N32" i="127"/>
  <c r="M32" i="127"/>
  <c r="L32" i="127"/>
  <c r="K32" i="127"/>
  <c r="J32" i="127"/>
  <c r="I32" i="127"/>
  <c r="G32" i="127"/>
  <c r="F32" i="127"/>
  <c r="E32" i="127"/>
  <c r="D32" i="127"/>
  <c r="C32" i="127"/>
  <c r="C26" i="127"/>
  <c r="D26" i="127"/>
  <c r="E26" i="127"/>
  <c r="F26" i="127"/>
  <c r="G26" i="127"/>
  <c r="H26" i="127"/>
  <c r="I26" i="127"/>
  <c r="J26" i="127"/>
  <c r="K26" i="127"/>
  <c r="L26" i="127"/>
  <c r="M26" i="127"/>
  <c r="I71" i="127"/>
  <c r="J71" i="127"/>
  <c r="K71" i="127"/>
  <c r="L71" i="127"/>
  <c r="M71" i="127"/>
  <c r="D71" i="127"/>
  <c r="E71" i="127"/>
  <c r="F71" i="127"/>
  <c r="G71" i="127"/>
  <c r="C71" i="127"/>
  <c r="D64" i="127"/>
  <c r="E64" i="127"/>
  <c r="F64" i="127"/>
  <c r="G64" i="127"/>
  <c r="H64" i="127"/>
  <c r="I64" i="127"/>
  <c r="J64" i="127"/>
  <c r="K64" i="127"/>
  <c r="L64" i="127"/>
  <c r="M64" i="127"/>
  <c r="C44" i="127"/>
  <c r="I31" i="127"/>
  <c r="I36" i="127" s="1"/>
  <c r="J31" i="127"/>
  <c r="J36" i="127" s="1"/>
  <c r="K31" i="127"/>
  <c r="K36" i="127" s="1"/>
  <c r="L31" i="127"/>
  <c r="L36" i="127" s="1"/>
  <c r="M31" i="127"/>
  <c r="M36" i="127" s="1"/>
  <c r="C31" i="127"/>
  <c r="C36" i="127" s="1"/>
  <c r="D31" i="127"/>
  <c r="D36" i="127" s="1"/>
  <c r="E31" i="127"/>
  <c r="E36" i="127" s="1"/>
  <c r="F31" i="127"/>
  <c r="F36" i="127" s="1"/>
  <c r="G31" i="127"/>
  <c r="G36" i="127" s="1"/>
  <c r="C25" i="127"/>
  <c r="C62" i="127" s="1"/>
  <c r="D25" i="127"/>
  <c r="D62" i="127" s="1"/>
  <c r="E25" i="127"/>
  <c r="E62" i="127" s="1"/>
  <c r="F25" i="127"/>
  <c r="F35" i="127" s="1"/>
  <c r="G25" i="127"/>
  <c r="G62" i="127" s="1"/>
  <c r="H25" i="127"/>
  <c r="H62" i="127" s="1"/>
  <c r="I25" i="127"/>
  <c r="I62" i="127" s="1"/>
  <c r="J25" i="127"/>
  <c r="J62" i="127" s="1"/>
  <c r="K25" i="127"/>
  <c r="K62" i="127" s="1"/>
  <c r="L25" i="127"/>
  <c r="L62" i="127" s="1"/>
  <c r="M25" i="127"/>
  <c r="M62" i="127" s="1"/>
  <c r="C74" i="127"/>
  <c r="C136" i="121" l="1"/>
  <c r="C130" i="121" s="1"/>
  <c r="C106" i="72"/>
  <c r="N106" i="72"/>
  <c r="N136" i="121"/>
  <c r="N130" i="121" s="1"/>
  <c r="L136" i="121"/>
  <c r="L130" i="121" s="1"/>
  <c r="L106" i="72"/>
  <c r="F106" i="72"/>
  <c r="F136" i="121"/>
  <c r="F130" i="121" s="1"/>
  <c r="D106" i="72"/>
  <c r="D136" i="121"/>
  <c r="D130" i="121" s="1"/>
  <c r="E5" i="73"/>
  <c r="K106" i="72"/>
  <c r="K136" i="121"/>
  <c r="K130" i="121" s="1"/>
  <c r="M136" i="121"/>
  <c r="M130" i="121" s="1"/>
  <c r="M106" i="72"/>
  <c r="G106" i="72"/>
  <c r="G136" i="121"/>
  <c r="G130" i="121" s="1"/>
  <c r="J106" i="72"/>
  <c r="J136" i="121"/>
  <c r="J130" i="121" s="1"/>
  <c r="H106" i="72"/>
  <c r="H136" i="121"/>
  <c r="H130" i="121" s="1"/>
  <c r="E136" i="121"/>
  <c r="E130" i="121" s="1"/>
  <c r="E106" i="72"/>
  <c r="I106" i="72"/>
  <c r="I136" i="121"/>
  <c r="I130" i="121" s="1"/>
  <c r="C5" i="73"/>
  <c r="D5" i="73"/>
  <c r="C112" i="121"/>
  <c r="D22" i="129"/>
  <c r="D25" i="129" s="1"/>
  <c r="D9" i="73"/>
  <c r="H23" i="129"/>
  <c r="K24" i="129" s="1"/>
  <c r="K26" i="72" s="1"/>
  <c r="K27" i="72" s="1"/>
  <c r="I23" i="129"/>
  <c r="L24" i="129" s="1"/>
  <c r="L26" i="72" s="1"/>
  <c r="L27" i="72" s="1"/>
  <c r="K23" i="129"/>
  <c r="N24" i="129" s="1"/>
  <c r="N26" i="72" s="1"/>
  <c r="N27" i="72" s="1"/>
  <c r="J23" i="129"/>
  <c r="M24" i="129" s="1"/>
  <c r="M26" i="72" s="1"/>
  <c r="M27" i="72" s="1"/>
  <c r="F24" i="129"/>
  <c r="F26" i="72" s="1"/>
  <c r="F27" i="72" s="1"/>
  <c r="E10" i="129"/>
  <c r="C69" i="127"/>
  <c r="G35" i="127"/>
  <c r="I69" i="127"/>
  <c r="J69" i="127"/>
  <c r="F69" i="127"/>
  <c r="M69" i="127"/>
  <c r="G69" i="127"/>
  <c r="E69" i="127"/>
  <c r="L69" i="127"/>
  <c r="D69" i="127"/>
  <c r="K69" i="127"/>
  <c r="L35" i="127"/>
  <c r="M35" i="127"/>
  <c r="I35" i="127"/>
  <c r="H35" i="127"/>
  <c r="K35" i="127"/>
  <c r="J35" i="127"/>
  <c r="C35" i="127"/>
  <c r="F62" i="127"/>
  <c r="E35" i="127"/>
  <c r="D35" i="127"/>
  <c r="F7" i="129" l="1"/>
  <c r="F10" i="129" s="1"/>
  <c r="F5" i="73"/>
  <c r="C135" i="121"/>
  <c r="C105" i="72"/>
  <c r="E22" i="129"/>
  <c r="E25" i="129" s="1"/>
  <c r="E9" i="73"/>
  <c r="D135" i="121" l="1"/>
  <c r="D105" i="72"/>
  <c r="G7" i="129"/>
  <c r="G10" i="129" s="1"/>
  <c r="G5" i="73"/>
  <c r="F22" i="129"/>
  <c r="F25" i="129" s="1"/>
  <c r="F9" i="73"/>
  <c r="E105" i="72" l="1"/>
  <c r="E135" i="121"/>
  <c r="H7" i="129"/>
  <c r="H10" i="129" s="1"/>
  <c r="H5" i="73"/>
  <c r="G22" i="129"/>
  <c r="G25" i="129" s="1"/>
  <c r="G9" i="73"/>
  <c r="F135" i="121" l="1"/>
  <c r="F105" i="72"/>
  <c r="I7" i="129"/>
  <c r="I10" i="129" s="1"/>
  <c r="I5" i="73"/>
  <c r="H22" i="129"/>
  <c r="H25" i="129" s="1"/>
  <c r="H9" i="73"/>
  <c r="D10" i="126"/>
  <c r="C7" i="126"/>
  <c r="U7" i="125"/>
  <c r="D7" i="126"/>
  <c r="D8" i="126" s="1"/>
  <c r="C35" i="73"/>
  <c r="C17" i="73"/>
  <c r="E270" i="125"/>
  <c r="F270" i="125"/>
  <c r="G270" i="125"/>
  <c r="H270" i="125"/>
  <c r="I270" i="125"/>
  <c r="J270" i="125"/>
  <c r="K270" i="125"/>
  <c r="L270" i="125"/>
  <c r="M270" i="125"/>
  <c r="N270" i="125"/>
  <c r="O270" i="125"/>
  <c r="O254" i="125"/>
  <c r="N254" i="125"/>
  <c r="L254" i="125"/>
  <c r="K254" i="125"/>
  <c r="I254" i="125"/>
  <c r="H254" i="125"/>
  <c r="E254" i="125"/>
  <c r="F254" i="125"/>
  <c r="B258" i="125"/>
  <c r="B269" i="125" s="1"/>
  <c r="D269" i="125"/>
  <c r="J250" i="125"/>
  <c r="K250" i="125"/>
  <c r="M250" i="125"/>
  <c r="N250" i="125"/>
  <c r="G250" i="125"/>
  <c r="H250" i="125"/>
  <c r="B242" i="125"/>
  <c r="B251" i="125" s="1"/>
  <c r="D253" i="125"/>
  <c r="E250" i="125"/>
  <c r="E237" i="125"/>
  <c r="F237" i="125"/>
  <c r="G237" i="125"/>
  <c r="H237" i="125"/>
  <c r="I237" i="125"/>
  <c r="J237" i="125"/>
  <c r="K237" i="125"/>
  <c r="L237" i="125"/>
  <c r="M237" i="125"/>
  <c r="N237" i="125"/>
  <c r="D237" i="125"/>
  <c r="E232" i="125"/>
  <c r="F232" i="125"/>
  <c r="G232" i="125"/>
  <c r="H232" i="125"/>
  <c r="I232" i="125"/>
  <c r="J232" i="125"/>
  <c r="K232" i="125"/>
  <c r="L232" i="125"/>
  <c r="M232" i="125"/>
  <c r="N232" i="125"/>
  <c r="D232" i="125"/>
  <c r="B224" i="125"/>
  <c r="B233" i="125" s="1"/>
  <c r="D235" i="125"/>
  <c r="B208" i="125"/>
  <c r="N221" i="125"/>
  <c r="M221" i="125"/>
  <c r="K221" i="125"/>
  <c r="J221" i="125"/>
  <c r="H221" i="125"/>
  <c r="G221" i="125"/>
  <c r="E221" i="125"/>
  <c r="D221" i="125"/>
  <c r="D219" i="125"/>
  <c r="O216" i="125"/>
  <c r="N216" i="125"/>
  <c r="L216" i="125"/>
  <c r="K216" i="125"/>
  <c r="I216" i="125"/>
  <c r="H216" i="125"/>
  <c r="F216" i="125"/>
  <c r="E216" i="125"/>
  <c r="B192" i="125"/>
  <c r="B206" i="125" s="1"/>
  <c r="N205" i="125"/>
  <c r="J205" i="125"/>
  <c r="H205" i="125"/>
  <c r="D205" i="125"/>
  <c r="D203" i="125"/>
  <c r="O200" i="125"/>
  <c r="K200" i="125"/>
  <c r="I200" i="125"/>
  <c r="E200" i="125"/>
  <c r="B176" i="125"/>
  <c r="B190" i="125" s="1"/>
  <c r="N189" i="125"/>
  <c r="L189" i="125"/>
  <c r="J189" i="125"/>
  <c r="H189" i="125"/>
  <c r="F189" i="125"/>
  <c r="D189" i="125"/>
  <c r="D187" i="125"/>
  <c r="O184" i="125"/>
  <c r="M184" i="125"/>
  <c r="K184" i="125"/>
  <c r="I184" i="125"/>
  <c r="G184" i="125"/>
  <c r="E184" i="125"/>
  <c r="B160" i="125"/>
  <c r="B174" i="125" s="1"/>
  <c r="N173" i="125"/>
  <c r="L173" i="125"/>
  <c r="J173" i="125"/>
  <c r="H173" i="125"/>
  <c r="F173" i="125"/>
  <c r="D173" i="125"/>
  <c r="D171" i="125"/>
  <c r="O168" i="125"/>
  <c r="M168" i="125"/>
  <c r="K168" i="125"/>
  <c r="I168" i="125"/>
  <c r="G168" i="125"/>
  <c r="E168" i="125"/>
  <c r="J157" i="125"/>
  <c r="L157" i="125"/>
  <c r="N157" i="125"/>
  <c r="F157" i="125"/>
  <c r="H157" i="125"/>
  <c r="D157" i="125"/>
  <c r="D155" i="125"/>
  <c r="B144" i="125"/>
  <c r="B153" i="125" s="1"/>
  <c r="K152" i="125"/>
  <c r="B131" i="125"/>
  <c r="B140" i="125" s="1"/>
  <c r="B120" i="125"/>
  <c r="B129" i="125" s="1"/>
  <c r="B109" i="125"/>
  <c r="B118" i="125" s="1"/>
  <c r="B98" i="125"/>
  <c r="B107" i="125" s="1"/>
  <c r="B87" i="125"/>
  <c r="B96" i="125" s="1"/>
  <c r="B76" i="125"/>
  <c r="B85" i="125" s="1"/>
  <c r="B65" i="125"/>
  <c r="B74" i="125" s="1"/>
  <c r="B54" i="125"/>
  <c r="B63" i="125" s="1"/>
  <c r="B43" i="125"/>
  <c r="B52" i="125" s="1"/>
  <c r="B32" i="125"/>
  <c r="B41" i="125" s="1"/>
  <c r="U8" i="125"/>
  <c r="C22" i="125"/>
  <c r="C7" i="125"/>
  <c r="C8" i="125"/>
  <c r="C23" i="125"/>
  <c r="C28" i="125"/>
  <c r="C13" i="125"/>
  <c r="C20" i="125"/>
  <c r="C10" i="125"/>
  <c r="C11" i="125"/>
  <c r="C12" i="125"/>
  <c r="C24" i="125"/>
  <c r="C29" i="125"/>
  <c r="C14" i="125"/>
  <c r="C15" i="125"/>
  <c r="C27" i="125"/>
  <c r="C16" i="125"/>
  <c r="C17" i="125"/>
  <c r="C18" i="125"/>
  <c r="G12" i="125"/>
  <c r="I12" i="125"/>
  <c r="O12" i="125"/>
  <c r="E24" i="125"/>
  <c r="E220" i="125" s="1"/>
  <c r="F24" i="125"/>
  <c r="F220" i="125" s="1"/>
  <c r="L24" i="125"/>
  <c r="L220" i="125" s="1"/>
  <c r="N24" i="125"/>
  <c r="N220" i="125" s="1"/>
  <c r="I29" i="125"/>
  <c r="J29" i="125"/>
  <c r="K29" i="125"/>
  <c r="F14" i="125"/>
  <c r="F105" i="125" s="1"/>
  <c r="H14" i="125"/>
  <c r="N14" i="125"/>
  <c r="O14" i="125"/>
  <c r="E15" i="125"/>
  <c r="L15" i="125"/>
  <c r="M15" i="125"/>
  <c r="N15" i="125"/>
  <c r="O15" i="125"/>
  <c r="K13" i="125"/>
  <c r="L13" i="125"/>
  <c r="M13" i="125"/>
  <c r="N13" i="125"/>
  <c r="O13" i="125"/>
  <c r="D13" i="125"/>
  <c r="E7" i="125"/>
  <c r="F7" i="125"/>
  <c r="G7" i="125"/>
  <c r="H7" i="125"/>
  <c r="I7" i="125"/>
  <c r="J7" i="125"/>
  <c r="K7" i="125"/>
  <c r="L7" i="125"/>
  <c r="M7" i="125"/>
  <c r="N7" i="125"/>
  <c r="O7" i="125"/>
  <c r="E8" i="125"/>
  <c r="F8" i="125"/>
  <c r="G8" i="125"/>
  <c r="H8" i="125"/>
  <c r="I8" i="125"/>
  <c r="J8" i="125"/>
  <c r="K8" i="125"/>
  <c r="L8" i="125"/>
  <c r="M8" i="125"/>
  <c r="N8" i="125"/>
  <c r="O8" i="125"/>
  <c r="E23" i="125"/>
  <c r="E204" i="125" s="1"/>
  <c r="F23" i="125"/>
  <c r="F204" i="125" s="1"/>
  <c r="G23" i="125"/>
  <c r="G204" i="125" s="1"/>
  <c r="H23" i="125"/>
  <c r="H204" i="125" s="1"/>
  <c r="I23" i="125"/>
  <c r="I204" i="125" s="1"/>
  <c r="J23" i="125"/>
  <c r="J204" i="125" s="1"/>
  <c r="K23" i="125"/>
  <c r="K204" i="125" s="1"/>
  <c r="L23" i="125"/>
  <c r="L204" i="125" s="1"/>
  <c r="M23" i="125"/>
  <c r="M204" i="125" s="1"/>
  <c r="N23" i="125"/>
  <c r="N204" i="125" s="1"/>
  <c r="O23" i="125"/>
  <c r="O204" i="125" s="1"/>
  <c r="E28" i="125"/>
  <c r="F28" i="125"/>
  <c r="G28" i="125"/>
  <c r="H28" i="125"/>
  <c r="I28" i="125"/>
  <c r="J28" i="125"/>
  <c r="K28" i="125"/>
  <c r="L28" i="125"/>
  <c r="M28" i="125"/>
  <c r="N28" i="125"/>
  <c r="O28" i="125"/>
  <c r="D28" i="125"/>
  <c r="D23" i="125"/>
  <c r="D204" i="125" s="1"/>
  <c r="D8" i="125"/>
  <c r="D7" i="125"/>
  <c r="C9" i="124"/>
  <c r="D9" i="124"/>
  <c r="E9" i="124"/>
  <c r="F9" i="124"/>
  <c r="G9" i="124"/>
  <c r="C10" i="124"/>
  <c r="D10" i="124"/>
  <c r="E10" i="124"/>
  <c r="F10" i="124"/>
  <c r="I25" i="124" s="1"/>
  <c r="G10" i="124"/>
  <c r="J25" i="124" s="1"/>
  <c r="C11" i="124"/>
  <c r="D11" i="124"/>
  <c r="E11" i="124"/>
  <c r="I32" i="124" s="1"/>
  <c r="F11" i="124"/>
  <c r="J32" i="124" s="1"/>
  <c r="G11" i="124"/>
  <c r="K32" i="124" s="1"/>
  <c r="H10" i="124"/>
  <c r="K25" i="124" s="1"/>
  <c r="H11" i="124"/>
  <c r="L32" i="124" s="1"/>
  <c r="H9" i="124"/>
  <c r="E43" i="122"/>
  <c r="O31" i="123"/>
  <c r="P31" i="123"/>
  <c r="R32" i="123"/>
  <c r="L8" i="72" s="1"/>
  <c r="S32" i="123"/>
  <c r="M8" i="72" s="1"/>
  <c r="T32" i="123"/>
  <c r="N8" i="72" s="1"/>
  <c r="M31" i="123"/>
  <c r="A28" i="123"/>
  <c r="A21" i="123"/>
  <c r="A14" i="123"/>
  <c r="J9" i="123"/>
  <c r="K9" i="123"/>
  <c r="N18" i="123" s="1"/>
  <c r="H6" i="72" s="1"/>
  <c r="L9" i="123"/>
  <c r="O18" i="123" s="1"/>
  <c r="M9" i="123"/>
  <c r="M17" i="123" s="1"/>
  <c r="N9" i="123"/>
  <c r="N17" i="123" s="1"/>
  <c r="O9" i="123"/>
  <c r="O17" i="123" s="1"/>
  <c r="P9" i="123"/>
  <c r="P17" i="123" s="1"/>
  <c r="Q9" i="123"/>
  <c r="Q17" i="123" s="1"/>
  <c r="R9" i="123"/>
  <c r="R17" i="123" s="1"/>
  <c r="S9" i="123"/>
  <c r="S17" i="123" s="1"/>
  <c r="T9" i="123"/>
  <c r="T17" i="123" s="1"/>
  <c r="J10" i="123"/>
  <c r="J24" i="123" s="1"/>
  <c r="K10" i="123"/>
  <c r="K24" i="123" s="1"/>
  <c r="L10" i="123"/>
  <c r="M25" i="123" s="1"/>
  <c r="G7" i="72" s="1"/>
  <c r="M10" i="123"/>
  <c r="N10" i="123"/>
  <c r="O10" i="123"/>
  <c r="P25" i="123" s="1"/>
  <c r="J7" i="72" s="1"/>
  <c r="P10" i="123"/>
  <c r="Q25" i="123" s="1"/>
  <c r="K7" i="72" s="1"/>
  <c r="Q10" i="123"/>
  <c r="R25" i="123" s="1"/>
  <c r="L7" i="72" s="1"/>
  <c r="R10" i="123"/>
  <c r="S25" i="123" s="1"/>
  <c r="M7" i="72" s="1"/>
  <c r="S10" i="123"/>
  <c r="T25" i="123" s="1"/>
  <c r="N7" i="72" s="1"/>
  <c r="T10" i="123"/>
  <c r="T24" i="123" s="1"/>
  <c r="J11" i="123"/>
  <c r="J31" i="123" s="1"/>
  <c r="K11" i="123"/>
  <c r="K31" i="123" s="1"/>
  <c r="L11" i="123"/>
  <c r="L31" i="123" s="1"/>
  <c r="M11" i="123"/>
  <c r="N11" i="123"/>
  <c r="N31" i="123" s="1"/>
  <c r="O11" i="123"/>
  <c r="P11" i="123"/>
  <c r="Q11" i="123"/>
  <c r="Q31" i="123" s="1"/>
  <c r="R11" i="123"/>
  <c r="R31" i="123" s="1"/>
  <c r="S11" i="123"/>
  <c r="S31" i="123" s="1"/>
  <c r="T11" i="123"/>
  <c r="T31" i="123" s="1"/>
  <c r="I10" i="123"/>
  <c r="J25" i="123" s="1"/>
  <c r="D7" i="72" s="1"/>
  <c r="I11" i="123"/>
  <c r="N32" i="123" s="1"/>
  <c r="H8" i="72" s="1"/>
  <c r="I9" i="123"/>
  <c r="L18" i="123" s="1"/>
  <c r="F6" i="72" s="1"/>
  <c r="D9" i="123"/>
  <c r="E9" i="123"/>
  <c r="F9" i="123"/>
  <c r="I18" i="123" s="1"/>
  <c r="C6" i="72" s="1"/>
  <c r="G9" i="123"/>
  <c r="J18" i="123" s="1"/>
  <c r="D6" i="72" s="1"/>
  <c r="H9" i="123"/>
  <c r="K18" i="123" s="1"/>
  <c r="E6" i="72" s="1"/>
  <c r="D10" i="123"/>
  <c r="E10" i="123"/>
  <c r="F10" i="123"/>
  <c r="G10" i="123"/>
  <c r="H10" i="123"/>
  <c r="C7" i="72" s="1"/>
  <c r="D11" i="123"/>
  <c r="I32" i="123" s="1"/>
  <c r="C8" i="72" s="1"/>
  <c r="E11" i="123"/>
  <c r="J32" i="123" s="1"/>
  <c r="D8" i="72" s="1"/>
  <c r="F11" i="123"/>
  <c r="K32" i="123" s="1"/>
  <c r="E8" i="72" s="1"/>
  <c r="G11" i="123"/>
  <c r="L32" i="123" s="1"/>
  <c r="F8" i="72" s="1"/>
  <c r="H11" i="123"/>
  <c r="M32" i="123" s="1"/>
  <c r="G8" i="72" s="1"/>
  <c r="C10" i="123"/>
  <c r="C11" i="123"/>
  <c r="C9" i="123"/>
  <c r="D9" i="122"/>
  <c r="E9" i="122"/>
  <c r="F9" i="122"/>
  <c r="G9" i="122"/>
  <c r="H9" i="122"/>
  <c r="C9" i="122"/>
  <c r="N8" i="121"/>
  <c r="N9" i="121" s="1"/>
  <c r="M8" i="121"/>
  <c r="M9" i="121" s="1"/>
  <c r="L8" i="121"/>
  <c r="L70" i="72" s="1"/>
  <c r="K8" i="121"/>
  <c r="K9" i="121" s="1"/>
  <c r="J8" i="121"/>
  <c r="J70" i="72" s="1"/>
  <c r="I8" i="121"/>
  <c r="I9" i="121" s="1"/>
  <c r="H8" i="121"/>
  <c r="H9" i="121" s="1"/>
  <c r="G8" i="121"/>
  <c r="G9" i="121" s="1"/>
  <c r="F8" i="121"/>
  <c r="F9" i="121" s="1"/>
  <c r="E8" i="121"/>
  <c r="E9" i="121" s="1"/>
  <c r="D8" i="121"/>
  <c r="D9" i="121" s="1"/>
  <c r="C8" i="121"/>
  <c r="K9" i="120"/>
  <c r="K11" i="120" s="1"/>
  <c r="D9" i="120"/>
  <c r="N8" i="120"/>
  <c r="N9" i="120" s="1"/>
  <c r="M8" i="120"/>
  <c r="M9" i="120" s="1"/>
  <c r="L8" i="120"/>
  <c r="L9" i="120" s="1"/>
  <c r="K8" i="120"/>
  <c r="J8" i="120"/>
  <c r="J9" i="120" s="1"/>
  <c r="J11" i="120" s="1"/>
  <c r="I8" i="120"/>
  <c r="I9" i="120" s="1"/>
  <c r="H8" i="120"/>
  <c r="H9" i="120" s="1"/>
  <c r="G8" i="120"/>
  <c r="G9" i="120" s="1"/>
  <c r="F8" i="120"/>
  <c r="F9" i="120" s="1"/>
  <c r="E8" i="120"/>
  <c r="E9" i="120" s="1"/>
  <c r="D8" i="120"/>
  <c r="C8" i="120"/>
  <c r="D8" i="119"/>
  <c r="E8" i="119"/>
  <c r="F8" i="119"/>
  <c r="G8" i="119"/>
  <c r="G9" i="119" s="1"/>
  <c r="H8" i="119"/>
  <c r="H9" i="119" s="1"/>
  <c r="H11" i="119" s="1"/>
  <c r="I8" i="119"/>
  <c r="I9" i="119" s="1"/>
  <c r="J8" i="119"/>
  <c r="J9" i="119" s="1"/>
  <c r="K8" i="119"/>
  <c r="K9" i="119" s="1"/>
  <c r="K11" i="119" s="1"/>
  <c r="L8" i="119"/>
  <c r="L9" i="119" s="1"/>
  <c r="L11" i="119" s="1"/>
  <c r="M8" i="119"/>
  <c r="M9" i="119" s="1"/>
  <c r="N8" i="119"/>
  <c r="N9" i="119" s="1"/>
  <c r="C8" i="119"/>
  <c r="C9" i="119" s="1"/>
  <c r="M9" i="114"/>
  <c r="K9" i="114"/>
  <c r="E9" i="114"/>
  <c r="F9" i="114" s="1"/>
  <c r="C9" i="114"/>
  <c r="G9" i="114" s="1"/>
  <c r="H9" i="114" s="1"/>
  <c r="M9" i="117"/>
  <c r="K9" i="117"/>
  <c r="E9" i="117"/>
  <c r="F9" i="117" s="1"/>
  <c r="C9" i="117"/>
  <c r="G9" i="117" s="1"/>
  <c r="H9" i="117" s="1"/>
  <c r="M9" i="118"/>
  <c r="K9" i="118"/>
  <c r="E9" i="118"/>
  <c r="C9" i="118"/>
  <c r="O9" i="118"/>
  <c r="G9" i="118"/>
  <c r="E8" i="118"/>
  <c r="M8" i="118" s="1"/>
  <c r="C8" i="118"/>
  <c r="K8" i="118" s="1"/>
  <c r="O9" i="117"/>
  <c r="E8" i="117"/>
  <c r="M8" i="117" s="1"/>
  <c r="C8" i="117"/>
  <c r="C11" i="117" s="1"/>
  <c r="O8" i="114"/>
  <c r="O9" i="114"/>
  <c r="M8" i="114"/>
  <c r="K8" i="114"/>
  <c r="E8" i="114"/>
  <c r="C8" i="114"/>
  <c r="D27" i="115"/>
  <c r="E12" i="125" s="1"/>
  <c r="E27" i="115"/>
  <c r="F12" i="125" s="1"/>
  <c r="F27" i="115"/>
  <c r="G27" i="115"/>
  <c r="H12" i="125" s="1"/>
  <c r="H27" i="115"/>
  <c r="I27" i="115"/>
  <c r="J12" i="125" s="1"/>
  <c r="J27" i="115"/>
  <c r="K12" i="125" s="1"/>
  <c r="K27" i="115"/>
  <c r="L12" i="125" s="1"/>
  <c r="L27" i="115"/>
  <c r="M12" i="125" s="1"/>
  <c r="M27" i="115"/>
  <c r="N12" i="125" s="1"/>
  <c r="N27" i="115"/>
  <c r="D28" i="115"/>
  <c r="E28" i="115"/>
  <c r="F28" i="115"/>
  <c r="G24" i="125" s="1"/>
  <c r="G28" i="115"/>
  <c r="H24" i="125" s="1"/>
  <c r="H220" i="125" s="1"/>
  <c r="H28" i="115"/>
  <c r="I24" i="125" s="1"/>
  <c r="I220" i="125" s="1"/>
  <c r="I28" i="115"/>
  <c r="J24" i="125" s="1"/>
  <c r="J28" i="115"/>
  <c r="K24" i="125" s="1"/>
  <c r="K220" i="125" s="1"/>
  <c r="K28" i="115"/>
  <c r="L28" i="115"/>
  <c r="M24" i="125" s="1"/>
  <c r="M220" i="125" s="1"/>
  <c r="M28" i="115"/>
  <c r="N28" i="115"/>
  <c r="O24" i="125" s="1"/>
  <c r="O220" i="125" s="1"/>
  <c r="D29" i="115"/>
  <c r="E29" i="125" s="1"/>
  <c r="E29" i="115"/>
  <c r="F29" i="125" s="1"/>
  <c r="F29" i="115"/>
  <c r="G29" i="125" s="1"/>
  <c r="G29" i="115"/>
  <c r="H29" i="125" s="1"/>
  <c r="H29" i="115"/>
  <c r="I29" i="115"/>
  <c r="J29" i="115"/>
  <c r="K29" i="115"/>
  <c r="L29" i="125" s="1"/>
  <c r="L29" i="115"/>
  <c r="M29" i="125" s="1"/>
  <c r="M29" i="115"/>
  <c r="N29" i="125" s="1"/>
  <c r="N29" i="115"/>
  <c r="O29" i="125" s="1"/>
  <c r="D30" i="115"/>
  <c r="E14" i="125" s="1"/>
  <c r="E105" i="125" s="1"/>
  <c r="E30" i="115"/>
  <c r="F30" i="115"/>
  <c r="G14" i="125" s="1"/>
  <c r="G30" i="115"/>
  <c r="H30" i="115"/>
  <c r="I14" i="125" s="1"/>
  <c r="I30" i="115"/>
  <c r="J14" i="125" s="1"/>
  <c r="J30" i="115"/>
  <c r="K14" i="125" s="1"/>
  <c r="K30" i="115"/>
  <c r="L14" i="125" s="1"/>
  <c r="L30" i="115"/>
  <c r="M14" i="125" s="1"/>
  <c r="M30" i="115"/>
  <c r="N30" i="115"/>
  <c r="D31" i="115"/>
  <c r="E7" i="126" s="1"/>
  <c r="E8" i="126" s="1"/>
  <c r="E11" i="126" s="1"/>
  <c r="E31" i="115"/>
  <c r="F7" i="126" s="1"/>
  <c r="F8" i="126" s="1"/>
  <c r="F11" i="126" s="1"/>
  <c r="F31" i="115"/>
  <c r="G7" i="126" s="1"/>
  <c r="G8" i="126" s="1"/>
  <c r="G11" i="126" s="1"/>
  <c r="G31" i="115"/>
  <c r="H7" i="126" s="1"/>
  <c r="H8" i="126" s="1"/>
  <c r="H11" i="126" s="1"/>
  <c r="H31" i="115"/>
  <c r="I7" i="126" s="1"/>
  <c r="I8" i="126" s="1"/>
  <c r="I11" i="126" s="1"/>
  <c r="I31" i="115"/>
  <c r="J7" i="126" s="1"/>
  <c r="J8" i="126" s="1"/>
  <c r="J11" i="126" s="1"/>
  <c r="J31" i="115"/>
  <c r="K7" i="126" s="1"/>
  <c r="K8" i="126" s="1"/>
  <c r="K11" i="126" s="1"/>
  <c r="K12" i="126" s="1"/>
  <c r="J15" i="72" s="1"/>
  <c r="K31" i="115"/>
  <c r="L7" i="126" s="1"/>
  <c r="L8" i="126" s="1"/>
  <c r="L11" i="126" s="1"/>
  <c r="L12" i="126" s="1"/>
  <c r="K15" i="72" s="1"/>
  <c r="L31" i="115"/>
  <c r="M7" i="126" s="1"/>
  <c r="M8" i="126" s="1"/>
  <c r="M11" i="126" s="1"/>
  <c r="M12" i="126" s="1"/>
  <c r="L15" i="72" s="1"/>
  <c r="M31" i="115"/>
  <c r="N7" i="126" s="1"/>
  <c r="N8" i="126" s="1"/>
  <c r="N11" i="126" s="1"/>
  <c r="N12" i="126" s="1"/>
  <c r="M15" i="72" s="1"/>
  <c r="N31" i="115"/>
  <c r="O7" i="126" s="1"/>
  <c r="O8" i="126" s="1"/>
  <c r="O11" i="126" s="1"/>
  <c r="O12" i="126" s="1"/>
  <c r="N15" i="72" s="1"/>
  <c r="D32" i="115"/>
  <c r="E32" i="115"/>
  <c r="F15" i="125" s="1"/>
  <c r="F32" i="115"/>
  <c r="G15" i="125" s="1"/>
  <c r="G32" i="115"/>
  <c r="H15" i="125" s="1"/>
  <c r="H32" i="115"/>
  <c r="I15" i="125" s="1"/>
  <c r="I32" i="115"/>
  <c r="J15" i="125" s="1"/>
  <c r="J32" i="115"/>
  <c r="K15" i="125" s="1"/>
  <c r="K32" i="115"/>
  <c r="L32" i="115"/>
  <c r="M32" i="115"/>
  <c r="N32" i="115"/>
  <c r="D33" i="115"/>
  <c r="E33" i="115"/>
  <c r="F33" i="115"/>
  <c r="G33" i="115"/>
  <c r="H33" i="115"/>
  <c r="I33" i="115"/>
  <c r="J33" i="115"/>
  <c r="K33" i="115"/>
  <c r="L33" i="115"/>
  <c r="M33" i="115"/>
  <c r="N33" i="115"/>
  <c r="D34" i="115"/>
  <c r="E34" i="115"/>
  <c r="F34" i="115"/>
  <c r="G34" i="115"/>
  <c r="H34" i="115"/>
  <c r="I34" i="115"/>
  <c r="J34" i="115"/>
  <c r="K34" i="115"/>
  <c r="L34" i="115"/>
  <c r="M34" i="115"/>
  <c r="N34" i="115"/>
  <c r="D35" i="115"/>
  <c r="E16" i="125" s="1"/>
  <c r="E35" i="115"/>
  <c r="F16" i="125" s="1"/>
  <c r="F35" i="115"/>
  <c r="G16" i="125" s="1"/>
  <c r="G35" i="115"/>
  <c r="H16" i="125" s="1"/>
  <c r="H35" i="115"/>
  <c r="I16" i="125" s="1"/>
  <c r="I35" i="115"/>
  <c r="J16" i="125" s="1"/>
  <c r="J35" i="115"/>
  <c r="K16" i="125" s="1"/>
  <c r="K35" i="115"/>
  <c r="L16" i="125" s="1"/>
  <c r="L35" i="115"/>
  <c r="M16" i="125" s="1"/>
  <c r="M35" i="115"/>
  <c r="N16" i="125" s="1"/>
  <c r="N35" i="115"/>
  <c r="O16" i="125" s="1"/>
  <c r="D36" i="115"/>
  <c r="E17" i="125" s="1"/>
  <c r="E36" i="115"/>
  <c r="F17" i="125" s="1"/>
  <c r="F36" i="115"/>
  <c r="G17" i="125" s="1"/>
  <c r="G36" i="115"/>
  <c r="H17" i="125" s="1"/>
  <c r="H36" i="115"/>
  <c r="I17" i="125" s="1"/>
  <c r="I36" i="115"/>
  <c r="J17" i="125" s="1"/>
  <c r="J36" i="115"/>
  <c r="K17" i="125" s="1"/>
  <c r="K36" i="115"/>
  <c r="L17" i="125" s="1"/>
  <c r="L36" i="115"/>
  <c r="M17" i="125" s="1"/>
  <c r="M36" i="115"/>
  <c r="N17" i="125" s="1"/>
  <c r="N36" i="115"/>
  <c r="O17" i="125" s="1"/>
  <c r="C36" i="115"/>
  <c r="D17" i="125" s="1"/>
  <c r="C35" i="115"/>
  <c r="C34" i="115"/>
  <c r="C33" i="115"/>
  <c r="C29" i="115"/>
  <c r="D29" i="125" s="1"/>
  <c r="C30" i="115"/>
  <c r="D14" i="125" s="1"/>
  <c r="D105" i="125" s="1"/>
  <c r="E106" i="125" s="1"/>
  <c r="C31" i="115"/>
  <c r="C32" i="115"/>
  <c r="D15" i="125" s="1"/>
  <c r="C28" i="115"/>
  <c r="D24" i="125" s="1"/>
  <c r="D220" i="125" s="1"/>
  <c r="C27" i="115"/>
  <c r="O27" i="115" s="1"/>
  <c r="D16" i="115"/>
  <c r="E13" i="125" s="1"/>
  <c r="E16" i="115"/>
  <c r="F13" i="125" s="1"/>
  <c r="F16" i="115"/>
  <c r="G13" i="125" s="1"/>
  <c r="G16" i="115"/>
  <c r="H13" i="125" s="1"/>
  <c r="H16" i="115"/>
  <c r="I13" i="125" s="1"/>
  <c r="I16" i="115"/>
  <c r="J13" i="125" s="1"/>
  <c r="J16" i="115"/>
  <c r="K16" i="115"/>
  <c r="L16" i="115"/>
  <c r="M16" i="115"/>
  <c r="N16" i="115"/>
  <c r="C16" i="115"/>
  <c r="D25" i="115"/>
  <c r="E25" i="115"/>
  <c r="F25" i="115"/>
  <c r="G25" i="115"/>
  <c r="H25" i="115"/>
  <c r="I25" i="115"/>
  <c r="J25" i="115"/>
  <c r="K25" i="115"/>
  <c r="L25" i="115"/>
  <c r="M25" i="115"/>
  <c r="N25" i="115"/>
  <c r="C25" i="115"/>
  <c r="E17" i="115"/>
  <c r="F17" i="115"/>
  <c r="G17" i="115"/>
  <c r="H17" i="115"/>
  <c r="I17" i="115"/>
  <c r="J17" i="115"/>
  <c r="K17" i="115"/>
  <c r="L17" i="115"/>
  <c r="M17" i="115"/>
  <c r="N17" i="115"/>
  <c r="D17" i="115"/>
  <c r="C17" i="115"/>
  <c r="D11" i="115"/>
  <c r="E11" i="115"/>
  <c r="F11" i="115"/>
  <c r="G11" i="115"/>
  <c r="H11" i="115"/>
  <c r="I11" i="115"/>
  <c r="J11" i="115"/>
  <c r="K11" i="115"/>
  <c r="L11" i="115"/>
  <c r="M11" i="115"/>
  <c r="N11" i="115"/>
  <c r="C11" i="115"/>
  <c r="D10" i="115"/>
  <c r="E10" i="115"/>
  <c r="F10" i="115"/>
  <c r="G10" i="115"/>
  <c r="H10" i="115"/>
  <c r="I10" i="115"/>
  <c r="J10" i="115"/>
  <c r="K10" i="115"/>
  <c r="L10" i="115"/>
  <c r="M10" i="115"/>
  <c r="N10" i="115"/>
  <c r="C10" i="115"/>
  <c r="D9" i="115"/>
  <c r="E9" i="115"/>
  <c r="F9" i="115"/>
  <c r="G9" i="115"/>
  <c r="H9" i="115"/>
  <c r="I9" i="115"/>
  <c r="J9" i="115"/>
  <c r="K9" i="115"/>
  <c r="L9" i="115"/>
  <c r="M9" i="115"/>
  <c r="N9" i="115"/>
  <c r="C9" i="115"/>
  <c r="D8" i="115"/>
  <c r="E8" i="115"/>
  <c r="F8" i="115"/>
  <c r="G8" i="115"/>
  <c r="H8" i="115"/>
  <c r="I8" i="115"/>
  <c r="J8" i="115"/>
  <c r="K8" i="115"/>
  <c r="L8" i="115"/>
  <c r="M8" i="115"/>
  <c r="N8" i="115"/>
  <c r="C8" i="115"/>
  <c r="F8" i="114"/>
  <c r="D8" i="114"/>
  <c r="O14" i="113"/>
  <c r="O15" i="113"/>
  <c r="D14" i="113"/>
  <c r="E14" i="113"/>
  <c r="F14" i="113"/>
  <c r="G14" i="113"/>
  <c r="H14" i="113"/>
  <c r="I14" i="113"/>
  <c r="J14" i="113"/>
  <c r="K14" i="113"/>
  <c r="L14" i="113"/>
  <c r="M14" i="113"/>
  <c r="N14" i="113"/>
  <c r="N16" i="113" s="1"/>
  <c r="D15" i="113"/>
  <c r="D16" i="113" s="1"/>
  <c r="E15" i="113"/>
  <c r="E16" i="113" s="1"/>
  <c r="F15" i="113"/>
  <c r="F16" i="113" s="1"/>
  <c r="G15" i="113"/>
  <c r="G16" i="113" s="1"/>
  <c r="H15" i="113"/>
  <c r="H16" i="113" s="1"/>
  <c r="I15" i="113"/>
  <c r="J15" i="113"/>
  <c r="K15" i="113"/>
  <c r="L15" i="113"/>
  <c r="M15" i="113"/>
  <c r="N15" i="113"/>
  <c r="I16" i="113"/>
  <c r="J16" i="113"/>
  <c r="K16" i="113"/>
  <c r="L16" i="113"/>
  <c r="M16" i="113"/>
  <c r="C16" i="113"/>
  <c r="C15" i="113"/>
  <c r="C14" i="113"/>
  <c r="D11" i="113"/>
  <c r="E11" i="113"/>
  <c r="F11" i="113"/>
  <c r="G11" i="113"/>
  <c r="H11" i="113"/>
  <c r="I11" i="113"/>
  <c r="J11" i="113"/>
  <c r="K11" i="113"/>
  <c r="L11" i="113"/>
  <c r="M11" i="113"/>
  <c r="N11" i="113"/>
  <c r="C11" i="113"/>
  <c r="O11" i="113" s="1"/>
  <c r="D10" i="113"/>
  <c r="E10" i="113"/>
  <c r="F10" i="113"/>
  <c r="G10" i="113"/>
  <c r="H10" i="113"/>
  <c r="I10" i="113"/>
  <c r="J10" i="113"/>
  <c r="K10" i="113"/>
  <c r="L10" i="113"/>
  <c r="M10" i="113"/>
  <c r="N10" i="113"/>
  <c r="C10" i="113"/>
  <c r="D9" i="112"/>
  <c r="E9" i="112"/>
  <c r="F9" i="112"/>
  <c r="G9" i="112"/>
  <c r="H9" i="112"/>
  <c r="I9" i="112"/>
  <c r="J9" i="112"/>
  <c r="K9" i="112"/>
  <c r="L9" i="112"/>
  <c r="M9" i="112"/>
  <c r="N9" i="112"/>
  <c r="C9" i="112"/>
  <c r="O9" i="112" s="1"/>
  <c r="Q39" i="111"/>
  <c r="D36" i="111"/>
  <c r="E36" i="111"/>
  <c r="F36" i="111"/>
  <c r="G36" i="111"/>
  <c r="H36" i="111"/>
  <c r="I36" i="111"/>
  <c r="J36" i="111"/>
  <c r="K36" i="111"/>
  <c r="L36" i="111"/>
  <c r="M36" i="111"/>
  <c r="N36" i="111"/>
  <c r="D37" i="111"/>
  <c r="D39" i="111" s="1"/>
  <c r="E37" i="111"/>
  <c r="E39" i="111" s="1"/>
  <c r="F37" i="111"/>
  <c r="F39" i="111" s="1"/>
  <c r="G37" i="111"/>
  <c r="G39" i="111" s="1"/>
  <c r="H37" i="111"/>
  <c r="H39" i="111" s="1"/>
  <c r="I37" i="111"/>
  <c r="J37" i="111"/>
  <c r="K37" i="111"/>
  <c r="L37" i="111"/>
  <c r="M37" i="111"/>
  <c r="N37" i="111"/>
  <c r="D38" i="111"/>
  <c r="E38" i="111"/>
  <c r="F38" i="111"/>
  <c r="G38" i="111"/>
  <c r="H38" i="111"/>
  <c r="I38" i="111"/>
  <c r="I39" i="111" s="1"/>
  <c r="J38" i="111"/>
  <c r="J39" i="111" s="1"/>
  <c r="K38" i="111"/>
  <c r="K39" i="111" s="1"/>
  <c r="L38" i="111"/>
  <c r="L39" i="111" s="1"/>
  <c r="M38" i="111"/>
  <c r="M39" i="111" s="1"/>
  <c r="N38" i="111"/>
  <c r="N39" i="111"/>
  <c r="C37" i="111"/>
  <c r="C38" i="111"/>
  <c r="C36" i="111"/>
  <c r="C39" i="111"/>
  <c r="D31" i="111"/>
  <c r="E31" i="111"/>
  <c r="F31" i="111"/>
  <c r="G31" i="111"/>
  <c r="H31" i="111"/>
  <c r="I31" i="111"/>
  <c r="J31" i="111"/>
  <c r="K31" i="111"/>
  <c r="L31" i="111"/>
  <c r="M31" i="111"/>
  <c r="N31" i="111"/>
  <c r="C31" i="111"/>
  <c r="D29" i="111"/>
  <c r="E29" i="111"/>
  <c r="F29" i="111"/>
  <c r="G29" i="111"/>
  <c r="H29" i="111"/>
  <c r="I29" i="111"/>
  <c r="J29" i="111"/>
  <c r="K29" i="111"/>
  <c r="L29" i="111"/>
  <c r="M29" i="111"/>
  <c r="N29" i="111"/>
  <c r="C29" i="111"/>
  <c r="D22" i="111"/>
  <c r="E22" i="111"/>
  <c r="F22" i="111"/>
  <c r="G22" i="111"/>
  <c r="H22" i="111"/>
  <c r="I22" i="111"/>
  <c r="J22" i="111"/>
  <c r="K22" i="111"/>
  <c r="L22" i="111"/>
  <c r="M22" i="111"/>
  <c r="N22" i="111"/>
  <c r="C22" i="111"/>
  <c r="N130" i="109"/>
  <c r="N131" i="109"/>
  <c r="O30" i="111"/>
  <c r="C8" i="111"/>
  <c r="D8" i="111"/>
  <c r="E8" i="111"/>
  <c r="F8" i="111"/>
  <c r="G8" i="111"/>
  <c r="H8" i="111"/>
  <c r="I8" i="111"/>
  <c r="J8" i="111"/>
  <c r="K8" i="111"/>
  <c r="L8" i="111"/>
  <c r="M8" i="111"/>
  <c r="N8" i="111"/>
  <c r="C9" i="111"/>
  <c r="C16" i="111" s="1"/>
  <c r="C10" i="111"/>
  <c r="N10" i="111"/>
  <c r="M10" i="111"/>
  <c r="L10" i="111"/>
  <c r="K10" i="111"/>
  <c r="J10" i="111"/>
  <c r="I10" i="111"/>
  <c r="H10" i="111"/>
  <c r="G10" i="111"/>
  <c r="F10" i="111"/>
  <c r="E10" i="111"/>
  <c r="D10" i="111"/>
  <c r="N9" i="111"/>
  <c r="N16" i="111" s="1"/>
  <c r="M9" i="111"/>
  <c r="M16" i="111" s="1"/>
  <c r="L9" i="111"/>
  <c r="L16" i="111" s="1"/>
  <c r="K9" i="111"/>
  <c r="K16" i="111" s="1"/>
  <c r="J9" i="111"/>
  <c r="J16" i="111" s="1"/>
  <c r="I9" i="111"/>
  <c r="I16" i="111" s="1"/>
  <c r="H9" i="111"/>
  <c r="H16" i="111" s="1"/>
  <c r="G9" i="111"/>
  <c r="G16" i="111" s="1"/>
  <c r="F9" i="111"/>
  <c r="F16" i="111" s="1"/>
  <c r="E9" i="111"/>
  <c r="E16" i="111" s="1"/>
  <c r="D9" i="111"/>
  <c r="D16" i="111" s="1"/>
  <c r="J148" i="109"/>
  <c r="I148" i="109"/>
  <c r="J147" i="109"/>
  <c r="I147" i="109"/>
  <c r="J146" i="109"/>
  <c r="I146" i="109"/>
  <c r="J145" i="109"/>
  <c r="I145" i="109"/>
  <c r="J144" i="109"/>
  <c r="I144" i="109"/>
  <c r="J143" i="109"/>
  <c r="I143" i="109"/>
  <c r="J142" i="109"/>
  <c r="I142" i="109"/>
  <c r="J141" i="109"/>
  <c r="I141" i="109"/>
  <c r="J140" i="109"/>
  <c r="I140" i="109"/>
  <c r="J139" i="109"/>
  <c r="I139" i="109"/>
  <c r="J138" i="109"/>
  <c r="I138" i="109"/>
  <c r="J137" i="109"/>
  <c r="I137" i="109"/>
  <c r="J131" i="109"/>
  <c r="I131" i="109"/>
  <c r="K131" i="109" s="1"/>
  <c r="M131" i="109" s="1"/>
  <c r="J130" i="109"/>
  <c r="I130" i="109"/>
  <c r="K130" i="109" s="1"/>
  <c r="M130" i="109" s="1"/>
  <c r="J129" i="109"/>
  <c r="I129" i="109"/>
  <c r="K129" i="109" s="1"/>
  <c r="M129" i="109" s="1"/>
  <c r="N129" i="109" s="1"/>
  <c r="J128" i="109"/>
  <c r="I128" i="109"/>
  <c r="K128" i="109" s="1"/>
  <c r="M128" i="109" s="1"/>
  <c r="N128" i="109" s="1"/>
  <c r="J127" i="109"/>
  <c r="I127" i="109"/>
  <c r="K127" i="109" s="1"/>
  <c r="M127" i="109" s="1"/>
  <c r="N127" i="109" s="1"/>
  <c r="J126" i="109"/>
  <c r="I126" i="109"/>
  <c r="K126" i="109" s="1"/>
  <c r="M126" i="109" s="1"/>
  <c r="N126" i="109" s="1"/>
  <c r="J125" i="109"/>
  <c r="I125" i="109"/>
  <c r="C148" i="109"/>
  <c r="D147" i="109"/>
  <c r="C147" i="109"/>
  <c r="D146" i="109"/>
  <c r="C146" i="109"/>
  <c r="D145" i="109"/>
  <c r="C145" i="109"/>
  <c r="D144" i="109"/>
  <c r="C144" i="109"/>
  <c r="D143" i="109"/>
  <c r="C143" i="109"/>
  <c r="D142" i="109"/>
  <c r="C142" i="109"/>
  <c r="D141" i="109"/>
  <c r="C141" i="109"/>
  <c r="D140" i="109"/>
  <c r="C140" i="109"/>
  <c r="D139" i="109"/>
  <c r="C139" i="109"/>
  <c r="D138" i="109"/>
  <c r="C138" i="109"/>
  <c r="D137" i="109"/>
  <c r="C137" i="109"/>
  <c r="D131" i="109"/>
  <c r="C131" i="109"/>
  <c r="D130" i="109"/>
  <c r="C130" i="109"/>
  <c r="D129" i="109"/>
  <c r="C129" i="109"/>
  <c r="D128" i="109"/>
  <c r="C128" i="109"/>
  <c r="D127" i="109"/>
  <c r="C127" i="109"/>
  <c r="D126" i="109"/>
  <c r="C126" i="109"/>
  <c r="D125" i="109"/>
  <c r="C125" i="109"/>
  <c r="C10" i="109"/>
  <c r="D10" i="109"/>
  <c r="C11" i="109"/>
  <c r="D11" i="109"/>
  <c r="C12" i="109"/>
  <c r="D12" i="109"/>
  <c r="C13" i="109"/>
  <c r="D13" i="109"/>
  <c r="C14" i="109"/>
  <c r="D14" i="109"/>
  <c r="C15" i="109"/>
  <c r="D15" i="109"/>
  <c r="C16" i="109"/>
  <c r="D16" i="109"/>
  <c r="C17" i="109"/>
  <c r="D17" i="109"/>
  <c r="C18" i="109"/>
  <c r="D18" i="109"/>
  <c r="C19" i="109"/>
  <c r="D19" i="109"/>
  <c r="C20" i="109"/>
  <c r="D20" i="109"/>
  <c r="C21" i="109"/>
  <c r="D21" i="109"/>
  <c r="C22" i="109"/>
  <c r="D22" i="109"/>
  <c r="C23" i="109"/>
  <c r="D23" i="109"/>
  <c r="C24" i="109"/>
  <c r="D24" i="109"/>
  <c r="C25" i="109"/>
  <c r="D25" i="109"/>
  <c r="C26" i="109"/>
  <c r="D26" i="109"/>
  <c r="C27" i="109"/>
  <c r="D27" i="109"/>
  <c r="C28" i="109"/>
  <c r="D28" i="109"/>
  <c r="C29" i="109"/>
  <c r="D29" i="109"/>
  <c r="C30" i="109"/>
  <c r="D30" i="109"/>
  <c r="C31" i="109"/>
  <c r="D31" i="109"/>
  <c r="C32" i="109"/>
  <c r="D32" i="109"/>
  <c r="C33" i="109"/>
  <c r="D33" i="109"/>
  <c r="C34" i="109"/>
  <c r="D34" i="109"/>
  <c r="C35" i="109"/>
  <c r="D35" i="109"/>
  <c r="C36" i="109"/>
  <c r="D36" i="109"/>
  <c r="C37" i="109"/>
  <c r="D37" i="109"/>
  <c r="C38" i="109"/>
  <c r="D38" i="109"/>
  <c r="C39" i="109"/>
  <c r="D39" i="109"/>
  <c r="C40" i="109"/>
  <c r="D40" i="109"/>
  <c r="C41" i="109"/>
  <c r="D41" i="109"/>
  <c r="C42" i="109"/>
  <c r="D42" i="109"/>
  <c r="C43" i="109"/>
  <c r="D43" i="109"/>
  <c r="C44" i="109"/>
  <c r="D44" i="109"/>
  <c r="C45" i="109"/>
  <c r="D45" i="109"/>
  <c r="C46" i="109"/>
  <c r="D46" i="109"/>
  <c r="C47" i="109"/>
  <c r="D47" i="109"/>
  <c r="C48" i="109"/>
  <c r="D48" i="109"/>
  <c r="C49" i="109"/>
  <c r="D49" i="109"/>
  <c r="C50" i="109"/>
  <c r="D50" i="109"/>
  <c r="C51" i="109"/>
  <c r="D51" i="109"/>
  <c r="C52" i="109"/>
  <c r="D52" i="109"/>
  <c r="C53" i="109"/>
  <c r="D53" i="109"/>
  <c r="C54" i="109"/>
  <c r="D54" i="109"/>
  <c r="C56" i="109"/>
  <c r="D56" i="109"/>
  <c r="C57" i="109"/>
  <c r="D57" i="109"/>
  <c r="C58" i="109"/>
  <c r="D58" i="109"/>
  <c r="C59" i="109"/>
  <c r="D59" i="109"/>
  <c r="C60" i="109"/>
  <c r="D60" i="109"/>
  <c r="C61" i="109"/>
  <c r="D61" i="109"/>
  <c r="C62" i="109"/>
  <c r="D62" i="109"/>
  <c r="C63" i="109"/>
  <c r="D63" i="109"/>
  <c r="C64" i="109"/>
  <c r="D64" i="109"/>
  <c r="C65" i="109"/>
  <c r="D65" i="109"/>
  <c r="C66" i="109"/>
  <c r="D66" i="109"/>
  <c r="C67" i="109"/>
  <c r="D67" i="109"/>
  <c r="C68" i="109"/>
  <c r="D68" i="109"/>
  <c r="C69" i="109"/>
  <c r="D69" i="109"/>
  <c r="C70" i="109"/>
  <c r="D70" i="109"/>
  <c r="C71" i="109"/>
  <c r="D71" i="109"/>
  <c r="C72" i="109"/>
  <c r="D72" i="109"/>
  <c r="C73" i="109"/>
  <c r="D73" i="109"/>
  <c r="C74" i="109"/>
  <c r="D74" i="109"/>
  <c r="C75" i="109"/>
  <c r="D75" i="109"/>
  <c r="C76" i="109"/>
  <c r="D76" i="109"/>
  <c r="C77" i="109"/>
  <c r="D77" i="109"/>
  <c r="C78" i="109"/>
  <c r="D78" i="109"/>
  <c r="C79" i="109"/>
  <c r="D79" i="109"/>
  <c r="C80" i="109"/>
  <c r="D80" i="109"/>
  <c r="C81" i="109"/>
  <c r="D81" i="109"/>
  <c r="C82" i="109"/>
  <c r="D82" i="109"/>
  <c r="C83" i="109"/>
  <c r="D83" i="109"/>
  <c r="C84" i="109"/>
  <c r="D84" i="109"/>
  <c r="C85" i="109"/>
  <c r="D85" i="109"/>
  <c r="C86" i="109"/>
  <c r="D86" i="109"/>
  <c r="C87" i="109"/>
  <c r="D87" i="109"/>
  <c r="C88" i="109"/>
  <c r="D88" i="109"/>
  <c r="C89" i="109"/>
  <c r="D89" i="109"/>
  <c r="C90" i="109"/>
  <c r="D90" i="109"/>
  <c r="C91" i="109"/>
  <c r="D91" i="109"/>
  <c r="C92" i="109"/>
  <c r="D92" i="109"/>
  <c r="C93" i="109"/>
  <c r="D93" i="109"/>
  <c r="C94" i="109"/>
  <c r="D94" i="109"/>
  <c r="C95" i="109"/>
  <c r="D95" i="109"/>
  <c r="C96" i="109"/>
  <c r="D96" i="109"/>
  <c r="C97" i="109"/>
  <c r="D97" i="109"/>
  <c r="C98" i="109"/>
  <c r="D98" i="109"/>
  <c r="C99" i="109"/>
  <c r="D99" i="109"/>
  <c r="C100" i="109"/>
  <c r="D100" i="109"/>
  <c r="C101" i="109"/>
  <c r="D101" i="109"/>
  <c r="C102" i="109"/>
  <c r="D102" i="109"/>
  <c r="C103" i="109"/>
  <c r="D103" i="109"/>
  <c r="C104" i="109"/>
  <c r="D104" i="109"/>
  <c r="C105" i="109"/>
  <c r="D105" i="109"/>
  <c r="C106" i="109"/>
  <c r="D106" i="109"/>
  <c r="C107" i="109"/>
  <c r="D107" i="109"/>
  <c r="C108" i="109"/>
  <c r="D108" i="109"/>
  <c r="C109" i="109"/>
  <c r="D109" i="109"/>
  <c r="C110" i="109"/>
  <c r="D110" i="109"/>
  <c r="C111" i="109"/>
  <c r="D111" i="109"/>
  <c r="C112" i="109"/>
  <c r="D112" i="109"/>
  <c r="C113" i="109"/>
  <c r="D113" i="109"/>
  <c r="C114" i="109"/>
  <c r="D114" i="109"/>
  <c r="C115" i="109"/>
  <c r="D115" i="109"/>
  <c r="C116" i="109"/>
  <c r="D116" i="109"/>
  <c r="C117" i="109"/>
  <c r="D117" i="109"/>
  <c r="C118" i="109"/>
  <c r="D118" i="109"/>
  <c r="C119" i="109"/>
  <c r="D119" i="109"/>
  <c r="C120" i="109"/>
  <c r="D120" i="109"/>
  <c r="C121" i="109"/>
  <c r="D121" i="109"/>
  <c r="C122" i="109"/>
  <c r="D122" i="109"/>
  <c r="C123" i="109"/>
  <c r="D123" i="109"/>
  <c r="D9" i="109"/>
  <c r="C9" i="109"/>
  <c r="C147" i="110"/>
  <c r="G146" i="110"/>
  <c r="D146" i="110"/>
  <c r="D148" i="109" s="1"/>
  <c r="H145" i="110"/>
  <c r="G145" i="110"/>
  <c r="E145" i="110"/>
  <c r="H144" i="110"/>
  <c r="G144" i="110"/>
  <c r="E144" i="110"/>
  <c r="H143" i="110"/>
  <c r="G143" i="110"/>
  <c r="I143" i="110" s="1"/>
  <c r="E143" i="110"/>
  <c r="H142" i="110"/>
  <c r="G142" i="110"/>
  <c r="I142" i="110" s="1"/>
  <c r="E142" i="110"/>
  <c r="H141" i="110"/>
  <c r="G141" i="110"/>
  <c r="E141" i="110"/>
  <c r="H140" i="110"/>
  <c r="G140" i="110"/>
  <c r="I140" i="110" s="1"/>
  <c r="E140" i="110"/>
  <c r="H139" i="110"/>
  <c r="G139" i="110"/>
  <c r="I139" i="110" s="1"/>
  <c r="E139" i="110"/>
  <c r="H138" i="110"/>
  <c r="G138" i="110"/>
  <c r="I138" i="110" s="1"/>
  <c r="E138" i="110"/>
  <c r="H137" i="110"/>
  <c r="G137" i="110"/>
  <c r="E137" i="110"/>
  <c r="H136" i="110"/>
  <c r="G136" i="110"/>
  <c r="I136" i="110" s="1"/>
  <c r="E136" i="110"/>
  <c r="H135" i="110"/>
  <c r="G135" i="110"/>
  <c r="E135" i="110"/>
  <c r="H133" i="110"/>
  <c r="G133" i="110"/>
  <c r="D133" i="110"/>
  <c r="C133" i="110"/>
  <c r="H130" i="110"/>
  <c r="G130" i="110"/>
  <c r="D130" i="110"/>
  <c r="C130" i="110"/>
  <c r="I129" i="110"/>
  <c r="E129" i="110"/>
  <c r="I128" i="110"/>
  <c r="E128" i="110"/>
  <c r="I127" i="110"/>
  <c r="E127" i="110"/>
  <c r="I126" i="110"/>
  <c r="E126" i="110"/>
  <c r="I125" i="110"/>
  <c r="E125" i="110"/>
  <c r="I124" i="110"/>
  <c r="E124" i="110"/>
  <c r="I123" i="110"/>
  <c r="E123" i="110"/>
  <c r="E121" i="110"/>
  <c r="E120" i="110"/>
  <c r="E119" i="110"/>
  <c r="E118" i="110"/>
  <c r="E117" i="110"/>
  <c r="E116" i="110"/>
  <c r="E115" i="110"/>
  <c r="E114" i="110"/>
  <c r="E113" i="110"/>
  <c r="E112" i="110"/>
  <c r="E111" i="110"/>
  <c r="E110" i="110"/>
  <c r="E109" i="110"/>
  <c r="E108" i="110"/>
  <c r="E107" i="110"/>
  <c r="E106" i="110"/>
  <c r="E105" i="110"/>
  <c r="E104" i="110"/>
  <c r="E103" i="110"/>
  <c r="E102" i="110"/>
  <c r="E101" i="110"/>
  <c r="E100" i="110"/>
  <c r="E99" i="110"/>
  <c r="E98" i="110"/>
  <c r="E97" i="110"/>
  <c r="E96" i="110"/>
  <c r="E95" i="110"/>
  <c r="E94" i="110"/>
  <c r="E93" i="110"/>
  <c r="E92" i="110"/>
  <c r="E91" i="110"/>
  <c r="E90" i="110"/>
  <c r="E89" i="110"/>
  <c r="E88" i="110"/>
  <c r="E87" i="110"/>
  <c r="E86" i="110"/>
  <c r="E85" i="110"/>
  <c r="E84" i="110"/>
  <c r="E83" i="110"/>
  <c r="E82" i="110"/>
  <c r="E81" i="110"/>
  <c r="E80" i="110"/>
  <c r="E79" i="110"/>
  <c r="E78" i="110"/>
  <c r="E77" i="110"/>
  <c r="E76" i="110"/>
  <c r="E75" i="110"/>
  <c r="E74" i="110"/>
  <c r="E73" i="110"/>
  <c r="E72" i="110"/>
  <c r="E71" i="110"/>
  <c r="E70" i="110"/>
  <c r="E69" i="110"/>
  <c r="E68" i="110"/>
  <c r="E67" i="110"/>
  <c r="E66" i="110"/>
  <c r="E65" i="110"/>
  <c r="E64" i="110"/>
  <c r="E63" i="110"/>
  <c r="E62" i="110"/>
  <c r="E61" i="110"/>
  <c r="E60" i="110"/>
  <c r="E59" i="110"/>
  <c r="E58" i="110"/>
  <c r="E57" i="110"/>
  <c r="E56" i="110"/>
  <c r="E55" i="110"/>
  <c r="E54" i="110"/>
  <c r="D53" i="110"/>
  <c r="D122" i="110" s="1"/>
  <c r="C53" i="110"/>
  <c r="C122" i="110" s="1"/>
  <c r="E52" i="110"/>
  <c r="E51" i="110"/>
  <c r="E50" i="110"/>
  <c r="E49" i="110"/>
  <c r="E48" i="110"/>
  <c r="E47" i="110"/>
  <c r="E46" i="110"/>
  <c r="E45" i="110"/>
  <c r="E44" i="110"/>
  <c r="E43" i="110"/>
  <c r="E42" i="110"/>
  <c r="E41" i="110"/>
  <c r="E40" i="110"/>
  <c r="E39" i="110"/>
  <c r="E38" i="110"/>
  <c r="E37" i="110"/>
  <c r="E36" i="110"/>
  <c r="E35" i="110"/>
  <c r="E34" i="110"/>
  <c r="E33" i="110"/>
  <c r="E32" i="110"/>
  <c r="E31" i="110"/>
  <c r="E30" i="110"/>
  <c r="E29" i="110"/>
  <c r="E28" i="110"/>
  <c r="E27" i="110"/>
  <c r="E26" i="110"/>
  <c r="E25" i="110"/>
  <c r="E24" i="110"/>
  <c r="E23" i="110"/>
  <c r="E22" i="110"/>
  <c r="E21" i="110"/>
  <c r="E20" i="110"/>
  <c r="E19" i="110"/>
  <c r="E18" i="110"/>
  <c r="E17" i="110"/>
  <c r="E16" i="110"/>
  <c r="E15" i="110"/>
  <c r="E14" i="110"/>
  <c r="E13" i="110"/>
  <c r="E12" i="110"/>
  <c r="E11" i="110"/>
  <c r="E10" i="110"/>
  <c r="E9" i="110"/>
  <c r="E8" i="110"/>
  <c r="E7" i="110"/>
  <c r="N124" i="109"/>
  <c r="N149" i="109"/>
  <c r="L148" i="109"/>
  <c r="L147" i="109"/>
  <c r="L146" i="109"/>
  <c r="L145" i="109"/>
  <c r="L144" i="109"/>
  <c r="L143" i="109"/>
  <c r="L142" i="109"/>
  <c r="L141" i="109"/>
  <c r="L140" i="109"/>
  <c r="L139" i="109"/>
  <c r="L138" i="109"/>
  <c r="L137" i="109"/>
  <c r="F138" i="109"/>
  <c r="F139" i="109"/>
  <c r="F140" i="109"/>
  <c r="F141" i="109"/>
  <c r="F142" i="109"/>
  <c r="F143" i="109"/>
  <c r="F144" i="109"/>
  <c r="F145" i="109"/>
  <c r="F146" i="109"/>
  <c r="F147" i="109"/>
  <c r="F148" i="109"/>
  <c r="F137" i="109"/>
  <c r="L123" i="109"/>
  <c r="L122" i="109"/>
  <c r="L121" i="109"/>
  <c r="L120" i="109"/>
  <c r="L119" i="109"/>
  <c r="L118" i="109"/>
  <c r="L117" i="109"/>
  <c r="L116" i="109"/>
  <c r="L115" i="109"/>
  <c r="L114" i="109"/>
  <c r="L113" i="109"/>
  <c r="L112" i="109"/>
  <c r="L111" i="109"/>
  <c r="L110" i="109"/>
  <c r="L109" i="109"/>
  <c r="L108" i="109"/>
  <c r="L107" i="109"/>
  <c r="L106" i="109"/>
  <c r="L105" i="109"/>
  <c r="L104" i="109"/>
  <c r="L103" i="109"/>
  <c r="L102" i="109"/>
  <c r="L101" i="109"/>
  <c r="L100" i="109"/>
  <c r="L99" i="109"/>
  <c r="L98" i="109"/>
  <c r="L97" i="109"/>
  <c r="L96" i="109"/>
  <c r="L95" i="109"/>
  <c r="L94" i="109"/>
  <c r="L93" i="109"/>
  <c r="L92" i="109"/>
  <c r="L91" i="109"/>
  <c r="L90" i="109"/>
  <c r="L89" i="109"/>
  <c r="L88" i="109"/>
  <c r="L87" i="109"/>
  <c r="L86" i="109"/>
  <c r="L85" i="109"/>
  <c r="L84" i="109"/>
  <c r="L83" i="109"/>
  <c r="L82" i="109"/>
  <c r="L81" i="109"/>
  <c r="L80" i="109"/>
  <c r="L79" i="109"/>
  <c r="L78" i="109"/>
  <c r="L77" i="109"/>
  <c r="L76" i="109"/>
  <c r="L75" i="109"/>
  <c r="L74" i="109"/>
  <c r="L73" i="109"/>
  <c r="L72" i="109"/>
  <c r="L71" i="109"/>
  <c r="L70" i="109"/>
  <c r="L69" i="109"/>
  <c r="L68" i="109"/>
  <c r="L67" i="109"/>
  <c r="L66" i="109"/>
  <c r="L65" i="109"/>
  <c r="L64" i="109"/>
  <c r="L63" i="109"/>
  <c r="L62" i="109"/>
  <c r="L61" i="109"/>
  <c r="L60" i="109"/>
  <c r="L59" i="109"/>
  <c r="L58" i="109"/>
  <c r="L57" i="109"/>
  <c r="L56" i="109"/>
  <c r="L55" i="109"/>
  <c r="L54" i="109"/>
  <c r="L53" i="109"/>
  <c r="L52" i="109"/>
  <c r="L51" i="109"/>
  <c r="L50" i="109"/>
  <c r="L49" i="109"/>
  <c r="L48" i="109"/>
  <c r="L47" i="109"/>
  <c r="L46" i="109"/>
  <c r="L45" i="109"/>
  <c r="L44" i="109"/>
  <c r="L43" i="109"/>
  <c r="L42" i="109"/>
  <c r="L41" i="109"/>
  <c r="L40" i="109"/>
  <c r="L39" i="109"/>
  <c r="L38" i="109"/>
  <c r="L37" i="109"/>
  <c r="L36" i="109"/>
  <c r="L35" i="109"/>
  <c r="L34" i="109"/>
  <c r="L33" i="109"/>
  <c r="L32" i="109"/>
  <c r="L31" i="109"/>
  <c r="L30" i="109"/>
  <c r="L29" i="109"/>
  <c r="L28" i="109"/>
  <c r="L27" i="109"/>
  <c r="L26" i="109"/>
  <c r="L25" i="109"/>
  <c r="L24" i="109"/>
  <c r="L23" i="109"/>
  <c r="L22" i="109"/>
  <c r="L21" i="109"/>
  <c r="L20" i="109"/>
  <c r="L19" i="109"/>
  <c r="L18" i="109"/>
  <c r="L17" i="109"/>
  <c r="L16" i="109"/>
  <c r="L15" i="109"/>
  <c r="L14" i="109"/>
  <c r="L13" i="109"/>
  <c r="L12" i="109"/>
  <c r="L11" i="109"/>
  <c r="L10" i="109"/>
  <c r="L9" i="109"/>
  <c r="F10" i="109"/>
  <c r="F11" i="109"/>
  <c r="F12" i="109"/>
  <c r="F13" i="109"/>
  <c r="F14" i="109"/>
  <c r="F15" i="109"/>
  <c r="F16" i="109"/>
  <c r="F17" i="109"/>
  <c r="F18" i="109"/>
  <c r="F19" i="109"/>
  <c r="F20" i="109"/>
  <c r="F21" i="109"/>
  <c r="F22" i="109"/>
  <c r="F23" i="109"/>
  <c r="F24" i="109"/>
  <c r="F25" i="109"/>
  <c r="F26" i="109"/>
  <c r="F27" i="109"/>
  <c r="F28" i="109"/>
  <c r="F29" i="109"/>
  <c r="F30" i="109"/>
  <c r="F31" i="109"/>
  <c r="F32" i="109"/>
  <c r="F33" i="109"/>
  <c r="F34" i="109"/>
  <c r="F35" i="109"/>
  <c r="F36" i="109"/>
  <c r="F37" i="109"/>
  <c r="F38" i="109"/>
  <c r="F39" i="109"/>
  <c r="F40" i="109"/>
  <c r="F41" i="109"/>
  <c r="F42" i="109"/>
  <c r="F43" i="109"/>
  <c r="F44" i="109"/>
  <c r="F45" i="109"/>
  <c r="F46" i="109"/>
  <c r="F47" i="109"/>
  <c r="F48" i="109"/>
  <c r="F49" i="109"/>
  <c r="F50" i="109"/>
  <c r="F51" i="109"/>
  <c r="F52" i="109"/>
  <c r="F53" i="109"/>
  <c r="F54" i="109"/>
  <c r="F55" i="109"/>
  <c r="F56" i="109"/>
  <c r="F57" i="109"/>
  <c r="F58" i="109"/>
  <c r="F59" i="109"/>
  <c r="F60" i="109"/>
  <c r="F61" i="109"/>
  <c r="F62" i="109"/>
  <c r="F63" i="109"/>
  <c r="F64" i="109"/>
  <c r="F65" i="109"/>
  <c r="F66" i="109"/>
  <c r="F67" i="109"/>
  <c r="F68" i="109"/>
  <c r="F69" i="109"/>
  <c r="F70" i="109"/>
  <c r="F71" i="109"/>
  <c r="F72" i="109"/>
  <c r="F73" i="109"/>
  <c r="F74" i="109"/>
  <c r="F75" i="109"/>
  <c r="F76" i="109"/>
  <c r="F77" i="109"/>
  <c r="F78" i="109"/>
  <c r="F79" i="109"/>
  <c r="F80" i="109"/>
  <c r="F81" i="109"/>
  <c r="F82" i="109"/>
  <c r="F83" i="109"/>
  <c r="F84" i="109"/>
  <c r="F85" i="109"/>
  <c r="F86" i="109"/>
  <c r="F87" i="109"/>
  <c r="F88" i="109"/>
  <c r="F89" i="109"/>
  <c r="F90" i="109"/>
  <c r="F91" i="109"/>
  <c r="F92" i="109"/>
  <c r="F93" i="109"/>
  <c r="F94" i="109"/>
  <c r="F95" i="109"/>
  <c r="F96" i="109"/>
  <c r="F97" i="109"/>
  <c r="F98" i="109"/>
  <c r="F99" i="109"/>
  <c r="F100" i="109"/>
  <c r="F101" i="109"/>
  <c r="F102" i="109"/>
  <c r="F103" i="109"/>
  <c r="F104" i="109"/>
  <c r="F105" i="109"/>
  <c r="F106" i="109"/>
  <c r="F107" i="109"/>
  <c r="F108" i="109"/>
  <c r="F109" i="109"/>
  <c r="F110" i="109"/>
  <c r="F111" i="109"/>
  <c r="F112" i="109"/>
  <c r="F113" i="109"/>
  <c r="F114" i="109"/>
  <c r="F115" i="109"/>
  <c r="F116" i="109"/>
  <c r="F117" i="109"/>
  <c r="F118" i="109"/>
  <c r="F119" i="109"/>
  <c r="F120" i="109"/>
  <c r="F121" i="109"/>
  <c r="F122" i="109"/>
  <c r="F123" i="109"/>
  <c r="F9" i="109"/>
  <c r="K125" i="109"/>
  <c r="M125" i="109" s="1"/>
  <c r="N125" i="109" s="1"/>
  <c r="G105" i="72" l="1"/>
  <c r="G135" i="121"/>
  <c r="J7" i="129"/>
  <c r="J10" i="129" s="1"/>
  <c r="J5" i="73"/>
  <c r="N62" i="121"/>
  <c r="N74" i="121" s="1"/>
  <c r="M63" i="121"/>
  <c r="M75" i="121" s="1"/>
  <c r="M62" i="121"/>
  <c r="M74" i="121" s="1"/>
  <c r="N63" i="121"/>
  <c r="N75" i="121" s="1"/>
  <c r="L63" i="121"/>
  <c r="L75" i="121" s="1"/>
  <c r="L62" i="121"/>
  <c r="L74" i="121" s="1"/>
  <c r="H63" i="121"/>
  <c r="H75" i="121" s="1"/>
  <c r="K63" i="121"/>
  <c r="K75" i="121" s="1"/>
  <c r="K62" i="121"/>
  <c r="K74" i="121" s="1"/>
  <c r="F63" i="121"/>
  <c r="F75" i="121" s="1"/>
  <c r="J63" i="121"/>
  <c r="J62" i="121"/>
  <c r="J74" i="121" s="1"/>
  <c r="I63" i="121"/>
  <c r="I62" i="121"/>
  <c r="I74" i="121" s="1"/>
  <c r="H62" i="121"/>
  <c r="G63" i="121"/>
  <c r="G75" i="121" s="1"/>
  <c r="G62" i="121"/>
  <c r="G74" i="121" s="1"/>
  <c r="F62" i="121"/>
  <c r="F74" i="121" s="1"/>
  <c r="E63" i="121"/>
  <c r="E75" i="121" s="1"/>
  <c r="E62" i="121"/>
  <c r="E74" i="121" s="1"/>
  <c r="D63" i="121"/>
  <c r="D75" i="121" s="1"/>
  <c r="D62" i="121"/>
  <c r="D74" i="121" s="1"/>
  <c r="C62" i="121"/>
  <c r="C74" i="121" s="1"/>
  <c r="F73" i="72"/>
  <c r="F43" i="121"/>
  <c r="H73" i="72"/>
  <c r="H43" i="121"/>
  <c r="I73" i="72"/>
  <c r="I43" i="121"/>
  <c r="D73" i="72"/>
  <c r="D43" i="121"/>
  <c r="K73" i="72"/>
  <c r="K43" i="121"/>
  <c r="M73" i="72"/>
  <c r="M43" i="121"/>
  <c r="N73" i="72"/>
  <c r="N43" i="121"/>
  <c r="E73" i="72"/>
  <c r="E43" i="121"/>
  <c r="G73" i="72"/>
  <c r="G43" i="121"/>
  <c r="G12" i="126"/>
  <c r="F15" i="72" s="1"/>
  <c r="G15" i="126"/>
  <c r="F12" i="126"/>
  <c r="E15" i="72" s="1"/>
  <c r="F15" i="126"/>
  <c r="E15" i="126"/>
  <c r="E12" i="126"/>
  <c r="D15" i="72" s="1"/>
  <c r="J12" i="126"/>
  <c r="I15" i="72" s="1"/>
  <c r="J15" i="126"/>
  <c r="I12" i="126"/>
  <c r="H15" i="72" s="1"/>
  <c r="I15" i="126"/>
  <c r="H12" i="126"/>
  <c r="G15" i="72" s="1"/>
  <c r="H15" i="126"/>
  <c r="D12" i="125"/>
  <c r="P12" i="125" s="1"/>
  <c r="O35" i="115"/>
  <c r="D16" i="125"/>
  <c r="P16" i="125" s="1"/>
  <c r="C70" i="72"/>
  <c r="J9" i="121"/>
  <c r="K70" i="72"/>
  <c r="I70" i="72"/>
  <c r="N70" i="72"/>
  <c r="M70" i="72"/>
  <c r="H70" i="72"/>
  <c r="G70" i="72"/>
  <c r="F70" i="72"/>
  <c r="E70" i="72"/>
  <c r="D70" i="72"/>
  <c r="C9" i="121"/>
  <c r="C43" i="121" s="1"/>
  <c r="I22" i="129"/>
  <c r="I25" i="129" s="1"/>
  <c r="I9" i="73"/>
  <c r="D11" i="126"/>
  <c r="P8" i="126"/>
  <c r="O15" i="126"/>
  <c r="N15" i="126"/>
  <c r="M15" i="126"/>
  <c r="L15" i="126"/>
  <c r="K15" i="126"/>
  <c r="P7" i="126"/>
  <c r="B238" i="125"/>
  <c r="J249" i="125"/>
  <c r="J254" i="125" s="1"/>
  <c r="D265" i="125"/>
  <c r="D270" i="125" s="1"/>
  <c r="G249" i="125"/>
  <c r="G254" i="125" s="1"/>
  <c r="B253" i="125"/>
  <c r="D249" i="125"/>
  <c r="D254" i="125" s="1"/>
  <c r="B256" i="125"/>
  <c r="M249" i="125"/>
  <c r="C260" i="125"/>
  <c r="B267" i="125"/>
  <c r="C261" i="125"/>
  <c r="C262" i="125"/>
  <c r="D264" i="125" s="1"/>
  <c r="B272" i="125"/>
  <c r="B264" i="125"/>
  <c r="C244" i="125"/>
  <c r="C245" i="125"/>
  <c r="C246" i="125"/>
  <c r="D248" i="125" s="1"/>
  <c r="B248" i="125"/>
  <c r="O215" i="125"/>
  <c r="I215" i="125"/>
  <c r="J220" i="125"/>
  <c r="C226" i="125"/>
  <c r="C228" i="125"/>
  <c r="D230" i="125" s="1"/>
  <c r="B230" i="125"/>
  <c r="B198" i="125"/>
  <c r="G220" i="125"/>
  <c r="C195" i="125"/>
  <c r="B201" i="125"/>
  <c r="C227" i="125"/>
  <c r="B235" i="125"/>
  <c r="B219" i="125"/>
  <c r="F199" i="125"/>
  <c r="F205" i="125" s="1"/>
  <c r="C178" i="125"/>
  <c r="C194" i="125"/>
  <c r="L199" i="125"/>
  <c r="C211" i="125"/>
  <c r="O199" i="125"/>
  <c r="C212" i="125"/>
  <c r="D214" i="125" s="1"/>
  <c r="B222" i="125"/>
  <c r="B214" i="125"/>
  <c r="C180" i="125"/>
  <c r="D182" i="125" s="1"/>
  <c r="D184" i="125" s="1"/>
  <c r="D185" i="125" s="1"/>
  <c r="E182" i="125" s="1"/>
  <c r="C210" i="125"/>
  <c r="B217" i="125"/>
  <c r="I199" i="125"/>
  <c r="B185" i="125"/>
  <c r="C196" i="125"/>
  <c r="D198" i="125" s="1"/>
  <c r="D200" i="125" s="1"/>
  <c r="D201" i="125" s="1"/>
  <c r="E198" i="125" s="1"/>
  <c r="B158" i="125"/>
  <c r="B150" i="125"/>
  <c r="C179" i="125"/>
  <c r="B182" i="125"/>
  <c r="B155" i="125"/>
  <c r="B203" i="125"/>
  <c r="B187" i="125"/>
  <c r="N138" i="125"/>
  <c r="O139" i="125" s="1"/>
  <c r="M138" i="125"/>
  <c r="N139" i="125" s="1"/>
  <c r="L138" i="125"/>
  <c r="M139" i="125" s="1"/>
  <c r="I138" i="125"/>
  <c r="J139" i="125" s="1"/>
  <c r="H138" i="125"/>
  <c r="I139" i="125" s="1"/>
  <c r="B126" i="125"/>
  <c r="B137" i="125"/>
  <c r="B71" i="125"/>
  <c r="N127" i="125"/>
  <c r="O128" i="125" s="1"/>
  <c r="K138" i="125"/>
  <c r="L139" i="125" s="1"/>
  <c r="M152" i="125"/>
  <c r="M127" i="125"/>
  <c r="N128" i="125" s="1"/>
  <c r="J138" i="125"/>
  <c r="K139" i="125" s="1"/>
  <c r="L127" i="125"/>
  <c r="M128" i="125" s="1"/>
  <c r="O152" i="125"/>
  <c r="K127" i="125"/>
  <c r="L128" i="125" s="1"/>
  <c r="J127" i="125"/>
  <c r="K128" i="125" s="1"/>
  <c r="G138" i="125"/>
  <c r="H139" i="125" s="1"/>
  <c r="I127" i="125"/>
  <c r="J128" i="125" s="1"/>
  <c r="F138" i="125"/>
  <c r="G139" i="125" s="1"/>
  <c r="E138" i="125"/>
  <c r="F139" i="125" s="1"/>
  <c r="B104" i="125"/>
  <c r="C146" i="125"/>
  <c r="E152" i="125"/>
  <c r="C147" i="125"/>
  <c r="K105" i="125"/>
  <c r="L106" i="125" s="1"/>
  <c r="C148" i="125"/>
  <c r="D150" i="125" s="1"/>
  <c r="G152" i="125"/>
  <c r="J105" i="125"/>
  <c r="K106" i="125" s="1"/>
  <c r="D138" i="125"/>
  <c r="E139" i="125" s="1"/>
  <c r="O138" i="125"/>
  <c r="I152" i="125"/>
  <c r="I105" i="125"/>
  <c r="J106" i="125" s="1"/>
  <c r="H127" i="125"/>
  <c r="I128" i="125" s="1"/>
  <c r="B115" i="125"/>
  <c r="G127" i="125"/>
  <c r="H128" i="125" s="1"/>
  <c r="F127" i="125"/>
  <c r="G128" i="125" s="1"/>
  <c r="N116" i="125"/>
  <c r="O117" i="125" s="1"/>
  <c r="E127" i="125"/>
  <c r="F128" i="125" s="1"/>
  <c r="C133" i="125"/>
  <c r="C134" i="125"/>
  <c r="C135" i="125"/>
  <c r="D137" i="125" s="1"/>
  <c r="O127" i="125"/>
  <c r="M116" i="125"/>
  <c r="N117" i="125" s="1"/>
  <c r="L116" i="125"/>
  <c r="M117" i="125" s="1"/>
  <c r="N105" i="125"/>
  <c r="O106" i="125" s="1"/>
  <c r="K116" i="125"/>
  <c r="L117" i="125" s="1"/>
  <c r="M105" i="125"/>
  <c r="N106" i="125" s="1"/>
  <c r="J116" i="125"/>
  <c r="K117" i="125" s="1"/>
  <c r="L105" i="125"/>
  <c r="M106" i="125" s="1"/>
  <c r="I116" i="125"/>
  <c r="J117" i="125" s="1"/>
  <c r="H116" i="125"/>
  <c r="I117" i="125" s="1"/>
  <c r="G116" i="125"/>
  <c r="H117" i="125" s="1"/>
  <c r="F116" i="125"/>
  <c r="G117" i="125" s="1"/>
  <c r="E116" i="125"/>
  <c r="F117" i="125" s="1"/>
  <c r="C122" i="125"/>
  <c r="C123" i="125"/>
  <c r="C124" i="125"/>
  <c r="D126" i="125" s="1"/>
  <c r="D116" i="125"/>
  <c r="E117" i="125" s="1"/>
  <c r="O116" i="125"/>
  <c r="B82" i="125"/>
  <c r="B93" i="125"/>
  <c r="L94" i="125"/>
  <c r="M95" i="125" s="1"/>
  <c r="H105" i="125"/>
  <c r="I106" i="125" s="1"/>
  <c r="K94" i="125"/>
  <c r="L95" i="125" s="1"/>
  <c r="G105" i="125"/>
  <c r="H106" i="125" s="1"/>
  <c r="G106" i="125"/>
  <c r="F106" i="125"/>
  <c r="C111" i="125"/>
  <c r="C112" i="125"/>
  <c r="C113" i="125"/>
  <c r="D115" i="125" s="1"/>
  <c r="O105" i="125"/>
  <c r="J94" i="125"/>
  <c r="K95" i="125" s="1"/>
  <c r="I94" i="125"/>
  <c r="J95" i="125" s="1"/>
  <c r="H94" i="125"/>
  <c r="I95" i="125" s="1"/>
  <c r="G94" i="125"/>
  <c r="H95" i="125" s="1"/>
  <c r="N83" i="125"/>
  <c r="O84" i="125" s="1"/>
  <c r="F94" i="125"/>
  <c r="G95" i="125" s="1"/>
  <c r="M83" i="125"/>
  <c r="N84" i="125" s="1"/>
  <c r="E94" i="125"/>
  <c r="F95" i="125" s="1"/>
  <c r="O94" i="125"/>
  <c r="C100" i="125"/>
  <c r="C101" i="125"/>
  <c r="D94" i="125"/>
  <c r="E95" i="125" s="1"/>
  <c r="C102" i="125"/>
  <c r="D104" i="125" s="1"/>
  <c r="D106" i="125" s="1"/>
  <c r="N94" i="125"/>
  <c r="O95" i="125" s="1"/>
  <c r="M94" i="125"/>
  <c r="N95" i="125" s="1"/>
  <c r="H83" i="125"/>
  <c r="I84" i="125" s="1"/>
  <c r="G83" i="125"/>
  <c r="H84" i="125" s="1"/>
  <c r="F83" i="125"/>
  <c r="G84" i="125" s="1"/>
  <c r="E83" i="125"/>
  <c r="F84" i="125" s="1"/>
  <c r="L83" i="125"/>
  <c r="M84" i="125" s="1"/>
  <c r="K83" i="125"/>
  <c r="L84" i="125" s="1"/>
  <c r="C89" i="125"/>
  <c r="C90" i="125"/>
  <c r="I83" i="125"/>
  <c r="J84" i="125" s="1"/>
  <c r="C91" i="125"/>
  <c r="D93" i="125" s="1"/>
  <c r="J83" i="125"/>
  <c r="K84" i="125" s="1"/>
  <c r="B60" i="125"/>
  <c r="O83" i="125"/>
  <c r="C78" i="125"/>
  <c r="C79" i="125"/>
  <c r="O39" i="125"/>
  <c r="C80" i="125"/>
  <c r="D82" i="125" s="1"/>
  <c r="N39" i="125"/>
  <c r="M39" i="125"/>
  <c r="O50" i="125"/>
  <c r="N50" i="125"/>
  <c r="O51" i="125" s="1"/>
  <c r="C34" i="125"/>
  <c r="M50" i="125"/>
  <c r="N51" i="125" s="1"/>
  <c r="C35" i="125"/>
  <c r="L50" i="125"/>
  <c r="M51" i="125" s="1"/>
  <c r="K50" i="125"/>
  <c r="L51" i="125" s="1"/>
  <c r="J50" i="125"/>
  <c r="K51" i="125" s="1"/>
  <c r="I50" i="125"/>
  <c r="J51" i="125" s="1"/>
  <c r="L39" i="125"/>
  <c r="K39" i="125"/>
  <c r="C45" i="125"/>
  <c r="C67" i="125"/>
  <c r="C46" i="125"/>
  <c r="C68" i="125"/>
  <c r="C47" i="125"/>
  <c r="D49" i="125" s="1"/>
  <c r="D51" i="125" s="1"/>
  <c r="C69" i="125"/>
  <c r="D71" i="125" s="1"/>
  <c r="B49" i="125"/>
  <c r="H50" i="125"/>
  <c r="I51" i="125" s="1"/>
  <c r="G50" i="125"/>
  <c r="H51" i="125" s="1"/>
  <c r="F50" i="125"/>
  <c r="G51" i="125" s="1"/>
  <c r="C56" i="125"/>
  <c r="C57" i="125"/>
  <c r="C36" i="125"/>
  <c r="D38" i="125" s="1"/>
  <c r="C58" i="125"/>
  <c r="D60" i="125" s="1"/>
  <c r="B38" i="125"/>
  <c r="D50" i="125"/>
  <c r="E51" i="125" s="1"/>
  <c r="E50" i="125"/>
  <c r="F51" i="125" s="1"/>
  <c r="I39" i="125"/>
  <c r="H39" i="125"/>
  <c r="G39" i="125"/>
  <c r="F39" i="125"/>
  <c r="E39" i="125"/>
  <c r="J39" i="125"/>
  <c r="D39" i="125"/>
  <c r="P29" i="125"/>
  <c r="P24" i="125"/>
  <c r="P14" i="125"/>
  <c r="P15" i="125"/>
  <c r="P17" i="125"/>
  <c r="H12" i="124"/>
  <c r="J18" i="124"/>
  <c r="H33" i="124"/>
  <c r="I30" i="124" s="1"/>
  <c r="H26" i="124"/>
  <c r="I23" i="124" s="1"/>
  <c r="H19" i="124"/>
  <c r="I16" i="124" s="1"/>
  <c r="I18" i="124"/>
  <c r="I37" i="124" s="1"/>
  <c r="C11" i="72" s="1"/>
  <c r="C12" i="124"/>
  <c r="P7" i="125"/>
  <c r="P13" i="125"/>
  <c r="P8" i="125"/>
  <c r="P23" i="125"/>
  <c r="P28" i="125"/>
  <c r="G12" i="124"/>
  <c r="F12" i="124"/>
  <c r="E12" i="124"/>
  <c r="D12" i="124"/>
  <c r="T36" i="123"/>
  <c r="T40" i="123" s="1"/>
  <c r="N7" i="70" s="1"/>
  <c r="J37" i="123"/>
  <c r="I6" i="72"/>
  <c r="I37" i="123"/>
  <c r="L25" i="123"/>
  <c r="K25" i="123"/>
  <c r="E7" i="72" s="1"/>
  <c r="S24" i="123"/>
  <c r="S36" i="123" s="1"/>
  <c r="S40" i="123" s="1"/>
  <c r="M7" i="70" s="1"/>
  <c r="H33" i="123"/>
  <c r="O32" i="123"/>
  <c r="I8" i="72" s="1"/>
  <c r="I31" i="123"/>
  <c r="Q32" i="123"/>
  <c r="K8" i="72" s="1"/>
  <c r="P32" i="123"/>
  <c r="J8" i="72" s="1"/>
  <c r="S12" i="123"/>
  <c r="N12" i="123"/>
  <c r="H19" i="123"/>
  <c r="H26" i="123"/>
  <c r="C12" i="73" s="1"/>
  <c r="I12" i="123"/>
  <c r="R12" i="123"/>
  <c r="M12" i="123"/>
  <c r="R24" i="123"/>
  <c r="R36" i="123" s="1"/>
  <c r="R40" i="123" s="1"/>
  <c r="L7" i="70" s="1"/>
  <c r="I24" i="123"/>
  <c r="Q24" i="123"/>
  <c r="Q36" i="123" s="1"/>
  <c r="Q40" i="123" s="1"/>
  <c r="K7" i="70" s="1"/>
  <c r="P18" i="123"/>
  <c r="P24" i="123"/>
  <c r="P36" i="123" s="1"/>
  <c r="P40" i="123" s="1"/>
  <c r="J7" i="70" s="1"/>
  <c r="I17" i="123"/>
  <c r="O24" i="123"/>
  <c r="O36" i="123" s="1"/>
  <c r="O40" i="123" s="1"/>
  <c r="I7" i="70" s="1"/>
  <c r="N24" i="123"/>
  <c r="N36" i="123" s="1"/>
  <c r="N40" i="123" s="1"/>
  <c r="H7" i="70" s="1"/>
  <c r="L17" i="123"/>
  <c r="M24" i="123"/>
  <c r="M36" i="123" s="1"/>
  <c r="M40" i="123" s="1"/>
  <c r="G7" i="70" s="1"/>
  <c r="L24" i="123"/>
  <c r="T18" i="123"/>
  <c r="S18" i="123"/>
  <c r="O25" i="123"/>
  <c r="I7" i="72" s="1"/>
  <c r="C12" i="123"/>
  <c r="R18" i="123"/>
  <c r="N25" i="123"/>
  <c r="Q18" i="123"/>
  <c r="K17" i="123"/>
  <c r="K36" i="123" s="1"/>
  <c r="K40" i="123" s="1"/>
  <c r="E7" i="70" s="1"/>
  <c r="M18" i="123"/>
  <c r="J17" i="123"/>
  <c r="J36" i="123" s="1"/>
  <c r="J40" i="123" s="1"/>
  <c r="D7" i="70" s="1"/>
  <c r="H12" i="123"/>
  <c r="Q12" i="123"/>
  <c r="L12" i="123"/>
  <c r="P12" i="123"/>
  <c r="K12" i="123"/>
  <c r="T12" i="123"/>
  <c r="F12" i="123"/>
  <c r="G12" i="123"/>
  <c r="E12" i="123"/>
  <c r="D12" i="123"/>
  <c r="O12" i="123"/>
  <c r="J12" i="123"/>
  <c r="L9" i="121"/>
  <c r="L43" i="121" s="1"/>
  <c r="H11" i="121"/>
  <c r="I11" i="121"/>
  <c r="K11" i="121"/>
  <c r="D11" i="121"/>
  <c r="E11" i="121"/>
  <c r="F11" i="121"/>
  <c r="G11" i="121"/>
  <c r="M11" i="121"/>
  <c r="N11" i="121"/>
  <c r="O8" i="121"/>
  <c r="D11" i="120"/>
  <c r="E11" i="120"/>
  <c r="F11" i="120"/>
  <c r="G11" i="120"/>
  <c r="H11" i="120"/>
  <c r="I11" i="120"/>
  <c r="C9" i="120"/>
  <c r="C11" i="120" s="1"/>
  <c r="O8" i="120"/>
  <c r="L11" i="120"/>
  <c r="M11" i="120"/>
  <c r="N11" i="120"/>
  <c r="N11" i="119"/>
  <c r="M11" i="119"/>
  <c r="J11" i="119"/>
  <c r="I11" i="119"/>
  <c r="G11" i="119"/>
  <c r="O8" i="119"/>
  <c r="F9" i="119"/>
  <c r="F11" i="119" s="1"/>
  <c r="E9" i="119"/>
  <c r="E11" i="119" s="1"/>
  <c r="D9" i="119"/>
  <c r="D11" i="119" s="1"/>
  <c r="D9" i="114"/>
  <c r="D9" i="117"/>
  <c r="C11" i="119"/>
  <c r="D8" i="118"/>
  <c r="D9" i="118"/>
  <c r="C11" i="118"/>
  <c r="D11" i="118" s="1"/>
  <c r="O8" i="118"/>
  <c r="E11" i="118"/>
  <c r="F9" i="118"/>
  <c r="F8" i="118"/>
  <c r="G8" i="118"/>
  <c r="E11" i="117"/>
  <c r="F11" i="117" s="1"/>
  <c r="D11" i="117"/>
  <c r="D8" i="117"/>
  <c r="G8" i="117"/>
  <c r="F8" i="117"/>
  <c r="K8" i="117"/>
  <c r="E11" i="114"/>
  <c r="O31" i="115"/>
  <c r="O32" i="115"/>
  <c r="O28" i="115"/>
  <c r="O16" i="115"/>
  <c r="O30" i="115"/>
  <c r="O36" i="115"/>
  <c r="O29" i="115"/>
  <c r="O33" i="115"/>
  <c r="O34" i="115"/>
  <c r="O25" i="115"/>
  <c r="O17" i="115"/>
  <c r="O41" i="115" s="1"/>
  <c r="O11" i="115"/>
  <c r="O8" i="115"/>
  <c r="O9" i="115"/>
  <c r="O10" i="115"/>
  <c r="C11" i="114"/>
  <c r="G8" i="114"/>
  <c r="O10" i="113"/>
  <c r="O16" i="113"/>
  <c r="O38" i="111"/>
  <c r="O37" i="111"/>
  <c r="O36" i="111"/>
  <c r="O39" i="111" s="1"/>
  <c r="J132" i="109"/>
  <c r="E25" i="87" s="1"/>
  <c r="E24" i="87" s="1"/>
  <c r="E26" i="87" s="1"/>
  <c r="H110" i="110" s="1"/>
  <c r="J112" i="109" s="1"/>
  <c r="O31" i="111"/>
  <c r="I132" i="109"/>
  <c r="E20" i="87" s="1"/>
  <c r="O23" i="111"/>
  <c r="O8" i="111"/>
  <c r="H11" i="111"/>
  <c r="L11" i="111"/>
  <c r="G11" i="111"/>
  <c r="K11" i="111"/>
  <c r="J11" i="111"/>
  <c r="E11" i="111"/>
  <c r="F11" i="111"/>
  <c r="O10" i="111"/>
  <c r="I11" i="111"/>
  <c r="C11" i="111"/>
  <c r="M11" i="111"/>
  <c r="N11" i="111"/>
  <c r="D11" i="111"/>
  <c r="O16" i="111"/>
  <c r="O9" i="111"/>
  <c r="H111" i="110"/>
  <c r="J113" i="109" s="1"/>
  <c r="N132" i="109"/>
  <c r="N133" i="109" s="1"/>
  <c r="N151" i="109" s="1"/>
  <c r="H47" i="110"/>
  <c r="J49" i="109" s="1"/>
  <c r="H58" i="110"/>
  <c r="J60" i="109" s="1"/>
  <c r="H37" i="110"/>
  <c r="J39" i="109" s="1"/>
  <c r="H64" i="110"/>
  <c r="J66" i="109" s="1"/>
  <c r="H80" i="110"/>
  <c r="J82" i="109" s="1"/>
  <c r="H96" i="110"/>
  <c r="J98" i="109" s="1"/>
  <c r="H27" i="110"/>
  <c r="J29" i="109" s="1"/>
  <c r="H43" i="110"/>
  <c r="J45" i="109" s="1"/>
  <c r="H54" i="110"/>
  <c r="J56" i="109" s="1"/>
  <c r="H70" i="110"/>
  <c r="J72" i="109" s="1"/>
  <c r="H17" i="110"/>
  <c r="J19" i="109" s="1"/>
  <c r="H33" i="110"/>
  <c r="J35" i="109" s="1"/>
  <c r="H49" i="110"/>
  <c r="J51" i="109" s="1"/>
  <c r="H60" i="110"/>
  <c r="J62" i="109" s="1"/>
  <c r="H46" i="110"/>
  <c r="J48" i="109" s="1"/>
  <c r="H68" i="110"/>
  <c r="J70" i="109" s="1"/>
  <c r="H95" i="110"/>
  <c r="J97" i="109" s="1"/>
  <c r="H7" i="110"/>
  <c r="J9" i="109" s="1"/>
  <c r="H93" i="110"/>
  <c r="J95" i="109" s="1"/>
  <c r="H109" i="110"/>
  <c r="J111" i="109" s="1"/>
  <c r="H13" i="110"/>
  <c r="J15" i="109" s="1"/>
  <c r="H29" i="110"/>
  <c r="J31" i="109" s="1"/>
  <c r="H83" i="110"/>
  <c r="J85" i="109" s="1"/>
  <c r="H99" i="110"/>
  <c r="J101" i="109" s="1"/>
  <c r="H115" i="110"/>
  <c r="J117" i="109" s="1"/>
  <c r="H9" i="110"/>
  <c r="J11" i="109" s="1"/>
  <c r="D55" i="109"/>
  <c r="I145" i="110"/>
  <c r="C55" i="109"/>
  <c r="E55" i="109" s="1"/>
  <c r="G55" i="109" s="1"/>
  <c r="I144" i="110"/>
  <c r="I133" i="110"/>
  <c r="I141" i="110"/>
  <c r="E133" i="110"/>
  <c r="D131" i="110"/>
  <c r="I135" i="110"/>
  <c r="E130" i="110"/>
  <c r="D147" i="110"/>
  <c r="E146" i="110"/>
  <c r="E147" i="110" s="1"/>
  <c r="H146" i="110"/>
  <c r="H147" i="110" s="1"/>
  <c r="G147" i="110"/>
  <c r="I137" i="110"/>
  <c r="C131" i="110"/>
  <c r="E53" i="110"/>
  <c r="I130" i="110"/>
  <c r="G21" i="109"/>
  <c r="G116" i="109"/>
  <c r="G100" i="109"/>
  <c r="M132" i="109"/>
  <c r="K132" i="109"/>
  <c r="D149" i="109"/>
  <c r="C149" i="109"/>
  <c r="E138" i="109"/>
  <c r="E139" i="109"/>
  <c r="E140" i="109"/>
  <c r="E141" i="109"/>
  <c r="E142" i="109"/>
  <c r="E143" i="109"/>
  <c r="E144" i="109"/>
  <c r="E145" i="109"/>
  <c r="E146" i="109"/>
  <c r="E147" i="109"/>
  <c r="G147" i="109" s="1"/>
  <c r="E148" i="109"/>
  <c r="G148" i="109" s="1"/>
  <c r="E137" i="109"/>
  <c r="C124" i="109"/>
  <c r="D132" i="109"/>
  <c r="C132" i="109"/>
  <c r="E131" i="109"/>
  <c r="E130" i="109"/>
  <c r="E129" i="109"/>
  <c r="E128" i="109"/>
  <c r="E127" i="109"/>
  <c r="E126" i="109"/>
  <c r="E125" i="109"/>
  <c r="D124" i="109"/>
  <c r="E10" i="109"/>
  <c r="G10" i="109" s="1"/>
  <c r="E11" i="109"/>
  <c r="G11" i="109" s="1"/>
  <c r="E12" i="109"/>
  <c r="G12" i="109" s="1"/>
  <c r="E13" i="109"/>
  <c r="G13" i="109" s="1"/>
  <c r="E14" i="109"/>
  <c r="G14" i="109" s="1"/>
  <c r="E15" i="109"/>
  <c r="G15" i="109" s="1"/>
  <c r="E16" i="109"/>
  <c r="G16" i="109" s="1"/>
  <c r="E17" i="109"/>
  <c r="G17" i="109" s="1"/>
  <c r="E18" i="109"/>
  <c r="G18" i="109" s="1"/>
  <c r="E19" i="109"/>
  <c r="G19" i="109" s="1"/>
  <c r="E20" i="109"/>
  <c r="G20" i="109" s="1"/>
  <c r="E21" i="109"/>
  <c r="E22" i="109"/>
  <c r="G22" i="109" s="1"/>
  <c r="E23" i="109"/>
  <c r="G23" i="109" s="1"/>
  <c r="E24" i="109"/>
  <c r="G24" i="109" s="1"/>
  <c r="E25" i="109"/>
  <c r="G25" i="109" s="1"/>
  <c r="E26" i="109"/>
  <c r="G26" i="109" s="1"/>
  <c r="E27" i="109"/>
  <c r="G27" i="109" s="1"/>
  <c r="E28" i="109"/>
  <c r="G28" i="109" s="1"/>
  <c r="E29" i="109"/>
  <c r="G29" i="109" s="1"/>
  <c r="E30" i="109"/>
  <c r="G30" i="109" s="1"/>
  <c r="E31" i="109"/>
  <c r="G31" i="109" s="1"/>
  <c r="E32" i="109"/>
  <c r="G32" i="109" s="1"/>
  <c r="E33" i="109"/>
  <c r="G33" i="109" s="1"/>
  <c r="E34" i="109"/>
  <c r="G34" i="109" s="1"/>
  <c r="E35" i="109"/>
  <c r="G35" i="109" s="1"/>
  <c r="E36" i="109"/>
  <c r="G36" i="109" s="1"/>
  <c r="E37" i="109"/>
  <c r="G37" i="109" s="1"/>
  <c r="E38" i="109"/>
  <c r="G38" i="109" s="1"/>
  <c r="E39" i="109"/>
  <c r="G39" i="109" s="1"/>
  <c r="E40" i="109"/>
  <c r="G40" i="109" s="1"/>
  <c r="E41" i="109"/>
  <c r="G41" i="109" s="1"/>
  <c r="E42" i="109"/>
  <c r="G42" i="109" s="1"/>
  <c r="E43" i="109"/>
  <c r="G43" i="109" s="1"/>
  <c r="E44" i="109"/>
  <c r="G44" i="109" s="1"/>
  <c r="E45" i="109"/>
  <c r="G45" i="109" s="1"/>
  <c r="E46" i="109"/>
  <c r="G46" i="109" s="1"/>
  <c r="E47" i="109"/>
  <c r="G47" i="109" s="1"/>
  <c r="E48" i="109"/>
  <c r="G48" i="109" s="1"/>
  <c r="E49" i="109"/>
  <c r="G49" i="109" s="1"/>
  <c r="E50" i="109"/>
  <c r="G50" i="109" s="1"/>
  <c r="E51" i="109"/>
  <c r="G51" i="109" s="1"/>
  <c r="E52" i="109"/>
  <c r="G52" i="109" s="1"/>
  <c r="E53" i="109"/>
  <c r="G53" i="109" s="1"/>
  <c r="E54" i="109"/>
  <c r="G54" i="109" s="1"/>
  <c r="E56" i="109"/>
  <c r="G56" i="109" s="1"/>
  <c r="E57" i="109"/>
  <c r="G57" i="109" s="1"/>
  <c r="E58" i="109"/>
  <c r="G58" i="109" s="1"/>
  <c r="E59" i="109"/>
  <c r="G59" i="109" s="1"/>
  <c r="E60" i="109"/>
  <c r="G60" i="109" s="1"/>
  <c r="E61" i="109"/>
  <c r="G61" i="109" s="1"/>
  <c r="E62" i="109"/>
  <c r="G62" i="109" s="1"/>
  <c r="E63" i="109"/>
  <c r="G63" i="109" s="1"/>
  <c r="E64" i="109"/>
  <c r="G64" i="109" s="1"/>
  <c r="E65" i="109"/>
  <c r="G65" i="109" s="1"/>
  <c r="E66" i="109"/>
  <c r="G66" i="109" s="1"/>
  <c r="E67" i="109"/>
  <c r="G67" i="109" s="1"/>
  <c r="E68" i="109"/>
  <c r="G68" i="109" s="1"/>
  <c r="E69" i="109"/>
  <c r="G69" i="109" s="1"/>
  <c r="E70" i="109"/>
  <c r="G70" i="109" s="1"/>
  <c r="E71" i="109"/>
  <c r="G71" i="109" s="1"/>
  <c r="E72" i="109"/>
  <c r="G72" i="109" s="1"/>
  <c r="E73" i="109"/>
  <c r="G73" i="109" s="1"/>
  <c r="E74" i="109"/>
  <c r="G74" i="109" s="1"/>
  <c r="E75" i="109"/>
  <c r="G75" i="109" s="1"/>
  <c r="E76" i="109"/>
  <c r="G76" i="109" s="1"/>
  <c r="E77" i="109"/>
  <c r="G77" i="109" s="1"/>
  <c r="E78" i="109"/>
  <c r="G78" i="109" s="1"/>
  <c r="E79" i="109"/>
  <c r="G79" i="109" s="1"/>
  <c r="E80" i="109"/>
  <c r="G80" i="109" s="1"/>
  <c r="E81" i="109"/>
  <c r="G81" i="109" s="1"/>
  <c r="E82" i="109"/>
  <c r="G82" i="109" s="1"/>
  <c r="E83" i="109"/>
  <c r="G83" i="109" s="1"/>
  <c r="E84" i="109"/>
  <c r="G84" i="109" s="1"/>
  <c r="E85" i="109"/>
  <c r="G85" i="109" s="1"/>
  <c r="E86" i="109"/>
  <c r="G86" i="109" s="1"/>
  <c r="E87" i="109"/>
  <c r="G87" i="109" s="1"/>
  <c r="E88" i="109"/>
  <c r="G88" i="109" s="1"/>
  <c r="E89" i="109"/>
  <c r="G89" i="109" s="1"/>
  <c r="E90" i="109"/>
  <c r="G90" i="109" s="1"/>
  <c r="E91" i="109"/>
  <c r="G91" i="109" s="1"/>
  <c r="E92" i="109"/>
  <c r="G92" i="109" s="1"/>
  <c r="E93" i="109"/>
  <c r="G93" i="109" s="1"/>
  <c r="E94" i="109"/>
  <c r="G94" i="109" s="1"/>
  <c r="E95" i="109"/>
  <c r="G95" i="109" s="1"/>
  <c r="E96" i="109"/>
  <c r="G96" i="109" s="1"/>
  <c r="E97" i="109"/>
  <c r="G97" i="109" s="1"/>
  <c r="E98" i="109"/>
  <c r="G98" i="109" s="1"/>
  <c r="E99" i="109"/>
  <c r="G99" i="109" s="1"/>
  <c r="E100" i="109"/>
  <c r="E101" i="109"/>
  <c r="G101" i="109" s="1"/>
  <c r="E102" i="109"/>
  <c r="G102" i="109" s="1"/>
  <c r="E103" i="109"/>
  <c r="G103" i="109" s="1"/>
  <c r="E104" i="109"/>
  <c r="G104" i="109" s="1"/>
  <c r="E105" i="109"/>
  <c r="G105" i="109" s="1"/>
  <c r="E106" i="109"/>
  <c r="G106" i="109" s="1"/>
  <c r="E107" i="109"/>
  <c r="G107" i="109" s="1"/>
  <c r="E108" i="109"/>
  <c r="G108" i="109" s="1"/>
  <c r="E109" i="109"/>
  <c r="G109" i="109" s="1"/>
  <c r="E110" i="109"/>
  <c r="G110" i="109" s="1"/>
  <c r="E111" i="109"/>
  <c r="G111" i="109" s="1"/>
  <c r="E112" i="109"/>
  <c r="G112" i="109" s="1"/>
  <c r="E113" i="109"/>
  <c r="G113" i="109" s="1"/>
  <c r="E114" i="109"/>
  <c r="G114" i="109" s="1"/>
  <c r="E115" i="109"/>
  <c r="G115" i="109" s="1"/>
  <c r="E116" i="109"/>
  <c r="E117" i="109"/>
  <c r="G117" i="109" s="1"/>
  <c r="E118" i="109"/>
  <c r="G118" i="109" s="1"/>
  <c r="E119" i="109"/>
  <c r="G119" i="109" s="1"/>
  <c r="E120" i="109"/>
  <c r="G120" i="109" s="1"/>
  <c r="E121" i="109"/>
  <c r="G121" i="109" s="1"/>
  <c r="E122" i="109"/>
  <c r="G122" i="109" s="1"/>
  <c r="E123" i="109"/>
  <c r="G123" i="109" s="1"/>
  <c r="E9" i="109"/>
  <c r="G9" i="109" s="1"/>
  <c r="D39" i="108"/>
  <c r="C39" i="108"/>
  <c r="C13" i="108"/>
  <c r="C7" i="108"/>
  <c r="F27" i="107"/>
  <c r="E27" i="107"/>
  <c r="E28" i="107" s="1"/>
  <c r="E30" i="107" s="1"/>
  <c r="C35" i="106" s="1"/>
  <c r="J26" i="107"/>
  <c r="J28" i="107" s="1"/>
  <c r="G26" i="107"/>
  <c r="F26" i="107"/>
  <c r="F28" i="107" s="1"/>
  <c r="F30" i="107" s="1"/>
  <c r="D35" i="106" s="1"/>
  <c r="E26" i="107"/>
  <c r="F24" i="107"/>
  <c r="E24" i="107"/>
  <c r="G25" i="107" s="1"/>
  <c r="K23" i="107"/>
  <c r="K21" i="107"/>
  <c r="K28" i="107" s="1"/>
  <c r="H21" i="107"/>
  <c r="M9" i="107"/>
  <c r="G21" i="107"/>
  <c r="G9" i="107"/>
  <c r="K19" i="107"/>
  <c r="F19" i="107"/>
  <c r="E19" i="107"/>
  <c r="M8" i="107"/>
  <c r="M7" i="107"/>
  <c r="K9" i="107"/>
  <c r="H9" i="107"/>
  <c r="F9" i="107"/>
  <c r="E9" i="107"/>
  <c r="F8" i="107"/>
  <c r="E8" i="107"/>
  <c r="J7" i="107"/>
  <c r="H7" i="107"/>
  <c r="C22" i="107"/>
  <c r="K22" i="107" s="1"/>
  <c r="C23" i="107"/>
  <c r="C24" i="107"/>
  <c r="C25" i="107"/>
  <c r="C26" i="107"/>
  <c r="C27" i="107"/>
  <c r="C21" i="107"/>
  <c r="C17" i="95"/>
  <c r="D17" i="95"/>
  <c r="C12" i="106"/>
  <c r="C8" i="106"/>
  <c r="C12" i="105"/>
  <c r="C8" i="105"/>
  <c r="D37" i="104"/>
  <c r="E37" i="104"/>
  <c r="F37" i="104"/>
  <c r="G37" i="104"/>
  <c r="H37" i="104"/>
  <c r="I37" i="104"/>
  <c r="J37" i="104"/>
  <c r="K37" i="104"/>
  <c r="L37" i="104"/>
  <c r="M37" i="104"/>
  <c r="N37" i="104"/>
  <c r="D38" i="104"/>
  <c r="E38" i="104"/>
  <c r="F38" i="104"/>
  <c r="G38" i="104"/>
  <c r="H38" i="104"/>
  <c r="I38" i="104"/>
  <c r="J38" i="104"/>
  <c r="K38" i="104"/>
  <c r="L38" i="104"/>
  <c r="M38" i="104"/>
  <c r="N38" i="104"/>
  <c r="D39" i="104"/>
  <c r="E39" i="104"/>
  <c r="F39" i="104"/>
  <c r="G39" i="104"/>
  <c r="H39" i="104"/>
  <c r="I39" i="104"/>
  <c r="J39" i="104"/>
  <c r="K39" i="104"/>
  <c r="L39" i="104"/>
  <c r="M39" i="104"/>
  <c r="N39" i="104"/>
  <c r="C39" i="104"/>
  <c r="C38" i="104"/>
  <c r="C37" i="104"/>
  <c r="D35" i="104"/>
  <c r="E35" i="104"/>
  <c r="F35" i="104"/>
  <c r="G35" i="104"/>
  <c r="H35" i="104"/>
  <c r="I35" i="104"/>
  <c r="J35" i="104"/>
  <c r="K35" i="104"/>
  <c r="L35" i="104"/>
  <c r="M35" i="104"/>
  <c r="N35" i="104"/>
  <c r="C35" i="104"/>
  <c r="C32" i="104"/>
  <c r="D17" i="104"/>
  <c r="E17" i="104"/>
  <c r="F17" i="104"/>
  <c r="G17" i="104"/>
  <c r="H17" i="104"/>
  <c r="I17" i="104"/>
  <c r="J17" i="104"/>
  <c r="K17" i="104"/>
  <c r="L17" i="104"/>
  <c r="M17" i="104"/>
  <c r="N17" i="104"/>
  <c r="C17" i="104"/>
  <c r="D16" i="104"/>
  <c r="E16" i="104"/>
  <c r="F16" i="104"/>
  <c r="G16" i="104"/>
  <c r="H16" i="104"/>
  <c r="I16" i="104"/>
  <c r="J16" i="104"/>
  <c r="K16" i="104"/>
  <c r="L16" i="104"/>
  <c r="M16" i="104"/>
  <c r="N16" i="104"/>
  <c r="C16" i="104"/>
  <c r="D15" i="104"/>
  <c r="E15" i="104"/>
  <c r="F15" i="104"/>
  <c r="G15" i="104"/>
  <c r="H15" i="104"/>
  <c r="I15" i="104"/>
  <c r="J15" i="104"/>
  <c r="K15" i="104"/>
  <c r="L15" i="104"/>
  <c r="M15" i="104"/>
  <c r="N15" i="104"/>
  <c r="C15" i="104"/>
  <c r="N44" i="103"/>
  <c r="I44" i="103"/>
  <c r="O44" i="103" s="1"/>
  <c r="N36" i="104"/>
  <c r="I36" i="104"/>
  <c r="O36" i="104" s="1"/>
  <c r="D13" i="104"/>
  <c r="E13" i="104"/>
  <c r="F13" i="104"/>
  <c r="G13" i="104"/>
  <c r="H13" i="104"/>
  <c r="I13" i="104"/>
  <c r="J13" i="104"/>
  <c r="K13" i="104"/>
  <c r="L13" i="104"/>
  <c r="M13" i="104"/>
  <c r="N13" i="104"/>
  <c r="C13" i="104"/>
  <c r="O47" i="104"/>
  <c r="N31" i="104"/>
  <c r="N32" i="104" s="1"/>
  <c r="M31" i="104"/>
  <c r="M32" i="104" s="1"/>
  <c r="L31" i="104"/>
  <c r="L32" i="104" s="1"/>
  <c r="K31" i="104"/>
  <c r="K32" i="104" s="1"/>
  <c r="J31" i="104"/>
  <c r="J32" i="104" s="1"/>
  <c r="I31" i="104"/>
  <c r="I32" i="104" s="1"/>
  <c r="H31" i="104"/>
  <c r="H32" i="104" s="1"/>
  <c r="G31" i="104"/>
  <c r="G32" i="104" s="1"/>
  <c r="F31" i="104"/>
  <c r="F32" i="104" s="1"/>
  <c r="E31" i="104"/>
  <c r="E32" i="104" s="1"/>
  <c r="D31" i="104"/>
  <c r="D32" i="104" s="1"/>
  <c r="C31" i="104"/>
  <c r="C52" i="104" s="1"/>
  <c r="N14" i="104"/>
  <c r="I14" i="104"/>
  <c r="N9" i="104"/>
  <c r="N10" i="104" s="1"/>
  <c r="M9" i="104"/>
  <c r="M10" i="104" s="1"/>
  <c r="L9" i="104"/>
  <c r="L10" i="104" s="1"/>
  <c r="K9" i="104"/>
  <c r="K10" i="104" s="1"/>
  <c r="J9" i="104"/>
  <c r="J10" i="104" s="1"/>
  <c r="I9" i="104"/>
  <c r="I10" i="104" s="1"/>
  <c r="H9" i="104"/>
  <c r="H10" i="104" s="1"/>
  <c r="G9" i="104"/>
  <c r="G10" i="104" s="1"/>
  <c r="F9" i="104"/>
  <c r="F10" i="104" s="1"/>
  <c r="E9" i="104"/>
  <c r="E10" i="104" s="1"/>
  <c r="D9" i="104"/>
  <c r="D10" i="104" s="1"/>
  <c r="C9" i="104"/>
  <c r="C10" i="104" s="1"/>
  <c r="D45" i="103"/>
  <c r="E45" i="103"/>
  <c r="F45" i="103"/>
  <c r="G45" i="103"/>
  <c r="H45" i="103"/>
  <c r="I45" i="103"/>
  <c r="J45" i="103"/>
  <c r="K45" i="103"/>
  <c r="L45" i="103"/>
  <c r="M45" i="103"/>
  <c r="N45" i="103"/>
  <c r="C45" i="103"/>
  <c r="D39" i="103"/>
  <c r="D40" i="103" s="1"/>
  <c r="E39" i="103"/>
  <c r="E40" i="103" s="1"/>
  <c r="F39" i="103"/>
  <c r="F40" i="103" s="1"/>
  <c r="G39" i="103"/>
  <c r="G40" i="103" s="1"/>
  <c r="H39" i="103"/>
  <c r="H40" i="103" s="1"/>
  <c r="I39" i="103"/>
  <c r="I40" i="103" s="1"/>
  <c r="J39" i="103"/>
  <c r="J40" i="103" s="1"/>
  <c r="K39" i="103"/>
  <c r="K40" i="103" s="1"/>
  <c r="L39" i="103"/>
  <c r="L40" i="103" s="1"/>
  <c r="M39" i="103"/>
  <c r="M40" i="103" s="1"/>
  <c r="N39" i="103"/>
  <c r="N40" i="103" s="1"/>
  <c r="C39" i="103"/>
  <c r="C40" i="103" s="1"/>
  <c r="C61" i="103"/>
  <c r="D15" i="103"/>
  <c r="E15" i="103"/>
  <c r="F15" i="103"/>
  <c r="G15" i="103"/>
  <c r="H15" i="103"/>
  <c r="I15" i="103"/>
  <c r="J15" i="103"/>
  <c r="K15" i="103"/>
  <c r="L15" i="103"/>
  <c r="M15" i="103"/>
  <c r="N15" i="103"/>
  <c r="C15" i="103"/>
  <c r="N14" i="103"/>
  <c r="I14" i="103"/>
  <c r="D9" i="103"/>
  <c r="D10" i="103" s="1"/>
  <c r="E9" i="103"/>
  <c r="E10" i="103" s="1"/>
  <c r="F9" i="103"/>
  <c r="F10" i="103" s="1"/>
  <c r="G9" i="103"/>
  <c r="G10" i="103" s="1"/>
  <c r="H9" i="103"/>
  <c r="H10" i="103" s="1"/>
  <c r="I9" i="103"/>
  <c r="I10" i="103" s="1"/>
  <c r="J9" i="103"/>
  <c r="J10" i="103" s="1"/>
  <c r="K9" i="103"/>
  <c r="K10" i="103" s="1"/>
  <c r="L9" i="103"/>
  <c r="L10" i="103" s="1"/>
  <c r="M9" i="103"/>
  <c r="M10" i="103" s="1"/>
  <c r="N9" i="103"/>
  <c r="N10" i="103" s="1"/>
  <c r="C9" i="103"/>
  <c r="C10" i="103" s="1"/>
  <c r="D5" i="102"/>
  <c r="G46" i="103" s="1"/>
  <c r="C5" i="102"/>
  <c r="J16" i="103" s="1"/>
  <c r="D17" i="99"/>
  <c r="C17" i="99"/>
  <c r="D10" i="99"/>
  <c r="C10" i="99"/>
  <c r="K28" i="98"/>
  <c r="I39" i="98"/>
  <c r="N33" i="98"/>
  <c r="K34" i="98"/>
  <c r="H26" i="98"/>
  <c r="H27" i="98"/>
  <c r="H28" i="98"/>
  <c r="H29" i="98"/>
  <c r="H36" i="98" s="1"/>
  <c r="H30" i="98"/>
  <c r="H31" i="98"/>
  <c r="H32" i="98"/>
  <c r="H33" i="98"/>
  <c r="H34" i="98"/>
  <c r="H35" i="98"/>
  <c r="H25" i="98"/>
  <c r="C26" i="98"/>
  <c r="C27" i="98"/>
  <c r="C28" i="98"/>
  <c r="C29" i="98"/>
  <c r="F29" i="98" s="1"/>
  <c r="C30" i="98"/>
  <c r="C31" i="98"/>
  <c r="C38" i="98" s="1"/>
  <c r="C32" i="98"/>
  <c r="C39" i="98" s="1"/>
  <c r="C33" i="98"/>
  <c r="F33" i="98" s="1"/>
  <c r="C34" i="98"/>
  <c r="F34" i="98" s="1"/>
  <c r="C35" i="98"/>
  <c r="C25" i="98"/>
  <c r="J39" i="98"/>
  <c r="E39" i="98"/>
  <c r="D39" i="98"/>
  <c r="J38" i="98"/>
  <c r="I38" i="98"/>
  <c r="H38" i="98"/>
  <c r="E38" i="98"/>
  <c r="D38" i="98"/>
  <c r="J36" i="98"/>
  <c r="I36" i="98"/>
  <c r="E36" i="98"/>
  <c r="D36" i="98"/>
  <c r="C36" i="98"/>
  <c r="N35" i="98"/>
  <c r="F35" i="98"/>
  <c r="K32" i="98"/>
  <c r="F32" i="98"/>
  <c r="N31" i="98"/>
  <c r="F31" i="98"/>
  <c r="M30" i="98"/>
  <c r="K30" i="98"/>
  <c r="F30" i="98"/>
  <c r="N29" i="98"/>
  <c r="K29" i="98"/>
  <c r="N28" i="98"/>
  <c r="F28" i="98"/>
  <c r="M27" i="98"/>
  <c r="K27" i="98"/>
  <c r="F27" i="98"/>
  <c r="M26" i="98"/>
  <c r="K26" i="98"/>
  <c r="F26" i="98"/>
  <c r="M25" i="98"/>
  <c r="K25" i="98"/>
  <c r="F25" i="98"/>
  <c r="N17" i="98"/>
  <c r="M17" i="98"/>
  <c r="N13" i="98"/>
  <c r="N14" i="98"/>
  <c r="N15" i="98"/>
  <c r="N16" i="98"/>
  <c r="N12" i="98"/>
  <c r="M11" i="98"/>
  <c r="N10" i="98"/>
  <c r="N9" i="98"/>
  <c r="M7" i="98"/>
  <c r="M8" i="98"/>
  <c r="M6" i="98"/>
  <c r="K16" i="98"/>
  <c r="K15" i="98"/>
  <c r="K14" i="98"/>
  <c r="K13" i="98"/>
  <c r="K20" i="98" s="1"/>
  <c r="K12" i="98"/>
  <c r="K11" i="98"/>
  <c r="K10" i="98"/>
  <c r="K9" i="98"/>
  <c r="K8" i="98"/>
  <c r="K7" i="98"/>
  <c r="K6" i="98"/>
  <c r="K17" i="98" s="1"/>
  <c r="I17" i="98"/>
  <c r="I19" i="98"/>
  <c r="J19" i="98"/>
  <c r="K19" i="98"/>
  <c r="I20" i="98"/>
  <c r="J20" i="98"/>
  <c r="H20" i="98"/>
  <c r="H19" i="98"/>
  <c r="J17" i="98"/>
  <c r="H17" i="98"/>
  <c r="F7" i="98"/>
  <c r="F8" i="98"/>
  <c r="F9" i="98"/>
  <c r="F10" i="98"/>
  <c r="F11" i="98"/>
  <c r="F17" i="98" s="1"/>
  <c r="F12" i="98"/>
  <c r="F13" i="98"/>
  <c r="F20" i="98" s="1"/>
  <c r="F14" i="98"/>
  <c r="F15" i="98"/>
  <c r="F16" i="98"/>
  <c r="F6" i="98"/>
  <c r="D19" i="98"/>
  <c r="E19" i="98"/>
  <c r="F19" i="98"/>
  <c r="D20" i="98"/>
  <c r="E20" i="98"/>
  <c r="D17" i="98"/>
  <c r="E17" i="98"/>
  <c r="C20" i="98"/>
  <c r="C19" i="98"/>
  <c r="C17" i="98"/>
  <c r="C45" i="97"/>
  <c r="C37" i="97"/>
  <c r="C29" i="97"/>
  <c r="C13" i="97"/>
  <c r="D40" i="104"/>
  <c r="E40" i="104"/>
  <c r="F12" i="103"/>
  <c r="G40" i="104"/>
  <c r="H40" i="104"/>
  <c r="I12" i="103"/>
  <c r="J12" i="103"/>
  <c r="K42" i="103"/>
  <c r="L42" i="103"/>
  <c r="M42" i="103"/>
  <c r="N42" i="103"/>
  <c r="O7" i="96"/>
  <c r="O6" i="96"/>
  <c r="K45" i="95"/>
  <c r="I45" i="95"/>
  <c r="J45" i="95" s="1"/>
  <c r="G45" i="95"/>
  <c r="H45" i="95" s="1"/>
  <c r="F45" i="95"/>
  <c r="C45" i="95"/>
  <c r="H105" i="72" l="1"/>
  <c r="H135" i="121"/>
  <c r="K7" i="129"/>
  <c r="K10" i="129" s="1"/>
  <c r="K5" i="73"/>
  <c r="E39" i="108"/>
  <c r="C7" i="102"/>
  <c r="O10" i="96"/>
  <c r="F46" i="103"/>
  <c r="E46" i="103"/>
  <c r="I16" i="103"/>
  <c r="H16" i="103"/>
  <c r="G16" i="103"/>
  <c r="D46" i="103"/>
  <c r="E16" i="103"/>
  <c r="N46" i="103"/>
  <c r="N47" i="103" s="1"/>
  <c r="N50" i="103" s="1"/>
  <c r="N51" i="103" s="1"/>
  <c r="N52" i="103" s="1"/>
  <c r="M46" i="103"/>
  <c r="M47" i="103" s="1"/>
  <c r="M50" i="103" s="1"/>
  <c r="C16" i="103"/>
  <c r="L46" i="103"/>
  <c r="F16" i="103"/>
  <c r="F17" i="103" s="1"/>
  <c r="F20" i="103" s="1"/>
  <c r="C46" i="103"/>
  <c r="N16" i="103"/>
  <c r="K46" i="103"/>
  <c r="K47" i="103" s="1"/>
  <c r="D16" i="103"/>
  <c r="M16" i="103"/>
  <c r="J46" i="103"/>
  <c r="L16" i="103"/>
  <c r="I46" i="103"/>
  <c r="K16" i="103"/>
  <c r="H46" i="103"/>
  <c r="G18" i="104"/>
  <c r="G24" i="104" s="1"/>
  <c r="G26" i="104" s="1"/>
  <c r="I40" i="104"/>
  <c r="J40" i="104"/>
  <c r="K40" i="104"/>
  <c r="O14" i="103"/>
  <c r="J75" i="121"/>
  <c r="I75" i="121"/>
  <c r="H74" i="121"/>
  <c r="D83" i="125"/>
  <c r="E84" i="125" s="1"/>
  <c r="C63" i="121"/>
  <c r="C75" i="121" s="1"/>
  <c r="J73" i="72"/>
  <c r="J43" i="121"/>
  <c r="J11" i="121"/>
  <c r="N26" i="115"/>
  <c r="N37" i="115" s="1"/>
  <c r="C26" i="115"/>
  <c r="K26" i="115"/>
  <c r="K37" i="115" s="1"/>
  <c r="L26" i="115"/>
  <c r="L37" i="115" s="1"/>
  <c r="M26" i="115"/>
  <c r="M37" i="115" s="1"/>
  <c r="D26" i="115"/>
  <c r="D37" i="115" s="1"/>
  <c r="E26" i="115"/>
  <c r="E37" i="115" s="1"/>
  <c r="F26" i="115"/>
  <c r="F37" i="115" s="1"/>
  <c r="G26" i="115"/>
  <c r="G37" i="115" s="1"/>
  <c r="H26" i="115"/>
  <c r="H37" i="115" s="1"/>
  <c r="I26" i="115"/>
  <c r="I37" i="115" s="1"/>
  <c r="J26" i="115"/>
  <c r="J37" i="115" s="1"/>
  <c r="K30" i="107"/>
  <c r="H28" i="107"/>
  <c r="E35" i="106"/>
  <c r="C24" i="119" s="1"/>
  <c r="D127" i="125"/>
  <c r="E128" i="125" s="1"/>
  <c r="G22" i="107"/>
  <c r="G28" i="107" s="1"/>
  <c r="H22" i="107"/>
  <c r="G23" i="107"/>
  <c r="H23" i="107"/>
  <c r="C28" i="107"/>
  <c r="C11" i="121"/>
  <c r="L11" i="121"/>
  <c r="L73" i="72"/>
  <c r="D14" i="73"/>
  <c r="C73" i="72"/>
  <c r="J22" i="129"/>
  <c r="J25" i="129" s="1"/>
  <c r="J9" i="73"/>
  <c r="D12" i="126"/>
  <c r="D15" i="126"/>
  <c r="J42" i="103"/>
  <c r="H42" i="103"/>
  <c r="I42" i="103"/>
  <c r="G42" i="103"/>
  <c r="F18" i="104"/>
  <c r="F24" i="104" s="1"/>
  <c r="F26" i="104" s="1"/>
  <c r="F42" i="103"/>
  <c r="E42" i="103"/>
  <c r="E12" i="103"/>
  <c r="E17" i="103" s="1"/>
  <c r="E20" i="103" s="1"/>
  <c r="D42" i="103"/>
  <c r="D12" i="103"/>
  <c r="D18" i="104"/>
  <c r="D19" i="104" s="1"/>
  <c r="E18" i="104"/>
  <c r="E24" i="104" s="1"/>
  <c r="E26" i="104" s="1"/>
  <c r="F250" i="125"/>
  <c r="L250" i="125"/>
  <c r="I250" i="125"/>
  <c r="M254" i="125"/>
  <c r="M255" i="125" s="1"/>
  <c r="I266" i="125"/>
  <c r="O250" i="125"/>
  <c r="E271" i="125"/>
  <c r="F271" i="125"/>
  <c r="G271" i="125"/>
  <c r="H271" i="125"/>
  <c r="I271" i="125"/>
  <c r="J271" i="125"/>
  <c r="K271" i="125"/>
  <c r="L271" i="125"/>
  <c r="M271" i="125"/>
  <c r="N271" i="125"/>
  <c r="O271" i="125"/>
  <c r="D271" i="125"/>
  <c r="D272" i="125" s="1"/>
  <c r="L255" i="125"/>
  <c r="K255" i="125"/>
  <c r="J255" i="125"/>
  <c r="D267" i="125"/>
  <c r="E264" i="125" s="1"/>
  <c r="E267" i="125" s="1"/>
  <c r="F264" i="125" s="1"/>
  <c r="F267" i="125" s="1"/>
  <c r="G264" i="125" s="1"/>
  <c r="G267" i="125" s="1"/>
  <c r="H264" i="125" s="1"/>
  <c r="H267" i="125" s="1"/>
  <c r="I264" i="125" s="1"/>
  <c r="F255" i="125"/>
  <c r="E255" i="125"/>
  <c r="D255" i="125"/>
  <c r="D256" i="125" s="1"/>
  <c r="E253" i="125" s="1"/>
  <c r="I255" i="125"/>
  <c r="H255" i="125"/>
  <c r="G255" i="125"/>
  <c r="D250" i="125"/>
  <c r="D251" i="125" s="1"/>
  <c r="E248" i="125" s="1"/>
  <c r="E251" i="125" s="1"/>
  <c r="F248" i="125" s="1"/>
  <c r="G200" i="125"/>
  <c r="D233" i="125"/>
  <c r="E230" i="125" s="1"/>
  <c r="E233" i="125" s="1"/>
  <c r="F230" i="125" s="1"/>
  <c r="F233" i="125" s="1"/>
  <c r="G230" i="125" s="1"/>
  <c r="G233" i="125" s="1"/>
  <c r="H230" i="125" s="1"/>
  <c r="H233" i="125" s="1"/>
  <c r="I230" i="125" s="1"/>
  <c r="I233" i="125" s="1"/>
  <c r="J230" i="125" s="1"/>
  <c r="J233" i="125" s="1"/>
  <c r="K230" i="125" s="1"/>
  <c r="K233" i="125" s="1"/>
  <c r="L230" i="125" s="1"/>
  <c r="L233" i="125" s="1"/>
  <c r="M230" i="125" s="1"/>
  <c r="M233" i="125" s="1"/>
  <c r="N230" i="125" s="1"/>
  <c r="N233" i="125" s="1"/>
  <c r="O230" i="125" s="1"/>
  <c r="D216" i="125"/>
  <c r="D217" i="125" s="1"/>
  <c r="E214" i="125" s="1"/>
  <c r="E217" i="125" s="1"/>
  <c r="F214" i="125" s="1"/>
  <c r="L205" i="125"/>
  <c r="M200" i="125"/>
  <c r="E40" i="125"/>
  <c r="I40" i="125"/>
  <c r="K40" i="125"/>
  <c r="G40" i="125"/>
  <c r="J40" i="125"/>
  <c r="H40" i="125"/>
  <c r="L40" i="125"/>
  <c r="M40" i="125"/>
  <c r="N40" i="125"/>
  <c r="F40" i="125"/>
  <c r="O40" i="125"/>
  <c r="C162" i="125"/>
  <c r="B171" i="125"/>
  <c r="B169" i="125"/>
  <c r="C163" i="125"/>
  <c r="B166" i="125"/>
  <c r="C164" i="125"/>
  <c r="D166" i="125" s="1"/>
  <c r="C281" i="125" s="1"/>
  <c r="C32" i="73" s="1"/>
  <c r="D40" i="125"/>
  <c r="D152" i="125"/>
  <c r="D153" i="125" s="1"/>
  <c r="E150" i="125" s="1"/>
  <c r="D139" i="125"/>
  <c r="D140" i="125" s="1"/>
  <c r="E137" i="125" s="1"/>
  <c r="E140" i="125" s="1"/>
  <c r="F137" i="125" s="1"/>
  <c r="F140" i="125" s="1"/>
  <c r="G137" i="125" s="1"/>
  <c r="G140" i="125" s="1"/>
  <c r="H137" i="125" s="1"/>
  <c r="H140" i="125" s="1"/>
  <c r="I137" i="125" s="1"/>
  <c r="I140" i="125" s="1"/>
  <c r="J137" i="125" s="1"/>
  <c r="J140" i="125" s="1"/>
  <c r="K137" i="125" s="1"/>
  <c r="K140" i="125" s="1"/>
  <c r="L137" i="125" s="1"/>
  <c r="L140" i="125" s="1"/>
  <c r="M137" i="125" s="1"/>
  <c r="M140" i="125" s="1"/>
  <c r="N137" i="125" s="1"/>
  <c r="N140" i="125" s="1"/>
  <c r="O137" i="125" s="1"/>
  <c r="O140" i="125" s="1"/>
  <c r="D128" i="125"/>
  <c r="D117" i="125"/>
  <c r="D118" i="125" s="1"/>
  <c r="E115" i="125" s="1"/>
  <c r="E118" i="125" s="1"/>
  <c r="F115" i="125" s="1"/>
  <c r="F118" i="125" s="1"/>
  <c r="G115" i="125" s="1"/>
  <c r="G118" i="125" s="1"/>
  <c r="H115" i="125" s="1"/>
  <c r="H118" i="125" s="1"/>
  <c r="I115" i="125" s="1"/>
  <c r="I118" i="125" s="1"/>
  <c r="J115" i="125" s="1"/>
  <c r="J118" i="125" s="1"/>
  <c r="K115" i="125" s="1"/>
  <c r="K118" i="125" s="1"/>
  <c r="L115" i="125" s="1"/>
  <c r="L118" i="125" s="1"/>
  <c r="M115" i="125" s="1"/>
  <c r="M118" i="125" s="1"/>
  <c r="N115" i="125" s="1"/>
  <c r="N118" i="125" s="1"/>
  <c r="O115" i="125" s="1"/>
  <c r="O118" i="125" s="1"/>
  <c r="D107" i="125"/>
  <c r="E104" i="125" s="1"/>
  <c r="E107" i="125" s="1"/>
  <c r="F104" i="125" s="1"/>
  <c r="F107" i="125" s="1"/>
  <c r="G104" i="125" s="1"/>
  <c r="G107" i="125" s="1"/>
  <c r="H104" i="125" s="1"/>
  <c r="H107" i="125" s="1"/>
  <c r="I104" i="125" s="1"/>
  <c r="I107" i="125" s="1"/>
  <c r="J104" i="125" s="1"/>
  <c r="J107" i="125" s="1"/>
  <c r="K104" i="125" s="1"/>
  <c r="K107" i="125" s="1"/>
  <c r="L104" i="125" s="1"/>
  <c r="L107" i="125" s="1"/>
  <c r="M104" i="125" s="1"/>
  <c r="M107" i="125" s="1"/>
  <c r="N104" i="125" s="1"/>
  <c r="N107" i="125" s="1"/>
  <c r="O104" i="125" s="1"/>
  <c r="O107" i="125" s="1"/>
  <c r="D95" i="125"/>
  <c r="D96" i="125" s="1"/>
  <c r="E93" i="125" s="1"/>
  <c r="E96" i="125" s="1"/>
  <c r="F93" i="125" s="1"/>
  <c r="F96" i="125" s="1"/>
  <c r="G93" i="125" s="1"/>
  <c r="G96" i="125" s="1"/>
  <c r="H93" i="125" s="1"/>
  <c r="H96" i="125" s="1"/>
  <c r="I93" i="125" s="1"/>
  <c r="I96" i="125" s="1"/>
  <c r="J93" i="125" s="1"/>
  <c r="J96" i="125" s="1"/>
  <c r="K93" i="125" s="1"/>
  <c r="K96" i="125" s="1"/>
  <c r="L93" i="125" s="1"/>
  <c r="L96" i="125" s="1"/>
  <c r="M93" i="125" s="1"/>
  <c r="M96" i="125" s="1"/>
  <c r="N93" i="125" s="1"/>
  <c r="N96" i="125" s="1"/>
  <c r="O93" i="125" s="1"/>
  <c r="O96" i="125" s="1"/>
  <c r="D84" i="125"/>
  <c r="D73" i="125"/>
  <c r="D62" i="125"/>
  <c r="D52" i="125"/>
  <c r="E49" i="125" s="1"/>
  <c r="E52" i="125" s="1"/>
  <c r="F49" i="125" s="1"/>
  <c r="F52" i="125" s="1"/>
  <c r="G49" i="125" s="1"/>
  <c r="G52" i="125" s="1"/>
  <c r="H49" i="125" s="1"/>
  <c r="H52" i="125" s="1"/>
  <c r="I49" i="125" s="1"/>
  <c r="I52" i="125" s="1"/>
  <c r="J49" i="125" s="1"/>
  <c r="J52" i="125" s="1"/>
  <c r="K49" i="125" s="1"/>
  <c r="K52" i="125" s="1"/>
  <c r="L49" i="125" s="1"/>
  <c r="L52" i="125" s="1"/>
  <c r="M49" i="125" s="1"/>
  <c r="M52" i="125" s="1"/>
  <c r="N49" i="125" s="1"/>
  <c r="N52" i="125" s="1"/>
  <c r="O49" i="125" s="1"/>
  <c r="O52" i="125" s="1"/>
  <c r="H38" i="124"/>
  <c r="J37" i="124"/>
  <c r="D11" i="72" s="1"/>
  <c r="K37" i="123"/>
  <c r="S37" i="123"/>
  <c r="M6" i="72"/>
  <c r="T37" i="123"/>
  <c r="N6" i="72"/>
  <c r="I16" i="123"/>
  <c r="C11" i="73"/>
  <c r="H38" i="123"/>
  <c r="F7" i="72"/>
  <c r="L37" i="123"/>
  <c r="R37" i="123"/>
  <c r="L6" i="72"/>
  <c r="P37" i="123"/>
  <c r="J6" i="72"/>
  <c r="Q37" i="123"/>
  <c r="K6" i="72"/>
  <c r="L36" i="123"/>
  <c r="L40" i="123" s="1"/>
  <c r="F7" i="70" s="1"/>
  <c r="I36" i="123"/>
  <c r="I40" i="123" s="1"/>
  <c r="C7" i="70" s="1"/>
  <c r="H7" i="72"/>
  <c r="N37" i="123"/>
  <c r="M37" i="123"/>
  <c r="G6" i="72"/>
  <c r="I30" i="123"/>
  <c r="I33" i="123" s="1"/>
  <c r="C13" i="73"/>
  <c r="O37" i="123"/>
  <c r="I19" i="123"/>
  <c r="I23" i="123"/>
  <c r="I26" i="123" s="1"/>
  <c r="U18" i="123"/>
  <c r="O9" i="121"/>
  <c r="O11" i="121" s="1"/>
  <c r="O9" i="120"/>
  <c r="O11" i="120"/>
  <c r="I18" i="104"/>
  <c r="I24" i="104" s="1"/>
  <c r="I26" i="104" s="1"/>
  <c r="J18" i="104"/>
  <c r="J19" i="104" s="1"/>
  <c r="N12" i="103"/>
  <c r="M12" i="103"/>
  <c r="K18" i="104"/>
  <c r="K24" i="104" s="1"/>
  <c r="K26" i="104" s="1"/>
  <c r="L18" i="104"/>
  <c r="N40" i="104"/>
  <c r="N46" i="104" s="1"/>
  <c r="N48" i="104" s="1"/>
  <c r="M18" i="104"/>
  <c r="M24" i="104" s="1"/>
  <c r="M26" i="104" s="1"/>
  <c r="L40" i="104"/>
  <c r="K12" i="103"/>
  <c r="K17" i="103" s="1"/>
  <c r="K20" i="103" s="1"/>
  <c r="M40" i="104"/>
  <c r="C42" i="103"/>
  <c r="C12" i="103"/>
  <c r="L12" i="103"/>
  <c r="N18" i="104"/>
  <c r="C40" i="104"/>
  <c r="H12" i="103"/>
  <c r="F40" i="104"/>
  <c r="F46" i="104" s="1"/>
  <c r="F48" i="104" s="1"/>
  <c r="G12" i="103"/>
  <c r="O9" i="119"/>
  <c r="O11" i="119" s="1"/>
  <c r="H8" i="118"/>
  <c r="G11" i="118"/>
  <c r="F11" i="118"/>
  <c r="H9" i="118"/>
  <c r="G11" i="117"/>
  <c r="H8" i="117"/>
  <c r="O8" i="117"/>
  <c r="F11" i="114"/>
  <c r="H8" i="114"/>
  <c r="G11" i="114"/>
  <c r="D11" i="114"/>
  <c r="H77" i="110"/>
  <c r="J79" i="109" s="1"/>
  <c r="H40" i="110"/>
  <c r="J42" i="109" s="1"/>
  <c r="H24" i="110"/>
  <c r="J26" i="109" s="1"/>
  <c r="H50" i="110"/>
  <c r="J52" i="109" s="1"/>
  <c r="H87" i="110"/>
  <c r="J89" i="109" s="1"/>
  <c r="H113" i="110"/>
  <c r="J115" i="109" s="1"/>
  <c r="H107" i="110"/>
  <c r="J109" i="109" s="1"/>
  <c r="H101" i="110"/>
  <c r="J103" i="109" s="1"/>
  <c r="H121" i="110"/>
  <c r="J123" i="109" s="1"/>
  <c r="H10" i="110"/>
  <c r="J12" i="109" s="1"/>
  <c r="H61" i="110"/>
  <c r="J63" i="109" s="1"/>
  <c r="H53" i="110"/>
  <c r="J55" i="109" s="1"/>
  <c r="H15" i="110"/>
  <c r="J17" i="109" s="1"/>
  <c r="H34" i="110"/>
  <c r="J36" i="109" s="1"/>
  <c r="H71" i="110"/>
  <c r="J73" i="109" s="1"/>
  <c r="H97" i="110"/>
  <c r="J99" i="109" s="1"/>
  <c r="H91" i="110"/>
  <c r="J93" i="109" s="1"/>
  <c r="H85" i="110"/>
  <c r="J87" i="109" s="1"/>
  <c r="H105" i="110"/>
  <c r="J107" i="109" s="1"/>
  <c r="H103" i="110"/>
  <c r="J105" i="109" s="1"/>
  <c r="H52" i="110"/>
  <c r="J54" i="109" s="1"/>
  <c r="H18" i="110"/>
  <c r="J20" i="109" s="1"/>
  <c r="H55" i="110"/>
  <c r="J57" i="109" s="1"/>
  <c r="H81" i="110"/>
  <c r="J83" i="109" s="1"/>
  <c r="H75" i="110"/>
  <c r="J77" i="109" s="1"/>
  <c r="H69" i="110"/>
  <c r="J71" i="109" s="1"/>
  <c r="H89" i="110"/>
  <c r="J91" i="109" s="1"/>
  <c r="H20" i="110"/>
  <c r="J22" i="109" s="1"/>
  <c r="H25" i="110"/>
  <c r="J27" i="109" s="1"/>
  <c r="H65" i="110"/>
  <c r="J67" i="109" s="1"/>
  <c r="H59" i="110"/>
  <c r="J61" i="109" s="1"/>
  <c r="H42" i="110"/>
  <c r="J44" i="109" s="1"/>
  <c r="H73" i="110"/>
  <c r="J75" i="109" s="1"/>
  <c r="H11" i="110"/>
  <c r="J13" i="109" s="1"/>
  <c r="H14" i="110"/>
  <c r="J16" i="109" s="1"/>
  <c r="H28" i="110"/>
  <c r="J30" i="109" s="1"/>
  <c r="H21" i="110"/>
  <c r="J23" i="109" s="1"/>
  <c r="H117" i="110"/>
  <c r="J119" i="109" s="1"/>
  <c r="H119" i="110"/>
  <c r="J121" i="109" s="1"/>
  <c r="H41" i="110"/>
  <c r="J43" i="109" s="1"/>
  <c r="H78" i="110"/>
  <c r="J80" i="109" s="1"/>
  <c r="H36" i="110"/>
  <c r="J38" i="109" s="1"/>
  <c r="H114" i="110"/>
  <c r="J116" i="109" s="1"/>
  <c r="H98" i="110"/>
  <c r="J100" i="109" s="1"/>
  <c r="H32" i="110"/>
  <c r="J34" i="109" s="1"/>
  <c r="H66" i="110"/>
  <c r="J68" i="109" s="1"/>
  <c r="H67" i="110"/>
  <c r="J69" i="109" s="1"/>
  <c r="H94" i="110"/>
  <c r="J96" i="109" s="1"/>
  <c r="H57" i="110"/>
  <c r="J59" i="109" s="1"/>
  <c r="H104" i="110"/>
  <c r="J106" i="109" s="1"/>
  <c r="H22" i="110"/>
  <c r="J24" i="109" s="1"/>
  <c r="H88" i="110"/>
  <c r="J90" i="109" s="1"/>
  <c r="H84" i="110"/>
  <c r="J86" i="109" s="1"/>
  <c r="H79" i="110"/>
  <c r="J81" i="109" s="1"/>
  <c r="H30" i="110"/>
  <c r="J32" i="109" s="1"/>
  <c r="H63" i="110"/>
  <c r="J65" i="109" s="1"/>
  <c r="H116" i="110"/>
  <c r="J118" i="109" s="1"/>
  <c r="H44" i="110"/>
  <c r="J46" i="109" s="1"/>
  <c r="H120" i="110"/>
  <c r="J122" i="109" s="1"/>
  <c r="H38" i="110"/>
  <c r="J40" i="109" s="1"/>
  <c r="H48" i="110"/>
  <c r="J50" i="109" s="1"/>
  <c r="H26" i="110"/>
  <c r="J28" i="109" s="1"/>
  <c r="H62" i="110"/>
  <c r="J64" i="109" s="1"/>
  <c r="H12" i="110"/>
  <c r="J14" i="109" s="1"/>
  <c r="H100" i="110"/>
  <c r="J102" i="109" s="1"/>
  <c r="H51" i="110"/>
  <c r="J53" i="109" s="1"/>
  <c r="H82" i="110"/>
  <c r="J84" i="109" s="1"/>
  <c r="H16" i="110"/>
  <c r="J18" i="109" s="1"/>
  <c r="H35" i="110"/>
  <c r="J37" i="109" s="1"/>
  <c r="H72" i="110"/>
  <c r="J74" i="109" s="1"/>
  <c r="H108" i="110"/>
  <c r="J110" i="109" s="1"/>
  <c r="H118" i="110"/>
  <c r="J120" i="109" s="1"/>
  <c r="H31" i="110"/>
  <c r="J33" i="109" s="1"/>
  <c r="H106" i="110"/>
  <c r="J108" i="109" s="1"/>
  <c r="H19" i="110"/>
  <c r="J21" i="109" s="1"/>
  <c r="H56" i="110"/>
  <c r="J58" i="109" s="1"/>
  <c r="H39" i="110"/>
  <c r="J41" i="109" s="1"/>
  <c r="H92" i="110"/>
  <c r="J94" i="109" s="1"/>
  <c r="H102" i="110"/>
  <c r="J104" i="109" s="1"/>
  <c r="H90" i="110"/>
  <c r="J92" i="109" s="1"/>
  <c r="H8" i="110"/>
  <c r="J10" i="109" s="1"/>
  <c r="H45" i="110"/>
  <c r="J47" i="109" s="1"/>
  <c r="H23" i="110"/>
  <c r="J25" i="109" s="1"/>
  <c r="H76" i="110"/>
  <c r="J78" i="109" s="1"/>
  <c r="H86" i="110"/>
  <c r="J88" i="109" s="1"/>
  <c r="H112" i="110"/>
  <c r="J114" i="109" s="1"/>
  <c r="H74" i="110"/>
  <c r="J76" i="109" s="1"/>
  <c r="O11" i="111"/>
  <c r="D133" i="109"/>
  <c r="D149" i="110"/>
  <c r="I146" i="110"/>
  <c r="E122" i="110"/>
  <c r="E131" i="110" s="1"/>
  <c r="E149" i="110" s="1"/>
  <c r="C149" i="110"/>
  <c r="C133" i="109"/>
  <c r="G124" i="109"/>
  <c r="G128" i="109"/>
  <c r="O128" i="109"/>
  <c r="Q128" i="109" s="1"/>
  <c r="P128" i="109" s="1"/>
  <c r="G130" i="109"/>
  <c r="O130" i="109"/>
  <c r="Q130" i="109" s="1"/>
  <c r="P130" i="109" s="1"/>
  <c r="G140" i="109"/>
  <c r="G125" i="109"/>
  <c r="O125" i="109"/>
  <c r="G143" i="109"/>
  <c r="G131" i="109"/>
  <c r="O131" i="109"/>
  <c r="Q131" i="109" s="1"/>
  <c r="P131" i="109" s="1"/>
  <c r="G139" i="109"/>
  <c r="G142" i="109"/>
  <c r="G138" i="109"/>
  <c r="G145" i="109"/>
  <c r="G144" i="109"/>
  <c r="E132" i="109"/>
  <c r="G141" i="109"/>
  <c r="G126" i="109"/>
  <c r="O126" i="109"/>
  <c r="Q126" i="109" s="1"/>
  <c r="P126" i="109" s="1"/>
  <c r="G146" i="109"/>
  <c r="G127" i="109"/>
  <c r="O127" i="109"/>
  <c r="Q127" i="109" s="1"/>
  <c r="P127" i="109" s="1"/>
  <c r="G129" i="109"/>
  <c r="O129" i="109"/>
  <c r="Q129" i="109" s="1"/>
  <c r="P129" i="109" s="1"/>
  <c r="L132" i="109"/>
  <c r="G137" i="109"/>
  <c r="E149" i="109"/>
  <c r="E124" i="109"/>
  <c r="H18" i="104"/>
  <c r="H19" i="104" s="1"/>
  <c r="O14" i="104"/>
  <c r="O13" i="104"/>
  <c r="D52" i="104"/>
  <c r="E52" i="104" s="1"/>
  <c r="F52" i="104" s="1"/>
  <c r="G52" i="104" s="1"/>
  <c r="H52" i="104" s="1"/>
  <c r="I52" i="104" s="1"/>
  <c r="J52" i="104" s="1"/>
  <c r="K52" i="104" s="1"/>
  <c r="L52" i="104" s="1"/>
  <c r="M52" i="104" s="1"/>
  <c r="N52" i="104" s="1"/>
  <c r="O10" i="104"/>
  <c r="O31" i="104"/>
  <c r="O32" i="104"/>
  <c r="O9" i="104"/>
  <c r="L47" i="103"/>
  <c r="L50" i="103" s="1"/>
  <c r="O40" i="103"/>
  <c r="O39" i="103"/>
  <c r="D61" i="103"/>
  <c r="E61" i="103" s="1"/>
  <c r="F61" i="103" s="1"/>
  <c r="G61" i="103" s="1"/>
  <c r="H61" i="103" s="1"/>
  <c r="I61" i="103" s="1"/>
  <c r="J61" i="103" s="1"/>
  <c r="K61" i="103" s="1"/>
  <c r="L61" i="103" s="1"/>
  <c r="M61" i="103" s="1"/>
  <c r="N61" i="103" s="1"/>
  <c r="C31" i="103"/>
  <c r="D31" i="103"/>
  <c r="E31" i="103" s="1"/>
  <c r="F31" i="103" s="1"/>
  <c r="G31" i="103" s="1"/>
  <c r="H31" i="103" s="1"/>
  <c r="I31" i="103" s="1"/>
  <c r="J31" i="103" s="1"/>
  <c r="K31" i="103" s="1"/>
  <c r="L31" i="103" s="1"/>
  <c r="M31" i="103" s="1"/>
  <c r="N31" i="103" s="1"/>
  <c r="J17" i="103"/>
  <c r="J20" i="103" s="1"/>
  <c r="I17" i="103"/>
  <c r="I20" i="103" s="1"/>
  <c r="O10" i="103"/>
  <c r="O9" i="103"/>
  <c r="N32" i="98"/>
  <c r="K33" i="98"/>
  <c r="K35" i="98"/>
  <c r="N34" i="98"/>
  <c r="N36" i="98"/>
  <c r="M36" i="98"/>
  <c r="K31" i="98"/>
  <c r="K39" i="98"/>
  <c r="H39" i="98"/>
  <c r="K38" i="98"/>
  <c r="F38" i="98"/>
  <c r="F36" i="98"/>
  <c r="F39" i="98"/>
  <c r="K36" i="98"/>
  <c r="L45" i="95"/>
  <c r="M45" i="95" s="1"/>
  <c r="C32" i="95"/>
  <c r="D32" i="95"/>
  <c r="C33" i="95"/>
  <c r="D33" i="95"/>
  <c r="C34" i="95"/>
  <c r="D34" i="95"/>
  <c r="C35" i="95"/>
  <c r="D35" i="95"/>
  <c r="D31" i="95"/>
  <c r="C31" i="95"/>
  <c r="C26" i="95"/>
  <c r="D26" i="95"/>
  <c r="C27" i="95"/>
  <c r="D27" i="95"/>
  <c r="C28" i="95"/>
  <c r="D28" i="95"/>
  <c r="D25" i="95"/>
  <c r="C25" i="95"/>
  <c r="D22" i="95"/>
  <c r="C22" i="95"/>
  <c r="D21" i="95"/>
  <c r="C21" i="95"/>
  <c r="D20" i="95"/>
  <c r="C20" i="95"/>
  <c r="D19" i="95"/>
  <c r="C19" i="95"/>
  <c r="D18" i="95"/>
  <c r="C18" i="95"/>
  <c r="D13" i="95"/>
  <c r="D14" i="95" s="1"/>
  <c r="O31" i="96" s="1"/>
  <c r="Q31" i="96" s="1"/>
  <c r="C13" i="95"/>
  <c r="C14" i="95" s="1"/>
  <c r="D16" i="95"/>
  <c r="C16" i="95"/>
  <c r="C9" i="95"/>
  <c r="D9" i="95"/>
  <c r="C10" i="95"/>
  <c r="D10" i="95"/>
  <c r="D8" i="95"/>
  <c r="C8" i="95"/>
  <c r="D6" i="95"/>
  <c r="C6" i="95"/>
  <c r="D85" i="125" l="1"/>
  <c r="E82" i="125" s="1"/>
  <c r="E85" i="125" s="1"/>
  <c r="F82" i="125" s="1"/>
  <c r="F85" i="125" s="1"/>
  <c r="G82" i="125" s="1"/>
  <c r="G85" i="125" s="1"/>
  <c r="H82" i="125" s="1"/>
  <c r="H85" i="125" s="1"/>
  <c r="I82" i="125" s="1"/>
  <c r="I85" i="125" s="1"/>
  <c r="J82" i="125" s="1"/>
  <c r="J85" i="125" s="1"/>
  <c r="K82" i="125" s="1"/>
  <c r="K85" i="125" s="1"/>
  <c r="L82" i="125" s="1"/>
  <c r="L85" i="125" s="1"/>
  <c r="M82" i="125" s="1"/>
  <c r="M85" i="125" s="1"/>
  <c r="N82" i="125" s="1"/>
  <c r="N85" i="125" s="1"/>
  <c r="O82" i="125" s="1"/>
  <c r="O85" i="125" s="1"/>
  <c r="I105" i="72"/>
  <c r="I135" i="121"/>
  <c r="L7" i="129"/>
  <c r="L10" i="129" s="1"/>
  <c r="L5" i="73"/>
  <c r="O72" i="96"/>
  <c r="O69" i="96"/>
  <c r="O68" i="96"/>
  <c r="O66" i="96"/>
  <c r="O71" i="96"/>
  <c r="O67" i="96"/>
  <c r="O70" i="96"/>
  <c r="O13" i="96"/>
  <c r="J13" i="96" s="1"/>
  <c r="K50" i="103"/>
  <c r="K48" i="103"/>
  <c r="K55" i="103"/>
  <c r="K57" i="103" s="1"/>
  <c r="I47" i="103"/>
  <c r="J47" i="103"/>
  <c r="C28" i="108"/>
  <c r="C43" i="108" s="1"/>
  <c r="C25" i="106"/>
  <c r="C39" i="106" s="1"/>
  <c r="H47" i="103"/>
  <c r="H50" i="103" s="1"/>
  <c r="K31" i="96"/>
  <c r="N31" i="96"/>
  <c r="M31" i="96"/>
  <c r="C31" i="96"/>
  <c r="L31" i="96"/>
  <c r="H31" i="96"/>
  <c r="I31" i="96"/>
  <c r="J31" i="96"/>
  <c r="E31" i="96"/>
  <c r="D31" i="96"/>
  <c r="F31" i="96"/>
  <c r="G31" i="96"/>
  <c r="H17" i="103"/>
  <c r="H20" i="103" s="1"/>
  <c r="G47" i="103"/>
  <c r="G50" i="103" s="1"/>
  <c r="N55" i="103"/>
  <c r="N57" i="103" s="1"/>
  <c r="D129" i="125"/>
  <c r="E126" i="125" s="1"/>
  <c r="E129" i="125" s="1"/>
  <c r="F126" i="125" s="1"/>
  <c r="F129" i="125" s="1"/>
  <c r="G126" i="125" s="1"/>
  <c r="G129" i="125" s="1"/>
  <c r="H126" i="125" s="1"/>
  <c r="H129" i="125" s="1"/>
  <c r="I126" i="125" s="1"/>
  <c r="I129" i="125" s="1"/>
  <c r="J126" i="125" s="1"/>
  <c r="J129" i="125" s="1"/>
  <c r="K126" i="125" s="1"/>
  <c r="K129" i="125" s="1"/>
  <c r="L126" i="125" s="1"/>
  <c r="L129" i="125" s="1"/>
  <c r="M126" i="125" s="1"/>
  <c r="M129" i="125" s="1"/>
  <c r="N126" i="125" s="1"/>
  <c r="N129" i="125" s="1"/>
  <c r="O126" i="125" s="1"/>
  <c r="O129" i="125" s="1"/>
  <c r="M29" i="120"/>
  <c r="L29" i="120"/>
  <c r="D29" i="119"/>
  <c r="K29" i="120"/>
  <c r="E29" i="119"/>
  <c r="J29" i="120"/>
  <c r="F29" i="119"/>
  <c r="I29" i="120"/>
  <c r="G29" i="119"/>
  <c r="H29" i="120"/>
  <c r="H29" i="119"/>
  <c r="N29" i="120"/>
  <c r="G29" i="120"/>
  <c r="I29" i="119"/>
  <c r="F29" i="120"/>
  <c r="J29" i="119"/>
  <c r="E29" i="120"/>
  <c r="K29" i="119"/>
  <c r="D29" i="120"/>
  <c r="L29" i="119"/>
  <c r="C29" i="120"/>
  <c r="M29" i="119"/>
  <c r="N29" i="119"/>
  <c r="C29" i="119"/>
  <c r="E38" i="108"/>
  <c r="G24" i="119"/>
  <c r="H24" i="119"/>
  <c r="E24" i="119"/>
  <c r="I24" i="119"/>
  <c r="J24" i="119"/>
  <c r="F24" i="119"/>
  <c r="K24" i="119"/>
  <c r="L24" i="119"/>
  <c r="M24" i="119"/>
  <c r="N24" i="119"/>
  <c r="D24" i="119"/>
  <c r="C37" i="115"/>
  <c r="O37" i="115" s="1"/>
  <c r="O26" i="115"/>
  <c r="E14" i="73"/>
  <c r="D15" i="73"/>
  <c r="K22" i="129"/>
  <c r="K25" i="129" s="1"/>
  <c r="K9" i="73"/>
  <c r="C31" i="73"/>
  <c r="C33" i="73" s="1"/>
  <c r="C21" i="70"/>
  <c r="F251" i="125"/>
  <c r="G248" i="125" s="1"/>
  <c r="G251" i="125" s="1"/>
  <c r="H248" i="125" s="1"/>
  <c r="H251" i="125" s="1"/>
  <c r="I248" i="125" s="1"/>
  <c r="I251" i="125" s="1"/>
  <c r="J248" i="125" s="1"/>
  <c r="J251" i="125" s="1"/>
  <c r="K248" i="125" s="1"/>
  <c r="K251" i="125" s="1"/>
  <c r="L248" i="125" s="1"/>
  <c r="L251" i="125" s="1"/>
  <c r="M248" i="125" s="1"/>
  <c r="M251" i="125" s="1"/>
  <c r="N248" i="125" s="1"/>
  <c r="N251" i="125" s="1"/>
  <c r="O248" i="125" s="1"/>
  <c r="O251" i="125" s="1"/>
  <c r="C15" i="72"/>
  <c r="O15" i="72" s="1"/>
  <c r="P12" i="126"/>
  <c r="D13" i="126"/>
  <c r="E10" i="126" s="1"/>
  <c r="E13" i="126" s="1"/>
  <c r="F10" i="126" s="1"/>
  <c r="F13" i="126" s="1"/>
  <c r="G10" i="126" s="1"/>
  <c r="G13" i="126" s="1"/>
  <c r="H10" i="126" s="1"/>
  <c r="H13" i="126" s="1"/>
  <c r="I10" i="126" s="1"/>
  <c r="I13" i="126" s="1"/>
  <c r="J10" i="126" s="1"/>
  <c r="J13" i="126" s="1"/>
  <c r="K10" i="126" s="1"/>
  <c r="K13" i="126" s="1"/>
  <c r="L10" i="126" s="1"/>
  <c r="L13" i="126" s="1"/>
  <c r="M10" i="126" s="1"/>
  <c r="M13" i="126" s="1"/>
  <c r="N10" i="126" s="1"/>
  <c r="N13" i="126" s="1"/>
  <c r="O10" i="126" s="1"/>
  <c r="O13" i="126" s="1"/>
  <c r="O12" i="104"/>
  <c r="N17" i="103"/>
  <c r="N20" i="103" s="1"/>
  <c r="N21" i="103" s="1"/>
  <c r="M17" i="103"/>
  <c r="M20" i="103" s="1"/>
  <c r="D17" i="103"/>
  <c r="D20" i="103" s="1"/>
  <c r="M48" i="103"/>
  <c r="C18" i="104"/>
  <c r="C24" i="104" s="1"/>
  <c r="C26" i="104" s="1"/>
  <c r="M55" i="103"/>
  <c r="M57" i="103" s="1"/>
  <c r="D47" i="103"/>
  <c r="D50" i="103" s="1"/>
  <c r="E47" i="103"/>
  <c r="E50" i="103" s="1"/>
  <c r="F19" i="104"/>
  <c r="G17" i="103"/>
  <c r="G20" i="103" s="1"/>
  <c r="O42" i="103"/>
  <c r="F47" i="103"/>
  <c r="F50" i="103" s="1"/>
  <c r="D24" i="104"/>
  <c r="N255" i="125"/>
  <c r="E256" i="125"/>
  <c r="F253" i="125" s="1"/>
  <c r="F256" i="125" s="1"/>
  <c r="G253" i="125" s="1"/>
  <c r="G256" i="125" s="1"/>
  <c r="H253" i="125" s="1"/>
  <c r="H256" i="125" s="1"/>
  <c r="I253" i="125" s="1"/>
  <c r="I256" i="125" s="1"/>
  <c r="J253" i="125" s="1"/>
  <c r="J256" i="125" s="1"/>
  <c r="K253" i="125" s="1"/>
  <c r="K256" i="125" s="1"/>
  <c r="L253" i="125" s="1"/>
  <c r="L256" i="125" s="1"/>
  <c r="M253" i="125" s="1"/>
  <c r="M256" i="125" s="1"/>
  <c r="N253" i="125" s="1"/>
  <c r="O255" i="125"/>
  <c r="I267" i="125"/>
  <c r="J264" i="125" s="1"/>
  <c r="J267" i="125" s="1"/>
  <c r="K264" i="125" s="1"/>
  <c r="K267" i="125" s="1"/>
  <c r="L264" i="125" s="1"/>
  <c r="L267" i="125" s="1"/>
  <c r="M264" i="125" s="1"/>
  <c r="M267" i="125" s="1"/>
  <c r="N264" i="125" s="1"/>
  <c r="N267" i="125" s="1"/>
  <c r="O264" i="125" s="1"/>
  <c r="O267" i="125" s="1"/>
  <c r="D41" i="125"/>
  <c r="E269" i="125"/>
  <c r="E272" i="125" s="1"/>
  <c r="D285" i="125"/>
  <c r="D222" i="125"/>
  <c r="O205" i="125"/>
  <c r="D206" i="125"/>
  <c r="E203" i="125" s="1"/>
  <c r="D168" i="125"/>
  <c r="D169" i="125" s="1"/>
  <c r="E166" i="125" s="1"/>
  <c r="U37" i="123"/>
  <c r="I35" i="124"/>
  <c r="J30" i="123"/>
  <c r="D13" i="73"/>
  <c r="J23" i="123"/>
  <c r="J26" i="123" s="1"/>
  <c r="D12" i="73"/>
  <c r="J16" i="123"/>
  <c r="J19" i="123" s="1"/>
  <c r="D11" i="73"/>
  <c r="I35" i="123"/>
  <c r="I38" i="123" s="1"/>
  <c r="J35" i="123" s="1"/>
  <c r="J38" i="123" s="1"/>
  <c r="K35" i="123" s="1"/>
  <c r="K38" i="123" s="1"/>
  <c r="L35" i="123" s="1"/>
  <c r="L38" i="123" s="1"/>
  <c r="M35" i="123" s="1"/>
  <c r="M38" i="123" s="1"/>
  <c r="N35" i="123" s="1"/>
  <c r="N38" i="123" s="1"/>
  <c r="O35" i="123" s="1"/>
  <c r="O38" i="123" s="1"/>
  <c r="P35" i="123" s="1"/>
  <c r="P38" i="123" s="1"/>
  <c r="Q35" i="123" s="1"/>
  <c r="Q38" i="123" s="1"/>
  <c r="R35" i="123" s="1"/>
  <c r="R38" i="123" s="1"/>
  <c r="S35" i="123" s="1"/>
  <c r="S38" i="123" s="1"/>
  <c r="T35" i="123" s="1"/>
  <c r="T38" i="123" s="1"/>
  <c r="U32" i="123"/>
  <c r="J33" i="123"/>
  <c r="L24" i="104"/>
  <c r="L26" i="104" s="1"/>
  <c r="L19" i="104"/>
  <c r="L17" i="103"/>
  <c r="L20" i="103" s="1"/>
  <c r="N53" i="103"/>
  <c r="N43" i="104"/>
  <c r="N44" i="104" s="1"/>
  <c r="L55" i="103"/>
  <c r="L57" i="103" s="1"/>
  <c r="E19" i="104"/>
  <c r="L48" i="103"/>
  <c r="O12" i="103"/>
  <c r="C17" i="103"/>
  <c r="C25" i="103" s="1"/>
  <c r="O34" i="104"/>
  <c r="H11" i="118"/>
  <c r="H11" i="117"/>
  <c r="H11" i="114"/>
  <c r="J124" i="109"/>
  <c r="J133" i="109" s="1"/>
  <c r="H122" i="110"/>
  <c r="H131" i="110" s="1"/>
  <c r="H149" i="110" s="1"/>
  <c r="E133" i="109"/>
  <c r="I147" i="110"/>
  <c r="O132" i="109"/>
  <c r="G149" i="109"/>
  <c r="F149" i="109" s="1"/>
  <c r="G132" i="109"/>
  <c r="F132" i="109" s="1"/>
  <c r="Q125" i="109"/>
  <c r="F124" i="109"/>
  <c r="G133" i="109"/>
  <c r="F133" i="109" s="1"/>
  <c r="I19" i="104"/>
  <c r="M19" i="104"/>
  <c r="J24" i="104"/>
  <c r="J26" i="104" s="1"/>
  <c r="H24" i="104"/>
  <c r="H26" i="104" s="1"/>
  <c r="N41" i="104"/>
  <c r="L46" i="104"/>
  <c r="L48" i="104" s="1"/>
  <c r="L41" i="104"/>
  <c r="I46" i="104"/>
  <c r="I48" i="104" s="1"/>
  <c r="F41" i="104"/>
  <c r="M46" i="104"/>
  <c r="M48" i="104" s="1"/>
  <c r="M41" i="104"/>
  <c r="G41" i="104"/>
  <c r="G46" i="104"/>
  <c r="G48" i="104" s="1"/>
  <c r="H41" i="104"/>
  <c r="H46" i="104"/>
  <c r="H48" i="104" s="1"/>
  <c r="K46" i="104"/>
  <c r="K48" i="104" s="1"/>
  <c r="K41" i="104"/>
  <c r="I41" i="104"/>
  <c r="O35" i="104"/>
  <c r="G19" i="104"/>
  <c r="K19" i="104"/>
  <c r="N48" i="103"/>
  <c r="D46" i="104"/>
  <c r="D48" i="104" s="1"/>
  <c r="D41" i="104"/>
  <c r="C41" i="104"/>
  <c r="C46" i="104"/>
  <c r="O40" i="104"/>
  <c r="J46" i="104"/>
  <c r="J48" i="104" s="1"/>
  <c r="J41" i="104"/>
  <c r="N24" i="104"/>
  <c r="N26" i="104" s="1"/>
  <c r="N19" i="104"/>
  <c r="E46" i="104"/>
  <c r="E48" i="104" s="1"/>
  <c r="E41" i="104"/>
  <c r="M51" i="103"/>
  <c r="E25" i="103"/>
  <c r="E27" i="103" s="1"/>
  <c r="E18" i="103"/>
  <c r="I18" i="103"/>
  <c r="I25" i="103"/>
  <c r="I27" i="103" s="1"/>
  <c r="K18" i="103"/>
  <c r="K25" i="103"/>
  <c r="K27" i="103" s="1"/>
  <c r="F18" i="103"/>
  <c r="F25" i="103"/>
  <c r="F27" i="103" s="1"/>
  <c r="J18" i="103"/>
  <c r="J25" i="103"/>
  <c r="J27" i="103" s="1"/>
  <c r="C36" i="95"/>
  <c r="C29" i="95"/>
  <c r="D29" i="95"/>
  <c r="O49" i="96" s="1"/>
  <c r="D36" i="95"/>
  <c r="O58" i="96" s="1"/>
  <c r="C23" i="95"/>
  <c r="D23" i="95"/>
  <c r="C11" i="95"/>
  <c r="D11" i="95"/>
  <c r="O22" i="96" s="1"/>
  <c r="K22" i="96" s="1"/>
  <c r="C38" i="95" l="1"/>
  <c r="N49" i="104"/>
  <c r="N45" i="132"/>
  <c r="N46" i="135"/>
  <c r="N22" i="132"/>
  <c r="N22" i="135"/>
  <c r="M7" i="129"/>
  <c r="M10" i="129" s="1"/>
  <c r="M5" i="73"/>
  <c r="J105" i="72"/>
  <c r="J135" i="121"/>
  <c r="N22" i="96"/>
  <c r="Q13" i="96"/>
  <c r="L13" i="96"/>
  <c r="K13" i="96"/>
  <c r="E70" i="96"/>
  <c r="N70" i="96"/>
  <c r="F70" i="96"/>
  <c r="I70" i="96"/>
  <c r="L70" i="96"/>
  <c r="H70" i="96"/>
  <c r="K70" i="96"/>
  <c r="G70" i="96"/>
  <c r="M70" i="96"/>
  <c r="J70" i="96"/>
  <c r="D13" i="96"/>
  <c r="H67" i="96"/>
  <c r="E67" i="96"/>
  <c r="I67" i="96"/>
  <c r="G67" i="96"/>
  <c r="J67" i="96"/>
  <c r="M67" i="96"/>
  <c r="K67" i="96"/>
  <c r="L67" i="96"/>
  <c r="N67" i="96"/>
  <c r="F67" i="96"/>
  <c r="M13" i="96"/>
  <c r="L71" i="96"/>
  <c r="H71" i="96"/>
  <c r="M71" i="96"/>
  <c r="G71" i="96"/>
  <c r="N71" i="96"/>
  <c r="F71" i="96"/>
  <c r="K71" i="96"/>
  <c r="I71" i="96"/>
  <c r="J71" i="96"/>
  <c r="E71" i="96"/>
  <c r="H13" i="96"/>
  <c r="F66" i="96"/>
  <c r="N66" i="96"/>
  <c r="G66" i="96"/>
  <c r="I66" i="96"/>
  <c r="E66" i="96"/>
  <c r="H66" i="96"/>
  <c r="K66" i="96"/>
  <c r="L66" i="96"/>
  <c r="J66" i="96"/>
  <c r="M66" i="96"/>
  <c r="N13" i="96"/>
  <c r="I13" i="96"/>
  <c r="H68" i="96"/>
  <c r="E68" i="96"/>
  <c r="L68" i="96"/>
  <c r="G68" i="96"/>
  <c r="J68" i="96"/>
  <c r="N68" i="96"/>
  <c r="M68" i="96"/>
  <c r="I68" i="96"/>
  <c r="F68" i="96"/>
  <c r="K68" i="96"/>
  <c r="F13" i="96"/>
  <c r="F69" i="96"/>
  <c r="K69" i="96"/>
  <c r="L69" i="96"/>
  <c r="M69" i="96"/>
  <c r="N69" i="96"/>
  <c r="G69" i="96"/>
  <c r="I69" i="96"/>
  <c r="H69" i="96"/>
  <c r="J69" i="96"/>
  <c r="E69" i="96"/>
  <c r="E13" i="96"/>
  <c r="J72" i="96"/>
  <c r="E72" i="96"/>
  <c r="N72" i="96"/>
  <c r="K72" i="96"/>
  <c r="F72" i="96"/>
  <c r="G72" i="96"/>
  <c r="H72" i="96"/>
  <c r="I72" i="96"/>
  <c r="L72" i="96"/>
  <c r="M72" i="96"/>
  <c r="O24" i="119"/>
  <c r="M22" i="96"/>
  <c r="L22" i="96"/>
  <c r="E22" i="96"/>
  <c r="J22" i="96"/>
  <c r="D22" i="96"/>
  <c r="G22" i="96"/>
  <c r="C22" i="96"/>
  <c r="I22" i="96"/>
  <c r="H22" i="96"/>
  <c r="C13" i="96"/>
  <c r="D38" i="95"/>
  <c r="F22" i="96"/>
  <c r="G13" i="96"/>
  <c r="J50" i="103"/>
  <c r="J48" i="103"/>
  <c r="J55" i="103"/>
  <c r="J57" i="103" s="1"/>
  <c r="I50" i="103"/>
  <c r="I55" i="103"/>
  <c r="I57" i="103" s="1"/>
  <c r="I48" i="103"/>
  <c r="G55" i="103"/>
  <c r="G57" i="103" s="1"/>
  <c r="C47" i="103"/>
  <c r="G48" i="103"/>
  <c r="H48" i="103"/>
  <c r="H55" i="103"/>
  <c r="H57" i="103" s="1"/>
  <c r="H18" i="103"/>
  <c r="H25" i="103"/>
  <c r="H27" i="103" s="1"/>
  <c r="J49" i="96"/>
  <c r="K49" i="96"/>
  <c r="M49" i="96"/>
  <c r="L49" i="96"/>
  <c r="N49" i="96"/>
  <c r="D49" i="96"/>
  <c r="C49" i="96"/>
  <c r="F49" i="96"/>
  <c r="I49" i="96"/>
  <c r="H49" i="96"/>
  <c r="G49" i="96"/>
  <c r="E49" i="96"/>
  <c r="N58" i="96"/>
  <c r="D58" i="96"/>
  <c r="E58" i="96"/>
  <c r="F58" i="96"/>
  <c r="G58" i="96"/>
  <c r="C58" i="96"/>
  <c r="H58" i="96"/>
  <c r="J58" i="96"/>
  <c r="K58" i="96"/>
  <c r="L58" i="96"/>
  <c r="I58" i="96"/>
  <c r="M58" i="96"/>
  <c r="F55" i="103"/>
  <c r="F57" i="103" s="1"/>
  <c r="O18" i="104"/>
  <c r="O19" i="104" s="1"/>
  <c r="G18" i="103"/>
  <c r="G25" i="103"/>
  <c r="G27" i="103" s="1"/>
  <c r="N18" i="103"/>
  <c r="N25" i="103"/>
  <c r="N27" i="103" s="1"/>
  <c r="M25" i="103"/>
  <c r="M27" i="103" s="1"/>
  <c r="M18" i="103"/>
  <c r="D55" i="103"/>
  <c r="C20" i="103"/>
  <c r="N58" i="103"/>
  <c r="E38" i="125"/>
  <c r="E41" i="125" s="1"/>
  <c r="F38" i="125" s="1"/>
  <c r="F41" i="125" s="1"/>
  <c r="N256" i="125"/>
  <c r="O253" i="125" s="1"/>
  <c r="O256" i="125" s="1"/>
  <c r="D277" i="125"/>
  <c r="C13" i="72" s="1"/>
  <c r="O29" i="120"/>
  <c r="C38" i="108"/>
  <c r="D38" i="108"/>
  <c r="O29" i="119"/>
  <c r="F14" i="73"/>
  <c r="C45" i="73"/>
  <c r="C19" i="73"/>
  <c r="L22" i="129"/>
  <c r="L25" i="129" s="1"/>
  <c r="L9" i="73"/>
  <c r="D25" i="103"/>
  <c r="C18" i="103"/>
  <c r="D18" i="103"/>
  <c r="M21" i="103"/>
  <c r="L21" i="103" s="1"/>
  <c r="F48" i="103"/>
  <c r="E55" i="103"/>
  <c r="E57" i="103" s="1"/>
  <c r="E48" i="103"/>
  <c r="L25" i="103"/>
  <c r="L27" i="103" s="1"/>
  <c r="O17" i="103"/>
  <c r="D48" i="103"/>
  <c r="L18" i="103"/>
  <c r="C19" i="104"/>
  <c r="D289" i="125"/>
  <c r="D17" i="73"/>
  <c r="C89" i="72" s="1"/>
  <c r="E219" i="125"/>
  <c r="F269" i="125"/>
  <c r="F272" i="125" s="1"/>
  <c r="E285" i="125"/>
  <c r="E222" i="125"/>
  <c r="E205" i="125"/>
  <c r="E206" i="125" s="1"/>
  <c r="F203" i="125" s="1"/>
  <c r="F206" i="125" s="1"/>
  <c r="G203" i="125" s="1"/>
  <c r="F200" i="125"/>
  <c r="E201" i="125"/>
  <c r="F198" i="125" s="1"/>
  <c r="K205" i="125"/>
  <c r="L200" i="125"/>
  <c r="I205" i="125"/>
  <c r="J200" i="125"/>
  <c r="N200" i="125"/>
  <c r="M205" i="125"/>
  <c r="G205" i="125"/>
  <c r="H200" i="125"/>
  <c r="K30" i="123"/>
  <c r="K33" i="123" s="1"/>
  <c r="E13" i="73"/>
  <c r="K16" i="123"/>
  <c r="K19" i="123" s="1"/>
  <c r="E11" i="73"/>
  <c r="K23" i="123"/>
  <c r="K26" i="123" s="1"/>
  <c r="E12" i="73"/>
  <c r="E15" i="73" s="1"/>
  <c r="O40" i="96"/>
  <c r="C9" i="102"/>
  <c r="D7" i="102"/>
  <c r="D9" i="102" s="1"/>
  <c r="O41" i="104"/>
  <c r="D20" i="105"/>
  <c r="Q132" i="109"/>
  <c r="P132" i="109" s="1"/>
  <c r="P125" i="109"/>
  <c r="O24" i="104"/>
  <c r="O46" i="104"/>
  <c r="C48" i="104"/>
  <c r="M52" i="103"/>
  <c r="L51" i="103"/>
  <c r="Q58" i="96"/>
  <c r="Q22" i="96"/>
  <c r="Q49" i="96"/>
  <c r="F195" i="94"/>
  <c r="G194" i="94"/>
  <c r="E6" i="95" s="1"/>
  <c r="H194" i="94"/>
  <c r="J194" i="94"/>
  <c r="L194" i="94"/>
  <c r="J6" i="95" s="1"/>
  <c r="G193" i="94"/>
  <c r="H193" i="94"/>
  <c r="I193" i="94" s="1"/>
  <c r="J193" i="94"/>
  <c r="K193" i="94" s="1"/>
  <c r="L193" i="94"/>
  <c r="G192" i="94"/>
  <c r="H192" i="94"/>
  <c r="J192" i="94"/>
  <c r="L192" i="94"/>
  <c r="G191" i="94"/>
  <c r="E32" i="95" s="1"/>
  <c r="H191" i="94"/>
  <c r="J191" i="94"/>
  <c r="L191" i="94"/>
  <c r="J32" i="95" s="1"/>
  <c r="G190" i="94"/>
  <c r="E33" i="95" s="1"/>
  <c r="H190" i="94"/>
  <c r="J190" i="94"/>
  <c r="L190" i="94"/>
  <c r="J33" i="95" s="1"/>
  <c r="G189" i="94"/>
  <c r="E34" i="95" s="1"/>
  <c r="H189" i="94"/>
  <c r="J189" i="94"/>
  <c r="L189" i="94"/>
  <c r="J34" i="95" s="1"/>
  <c r="G188" i="94"/>
  <c r="E31" i="95" s="1"/>
  <c r="H188" i="94"/>
  <c r="J188" i="94"/>
  <c r="L188" i="94"/>
  <c r="J31" i="95" s="1"/>
  <c r="G187" i="94"/>
  <c r="H187" i="94"/>
  <c r="I187" i="94" s="1"/>
  <c r="J187" i="94"/>
  <c r="K187" i="94" s="1"/>
  <c r="L187" i="94"/>
  <c r="G186" i="94"/>
  <c r="H186" i="94"/>
  <c r="I186" i="94" s="1"/>
  <c r="J186" i="94"/>
  <c r="K186" i="94" s="1"/>
  <c r="L186" i="94"/>
  <c r="G185" i="94"/>
  <c r="H185" i="94"/>
  <c r="J185" i="94"/>
  <c r="L185" i="94"/>
  <c r="G150" i="94"/>
  <c r="H150" i="94"/>
  <c r="I150" i="94" s="1"/>
  <c r="J150" i="94"/>
  <c r="K150" i="94" s="1"/>
  <c r="L150" i="94"/>
  <c r="G151" i="94"/>
  <c r="H151" i="94"/>
  <c r="I151" i="94" s="1"/>
  <c r="J151" i="94"/>
  <c r="K151" i="94" s="1"/>
  <c r="L151" i="94"/>
  <c r="G152" i="94"/>
  <c r="H152" i="94"/>
  <c r="I152" i="94" s="1"/>
  <c r="J152" i="94"/>
  <c r="K152" i="94" s="1"/>
  <c r="L152" i="94"/>
  <c r="G153" i="94"/>
  <c r="H153" i="94"/>
  <c r="I153" i="94" s="1"/>
  <c r="J153" i="94"/>
  <c r="K153" i="94" s="1"/>
  <c r="L153" i="94"/>
  <c r="G154" i="94"/>
  <c r="H154" i="94"/>
  <c r="I154" i="94" s="1"/>
  <c r="J154" i="94"/>
  <c r="K154" i="94" s="1"/>
  <c r="L154" i="94"/>
  <c r="G155" i="94"/>
  <c r="H155" i="94"/>
  <c r="J155" i="94"/>
  <c r="L155" i="94"/>
  <c r="G156" i="94"/>
  <c r="H156" i="94"/>
  <c r="I156" i="94" s="1"/>
  <c r="J156" i="94"/>
  <c r="K156" i="94" s="1"/>
  <c r="L156" i="94"/>
  <c r="G157" i="94"/>
  <c r="H157" i="94"/>
  <c r="I157" i="94" s="1"/>
  <c r="J157" i="94"/>
  <c r="K157" i="94" s="1"/>
  <c r="L157" i="94"/>
  <c r="G158" i="94"/>
  <c r="H158" i="94"/>
  <c r="I158" i="94" s="1"/>
  <c r="J158" i="94"/>
  <c r="K158" i="94" s="1"/>
  <c r="L158" i="94"/>
  <c r="G159" i="94"/>
  <c r="H159" i="94"/>
  <c r="I159" i="94" s="1"/>
  <c r="J159" i="94"/>
  <c r="K159" i="94" s="1"/>
  <c r="L159" i="94"/>
  <c r="G160" i="94"/>
  <c r="H160" i="94"/>
  <c r="I160" i="94" s="1"/>
  <c r="J160" i="94"/>
  <c r="K160" i="94" s="1"/>
  <c r="L160" i="94"/>
  <c r="G161" i="94"/>
  <c r="H161" i="94"/>
  <c r="I161" i="94" s="1"/>
  <c r="J161" i="94"/>
  <c r="K161" i="94" s="1"/>
  <c r="L161" i="94"/>
  <c r="G162" i="94"/>
  <c r="H162" i="94"/>
  <c r="I162" i="94" s="1"/>
  <c r="J162" i="94"/>
  <c r="K162" i="94" s="1"/>
  <c r="L162" i="94"/>
  <c r="G163" i="94"/>
  <c r="H163" i="94"/>
  <c r="I163" i="94" s="1"/>
  <c r="J163" i="94"/>
  <c r="K163" i="94" s="1"/>
  <c r="L163" i="94"/>
  <c r="G164" i="94"/>
  <c r="H164" i="94"/>
  <c r="I164" i="94" s="1"/>
  <c r="J164" i="94"/>
  <c r="K164" i="94" s="1"/>
  <c r="L164" i="94"/>
  <c r="G165" i="94"/>
  <c r="H165" i="94"/>
  <c r="I165" i="94" s="1"/>
  <c r="J165" i="94"/>
  <c r="K165" i="94" s="1"/>
  <c r="L165" i="94"/>
  <c r="G166" i="94"/>
  <c r="H166" i="94"/>
  <c r="I166" i="94" s="1"/>
  <c r="J166" i="94"/>
  <c r="K166" i="94" s="1"/>
  <c r="L166" i="94"/>
  <c r="G167" i="94"/>
  <c r="H167" i="94"/>
  <c r="I167" i="94" s="1"/>
  <c r="J167" i="94"/>
  <c r="K167" i="94" s="1"/>
  <c r="L167" i="94"/>
  <c r="G168" i="94"/>
  <c r="H168" i="94"/>
  <c r="I168" i="94" s="1"/>
  <c r="J168" i="94"/>
  <c r="K168" i="94" s="1"/>
  <c r="L168" i="94"/>
  <c r="G169" i="94"/>
  <c r="H169" i="94"/>
  <c r="I169" i="94" s="1"/>
  <c r="J169" i="94"/>
  <c r="K169" i="94" s="1"/>
  <c r="L169" i="94"/>
  <c r="G170" i="94"/>
  <c r="H170" i="94"/>
  <c r="I170" i="94" s="1"/>
  <c r="J170" i="94"/>
  <c r="K170" i="94" s="1"/>
  <c r="L170" i="94"/>
  <c r="G171" i="94"/>
  <c r="H171" i="94"/>
  <c r="I171" i="94" s="1"/>
  <c r="J171" i="94"/>
  <c r="K171" i="94" s="1"/>
  <c r="L171" i="94"/>
  <c r="G172" i="94"/>
  <c r="H172" i="94"/>
  <c r="I172" i="94" s="1"/>
  <c r="J172" i="94"/>
  <c r="K172" i="94" s="1"/>
  <c r="L172" i="94"/>
  <c r="G173" i="94"/>
  <c r="H173" i="94"/>
  <c r="I173" i="94" s="1"/>
  <c r="J173" i="94"/>
  <c r="K173" i="94" s="1"/>
  <c r="L173" i="94"/>
  <c r="G174" i="94"/>
  <c r="H174" i="94"/>
  <c r="I174" i="94" s="1"/>
  <c r="J174" i="94"/>
  <c r="K174" i="94" s="1"/>
  <c r="L174" i="94"/>
  <c r="G175" i="94"/>
  <c r="H175" i="94"/>
  <c r="I175" i="94" s="1"/>
  <c r="J175" i="94"/>
  <c r="K175" i="94" s="1"/>
  <c r="L175" i="94"/>
  <c r="G176" i="94"/>
  <c r="H176" i="94"/>
  <c r="I176" i="94" s="1"/>
  <c r="J176" i="94"/>
  <c r="K176" i="94" s="1"/>
  <c r="L176" i="94"/>
  <c r="G177" i="94"/>
  <c r="H177" i="94"/>
  <c r="I177" i="94" s="1"/>
  <c r="J177" i="94"/>
  <c r="K177" i="94" s="1"/>
  <c r="L177" i="94"/>
  <c r="G178" i="94"/>
  <c r="H178" i="94"/>
  <c r="I178" i="94" s="1"/>
  <c r="J178" i="94"/>
  <c r="K178" i="94" s="1"/>
  <c r="L178" i="94"/>
  <c r="G179" i="94"/>
  <c r="H179" i="94"/>
  <c r="I179" i="94" s="1"/>
  <c r="J179" i="94"/>
  <c r="K179" i="94" s="1"/>
  <c r="L179" i="94"/>
  <c r="G180" i="94"/>
  <c r="H180" i="94"/>
  <c r="I180" i="94" s="1"/>
  <c r="J180" i="94"/>
  <c r="K180" i="94" s="1"/>
  <c r="L180" i="94"/>
  <c r="G181" i="94"/>
  <c r="H181" i="94"/>
  <c r="I181" i="94" s="1"/>
  <c r="J181" i="94"/>
  <c r="K181" i="94" s="1"/>
  <c r="L181" i="94"/>
  <c r="G182" i="94"/>
  <c r="H182" i="94"/>
  <c r="I182" i="94" s="1"/>
  <c r="J182" i="94"/>
  <c r="K182" i="94" s="1"/>
  <c r="L182" i="94"/>
  <c r="G183" i="94"/>
  <c r="H183" i="94"/>
  <c r="I183" i="94" s="1"/>
  <c r="J183" i="94"/>
  <c r="K183" i="94" s="1"/>
  <c r="L183" i="94"/>
  <c r="G184" i="94"/>
  <c r="H184" i="94"/>
  <c r="I184" i="94" s="1"/>
  <c r="J184" i="94"/>
  <c r="K184" i="94" s="1"/>
  <c r="L184" i="94"/>
  <c r="G149" i="94"/>
  <c r="H149" i="94"/>
  <c r="I149" i="94" s="1"/>
  <c r="J149" i="94"/>
  <c r="K149" i="94" s="1"/>
  <c r="L149" i="94"/>
  <c r="G144" i="94"/>
  <c r="H144" i="94"/>
  <c r="I144" i="94" s="1"/>
  <c r="J144" i="94"/>
  <c r="K144" i="94" s="1"/>
  <c r="L144" i="94"/>
  <c r="G145" i="94"/>
  <c r="E19" i="95" s="1"/>
  <c r="H145" i="94"/>
  <c r="J145" i="94"/>
  <c r="L145" i="94"/>
  <c r="J19" i="95" s="1"/>
  <c r="G146" i="94"/>
  <c r="E25" i="95" s="1"/>
  <c r="H146" i="94"/>
  <c r="J146" i="94"/>
  <c r="L146" i="94"/>
  <c r="J25" i="95" s="1"/>
  <c r="G147" i="94"/>
  <c r="H147" i="94"/>
  <c r="J147" i="94"/>
  <c r="L147" i="94"/>
  <c r="G148" i="94"/>
  <c r="H148" i="94"/>
  <c r="I148" i="94" s="1"/>
  <c r="J148" i="94"/>
  <c r="K148" i="94" s="1"/>
  <c r="L148" i="94"/>
  <c r="G143" i="94"/>
  <c r="H143" i="94"/>
  <c r="J143" i="94"/>
  <c r="L143" i="94"/>
  <c r="G142" i="94"/>
  <c r="H142" i="94"/>
  <c r="I142" i="94" s="1"/>
  <c r="J142" i="94"/>
  <c r="K142" i="94" s="1"/>
  <c r="L142" i="94"/>
  <c r="G141" i="94"/>
  <c r="H141" i="94"/>
  <c r="J141" i="94"/>
  <c r="L141" i="94"/>
  <c r="G140" i="94"/>
  <c r="E21" i="95" s="1"/>
  <c r="H140" i="94"/>
  <c r="J140" i="94"/>
  <c r="H21" i="95" s="1"/>
  <c r="L140" i="94"/>
  <c r="J21" i="95" s="1"/>
  <c r="G132" i="94"/>
  <c r="H132" i="94"/>
  <c r="I132" i="94" s="1"/>
  <c r="J132" i="94"/>
  <c r="K132" i="94" s="1"/>
  <c r="L132" i="94"/>
  <c r="G133" i="94"/>
  <c r="H133" i="94"/>
  <c r="I133" i="94" s="1"/>
  <c r="J133" i="94"/>
  <c r="K133" i="94" s="1"/>
  <c r="L133" i="94"/>
  <c r="G134" i="94"/>
  <c r="H134" i="94"/>
  <c r="I134" i="94" s="1"/>
  <c r="J134" i="94"/>
  <c r="K134" i="94" s="1"/>
  <c r="L134" i="94"/>
  <c r="G135" i="94"/>
  <c r="H135" i="94"/>
  <c r="I135" i="94" s="1"/>
  <c r="J135" i="94"/>
  <c r="K135" i="94" s="1"/>
  <c r="L135" i="94"/>
  <c r="G136" i="94"/>
  <c r="H136" i="94"/>
  <c r="I136" i="94" s="1"/>
  <c r="J136" i="94"/>
  <c r="K136" i="94" s="1"/>
  <c r="L136" i="94"/>
  <c r="G137" i="94"/>
  <c r="H137" i="94"/>
  <c r="I137" i="94" s="1"/>
  <c r="J137" i="94"/>
  <c r="K137" i="94" s="1"/>
  <c r="L137" i="94"/>
  <c r="G138" i="94"/>
  <c r="H138" i="94"/>
  <c r="I138" i="94" s="1"/>
  <c r="J138" i="94"/>
  <c r="K138" i="94" s="1"/>
  <c r="L138" i="94"/>
  <c r="G139" i="94"/>
  <c r="H139" i="94"/>
  <c r="I139" i="94" s="1"/>
  <c r="J139" i="94"/>
  <c r="K139" i="94" s="1"/>
  <c r="L139" i="94"/>
  <c r="G128" i="94"/>
  <c r="H128" i="94"/>
  <c r="I128" i="94" s="1"/>
  <c r="J128" i="94"/>
  <c r="K128" i="94" s="1"/>
  <c r="L128" i="94"/>
  <c r="G129" i="94"/>
  <c r="H129" i="94"/>
  <c r="I129" i="94" s="1"/>
  <c r="J129" i="94"/>
  <c r="K129" i="94" s="1"/>
  <c r="L129" i="94"/>
  <c r="G130" i="94"/>
  <c r="H130" i="94"/>
  <c r="I130" i="94" s="1"/>
  <c r="J130" i="94"/>
  <c r="K130" i="94" s="1"/>
  <c r="L130" i="94"/>
  <c r="G131" i="94"/>
  <c r="H131" i="94"/>
  <c r="I131" i="94" s="1"/>
  <c r="J131" i="94"/>
  <c r="K131" i="94" s="1"/>
  <c r="L131" i="94"/>
  <c r="G127" i="94"/>
  <c r="H127" i="94"/>
  <c r="I127" i="94" s="1"/>
  <c r="J127" i="94"/>
  <c r="K127" i="94" s="1"/>
  <c r="L127" i="94"/>
  <c r="G126" i="94"/>
  <c r="H126" i="94"/>
  <c r="I126" i="94" s="1"/>
  <c r="J126" i="94"/>
  <c r="K126" i="94" s="1"/>
  <c r="L126" i="94"/>
  <c r="G125" i="94"/>
  <c r="H125" i="94"/>
  <c r="I125" i="94" s="1"/>
  <c r="J125" i="94"/>
  <c r="K125" i="94" s="1"/>
  <c r="L125" i="94"/>
  <c r="G124" i="94"/>
  <c r="H124" i="94"/>
  <c r="J124" i="94"/>
  <c r="L124" i="94"/>
  <c r="G67" i="94"/>
  <c r="H67" i="94"/>
  <c r="I67" i="94" s="1"/>
  <c r="J67" i="94"/>
  <c r="K67" i="94" s="1"/>
  <c r="L67" i="94"/>
  <c r="G68" i="94"/>
  <c r="H68" i="94"/>
  <c r="I68" i="94" s="1"/>
  <c r="J68" i="94"/>
  <c r="K68" i="94" s="1"/>
  <c r="L68" i="94"/>
  <c r="G69" i="94"/>
  <c r="H69" i="94"/>
  <c r="I69" i="94" s="1"/>
  <c r="J69" i="94"/>
  <c r="K69" i="94" s="1"/>
  <c r="L69" i="94"/>
  <c r="G70" i="94"/>
  <c r="H70" i="94"/>
  <c r="I70" i="94" s="1"/>
  <c r="J70" i="94"/>
  <c r="K70" i="94" s="1"/>
  <c r="L70" i="94"/>
  <c r="G71" i="94"/>
  <c r="H71" i="94"/>
  <c r="I71" i="94" s="1"/>
  <c r="J71" i="94"/>
  <c r="K71" i="94" s="1"/>
  <c r="L71" i="94"/>
  <c r="G72" i="94"/>
  <c r="H72" i="94"/>
  <c r="I72" i="94" s="1"/>
  <c r="J72" i="94"/>
  <c r="K72" i="94" s="1"/>
  <c r="L72" i="94"/>
  <c r="G73" i="94"/>
  <c r="H73" i="94"/>
  <c r="I73" i="94" s="1"/>
  <c r="J73" i="94"/>
  <c r="K73" i="94" s="1"/>
  <c r="L73" i="94"/>
  <c r="G74" i="94"/>
  <c r="H74" i="94"/>
  <c r="I74" i="94" s="1"/>
  <c r="J74" i="94"/>
  <c r="K74" i="94" s="1"/>
  <c r="L74" i="94"/>
  <c r="G75" i="94"/>
  <c r="H75" i="94"/>
  <c r="I75" i="94" s="1"/>
  <c r="J75" i="94"/>
  <c r="K75" i="94" s="1"/>
  <c r="L75" i="94"/>
  <c r="G76" i="94"/>
  <c r="H76" i="94"/>
  <c r="I76" i="94" s="1"/>
  <c r="J76" i="94"/>
  <c r="K76" i="94" s="1"/>
  <c r="L76" i="94"/>
  <c r="G77" i="94"/>
  <c r="H77" i="94"/>
  <c r="I77" i="94" s="1"/>
  <c r="J77" i="94"/>
  <c r="K77" i="94" s="1"/>
  <c r="L77" i="94"/>
  <c r="G78" i="94"/>
  <c r="H78" i="94"/>
  <c r="I78" i="94" s="1"/>
  <c r="J78" i="94"/>
  <c r="K78" i="94" s="1"/>
  <c r="L78" i="94"/>
  <c r="G79" i="94"/>
  <c r="H79" i="94"/>
  <c r="I79" i="94" s="1"/>
  <c r="J79" i="94"/>
  <c r="K79" i="94" s="1"/>
  <c r="L79" i="94"/>
  <c r="G80" i="94"/>
  <c r="H80" i="94"/>
  <c r="I80" i="94" s="1"/>
  <c r="J80" i="94"/>
  <c r="K80" i="94" s="1"/>
  <c r="L80" i="94"/>
  <c r="G81" i="94"/>
  <c r="H81" i="94"/>
  <c r="I81" i="94" s="1"/>
  <c r="J81" i="94"/>
  <c r="K81" i="94" s="1"/>
  <c r="L81" i="94"/>
  <c r="G82" i="94"/>
  <c r="H82" i="94"/>
  <c r="I82" i="94" s="1"/>
  <c r="J82" i="94"/>
  <c r="K82" i="94" s="1"/>
  <c r="L82" i="94"/>
  <c r="G83" i="94"/>
  <c r="H83" i="94"/>
  <c r="I83" i="94" s="1"/>
  <c r="J83" i="94"/>
  <c r="K83" i="94" s="1"/>
  <c r="L83" i="94"/>
  <c r="G84" i="94"/>
  <c r="H84" i="94"/>
  <c r="I84" i="94" s="1"/>
  <c r="J84" i="94"/>
  <c r="K84" i="94" s="1"/>
  <c r="L84" i="94"/>
  <c r="G85" i="94"/>
  <c r="H85" i="94"/>
  <c r="I85" i="94" s="1"/>
  <c r="J85" i="94"/>
  <c r="K85" i="94" s="1"/>
  <c r="L85" i="94"/>
  <c r="G86" i="94"/>
  <c r="H86" i="94"/>
  <c r="I86" i="94" s="1"/>
  <c r="J86" i="94"/>
  <c r="K86" i="94" s="1"/>
  <c r="L86" i="94"/>
  <c r="G87" i="94"/>
  <c r="H87" i="94"/>
  <c r="I87" i="94" s="1"/>
  <c r="J87" i="94"/>
  <c r="K87" i="94" s="1"/>
  <c r="L87" i="94"/>
  <c r="G88" i="94"/>
  <c r="H88" i="94"/>
  <c r="I88" i="94" s="1"/>
  <c r="J88" i="94"/>
  <c r="K88" i="94" s="1"/>
  <c r="L88" i="94"/>
  <c r="G89" i="94"/>
  <c r="H89" i="94"/>
  <c r="I89" i="94" s="1"/>
  <c r="J89" i="94"/>
  <c r="K89" i="94" s="1"/>
  <c r="L89" i="94"/>
  <c r="G90" i="94"/>
  <c r="H90" i="94"/>
  <c r="I90" i="94" s="1"/>
  <c r="J90" i="94"/>
  <c r="K90" i="94" s="1"/>
  <c r="L90" i="94"/>
  <c r="G91" i="94"/>
  <c r="H91" i="94"/>
  <c r="I91" i="94" s="1"/>
  <c r="J91" i="94"/>
  <c r="K91" i="94" s="1"/>
  <c r="L91" i="94"/>
  <c r="G92" i="94"/>
  <c r="H92" i="94"/>
  <c r="I92" i="94" s="1"/>
  <c r="J92" i="94"/>
  <c r="K92" i="94" s="1"/>
  <c r="L92" i="94"/>
  <c r="G93" i="94"/>
  <c r="H93" i="94"/>
  <c r="I93" i="94" s="1"/>
  <c r="J93" i="94"/>
  <c r="K93" i="94" s="1"/>
  <c r="L93" i="94"/>
  <c r="G94" i="94"/>
  <c r="H94" i="94"/>
  <c r="I94" i="94" s="1"/>
  <c r="J94" i="94"/>
  <c r="K94" i="94" s="1"/>
  <c r="L94" i="94"/>
  <c r="G95" i="94"/>
  <c r="H95" i="94"/>
  <c r="I95" i="94" s="1"/>
  <c r="J95" i="94"/>
  <c r="K95" i="94" s="1"/>
  <c r="L95" i="94"/>
  <c r="G96" i="94"/>
  <c r="H96" i="94"/>
  <c r="I96" i="94" s="1"/>
  <c r="J96" i="94"/>
  <c r="K96" i="94" s="1"/>
  <c r="L96" i="94"/>
  <c r="G97" i="94"/>
  <c r="H97" i="94"/>
  <c r="I97" i="94" s="1"/>
  <c r="J97" i="94"/>
  <c r="K97" i="94" s="1"/>
  <c r="L97" i="94"/>
  <c r="G98" i="94"/>
  <c r="H98" i="94"/>
  <c r="I98" i="94" s="1"/>
  <c r="J98" i="94"/>
  <c r="K98" i="94" s="1"/>
  <c r="L98" i="94"/>
  <c r="G99" i="94"/>
  <c r="H99" i="94"/>
  <c r="I99" i="94" s="1"/>
  <c r="J99" i="94"/>
  <c r="K99" i="94" s="1"/>
  <c r="L99" i="94"/>
  <c r="G100" i="94"/>
  <c r="H100" i="94"/>
  <c r="I100" i="94" s="1"/>
  <c r="J100" i="94"/>
  <c r="K100" i="94" s="1"/>
  <c r="L100" i="94"/>
  <c r="G101" i="94"/>
  <c r="H101" i="94"/>
  <c r="I101" i="94" s="1"/>
  <c r="J101" i="94"/>
  <c r="K101" i="94" s="1"/>
  <c r="L101" i="94"/>
  <c r="G102" i="94"/>
  <c r="H102" i="94"/>
  <c r="I102" i="94" s="1"/>
  <c r="J102" i="94"/>
  <c r="K102" i="94" s="1"/>
  <c r="L102" i="94"/>
  <c r="G103" i="94"/>
  <c r="H103" i="94"/>
  <c r="I103" i="94" s="1"/>
  <c r="J103" i="94"/>
  <c r="K103" i="94" s="1"/>
  <c r="L103" i="94"/>
  <c r="G104" i="94"/>
  <c r="H104" i="94"/>
  <c r="I104" i="94" s="1"/>
  <c r="J104" i="94"/>
  <c r="K104" i="94" s="1"/>
  <c r="L104" i="94"/>
  <c r="G105" i="94"/>
  <c r="H105" i="94"/>
  <c r="I105" i="94" s="1"/>
  <c r="J105" i="94"/>
  <c r="K105" i="94" s="1"/>
  <c r="L105" i="94"/>
  <c r="G106" i="94"/>
  <c r="H106" i="94"/>
  <c r="I106" i="94" s="1"/>
  <c r="J106" i="94"/>
  <c r="K106" i="94" s="1"/>
  <c r="L106" i="94"/>
  <c r="G107" i="94"/>
  <c r="H107" i="94"/>
  <c r="I107" i="94" s="1"/>
  <c r="J107" i="94"/>
  <c r="K107" i="94" s="1"/>
  <c r="L107" i="94"/>
  <c r="G108" i="94"/>
  <c r="H108" i="94"/>
  <c r="I108" i="94" s="1"/>
  <c r="J108" i="94"/>
  <c r="K108" i="94" s="1"/>
  <c r="L108" i="94"/>
  <c r="G109" i="94"/>
  <c r="H109" i="94"/>
  <c r="I109" i="94" s="1"/>
  <c r="J109" i="94"/>
  <c r="K109" i="94" s="1"/>
  <c r="L109" i="94"/>
  <c r="G110" i="94"/>
  <c r="H110" i="94"/>
  <c r="I110" i="94" s="1"/>
  <c r="J110" i="94"/>
  <c r="K110" i="94" s="1"/>
  <c r="L110" i="94"/>
  <c r="G111" i="94"/>
  <c r="H111" i="94"/>
  <c r="I111" i="94" s="1"/>
  <c r="J111" i="94"/>
  <c r="K111" i="94" s="1"/>
  <c r="L111" i="94"/>
  <c r="G112" i="94"/>
  <c r="H112" i="94"/>
  <c r="I112" i="94" s="1"/>
  <c r="J112" i="94"/>
  <c r="K112" i="94" s="1"/>
  <c r="L112" i="94"/>
  <c r="G113" i="94"/>
  <c r="H113" i="94"/>
  <c r="I113" i="94" s="1"/>
  <c r="J113" i="94"/>
  <c r="K113" i="94" s="1"/>
  <c r="L113" i="94"/>
  <c r="G114" i="94"/>
  <c r="H114" i="94"/>
  <c r="I114" i="94" s="1"/>
  <c r="J114" i="94"/>
  <c r="K114" i="94" s="1"/>
  <c r="L114" i="94"/>
  <c r="G115" i="94"/>
  <c r="H115" i="94"/>
  <c r="I115" i="94" s="1"/>
  <c r="J115" i="94"/>
  <c r="K115" i="94" s="1"/>
  <c r="L115" i="94"/>
  <c r="G116" i="94"/>
  <c r="H116" i="94"/>
  <c r="I116" i="94" s="1"/>
  <c r="J116" i="94"/>
  <c r="K116" i="94" s="1"/>
  <c r="L116" i="94"/>
  <c r="G117" i="94"/>
  <c r="H117" i="94"/>
  <c r="I117" i="94" s="1"/>
  <c r="J117" i="94"/>
  <c r="K117" i="94" s="1"/>
  <c r="L117" i="94"/>
  <c r="G118" i="94"/>
  <c r="H118" i="94"/>
  <c r="I118" i="94" s="1"/>
  <c r="J118" i="94"/>
  <c r="K118" i="94" s="1"/>
  <c r="L118" i="94"/>
  <c r="G119" i="94"/>
  <c r="H119" i="94"/>
  <c r="I119" i="94" s="1"/>
  <c r="J119" i="94"/>
  <c r="K119" i="94" s="1"/>
  <c r="L119" i="94"/>
  <c r="G120" i="94"/>
  <c r="H120" i="94"/>
  <c r="I120" i="94" s="1"/>
  <c r="J120" i="94"/>
  <c r="K120" i="94" s="1"/>
  <c r="L120" i="94"/>
  <c r="G121" i="94"/>
  <c r="H121" i="94"/>
  <c r="I121" i="94" s="1"/>
  <c r="J121" i="94"/>
  <c r="K121" i="94" s="1"/>
  <c r="L121" i="94"/>
  <c r="G122" i="94"/>
  <c r="H122" i="94"/>
  <c r="I122" i="94" s="1"/>
  <c r="J122" i="94"/>
  <c r="K122" i="94" s="1"/>
  <c r="L122" i="94"/>
  <c r="G123" i="94"/>
  <c r="H123" i="94"/>
  <c r="I123" i="94" s="1"/>
  <c r="J123" i="94"/>
  <c r="K123" i="94" s="1"/>
  <c r="L123" i="94"/>
  <c r="G54" i="94"/>
  <c r="H54" i="94"/>
  <c r="I54" i="94" s="1"/>
  <c r="J54" i="94"/>
  <c r="K54" i="94" s="1"/>
  <c r="L54" i="94"/>
  <c r="G55" i="94"/>
  <c r="H55" i="94"/>
  <c r="I55" i="94" s="1"/>
  <c r="J55" i="94"/>
  <c r="K55" i="94" s="1"/>
  <c r="L55" i="94"/>
  <c r="G56" i="94"/>
  <c r="H56" i="94"/>
  <c r="I56" i="94" s="1"/>
  <c r="J56" i="94"/>
  <c r="K56" i="94" s="1"/>
  <c r="L56" i="94"/>
  <c r="G57" i="94"/>
  <c r="H57" i="94"/>
  <c r="I57" i="94" s="1"/>
  <c r="J57" i="94"/>
  <c r="K57" i="94" s="1"/>
  <c r="L57" i="94"/>
  <c r="G58" i="94"/>
  <c r="H58" i="94"/>
  <c r="I58" i="94" s="1"/>
  <c r="J58" i="94"/>
  <c r="K58" i="94" s="1"/>
  <c r="L58" i="94"/>
  <c r="G59" i="94"/>
  <c r="H59" i="94"/>
  <c r="I59" i="94" s="1"/>
  <c r="J59" i="94"/>
  <c r="K59" i="94" s="1"/>
  <c r="L59" i="94"/>
  <c r="G60" i="94"/>
  <c r="H60" i="94"/>
  <c r="I60" i="94" s="1"/>
  <c r="J60" i="94"/>
  <c r="K60" i="94" s="1"/>
  <c r="L60" i="94"/>
  <c r="G61" i="94"/>
  <c r="H61" i="94"/>
  <c r="I61" i="94" s="1"/>
  <c r="J61" i="94"/>
  <c r="K61" i="94" s="1"/>
  <c r="L61" i="94"/>
  <c r="G62" i="94"/>
  <c r="H62" i="94"/>
  <c r="I62" i="94" s="1"/>
  <c r="J62" i="94"/>
  <c r="K62" i="94" s="1"/>
  <c r="L62" i="94"/>
  <c r="G63" i="94"/>
  <c r="H63" i="94"/>
  <c r="I63" i="94" s="1"/>
  <c r="J63" i="94"/>
  <c r="K63" i="94" s="1"/>
  <c r="L63" i="94"/>
  <c r="G64" i="94"/>
  <c r="H64" i="94"/>
  <c r="I64" i="94" s="1"/>
  <c r="J64" i="94"/>
  <c r="K64" i="94" s="1"/>
  <c r="L64" i="94"/>
  <c r="G65" i="94"/>
  <c r="H65" i="94"/>
  <c r="I65" i="94" s="1"/>
  <c r="J65" i="94"/>
  <c r="K65" i="94" s="1"/>
  <c r="L65" i="94"/>
  <c r="G66" i="94"/>
  <c r="H66" i="94"/>
  <c r="I66" i="94" s="1"/>
  <c r="J66" i="94"/>
  <c r="K66" i="94" s="1"/>
  <c r="L66" i="94"/>
  <c r="G11" i="94"/>
  <c r="E9" i="95" s="1"/>
  <c r="H11" i="94"/>
  <c r="J11" i="94"/>
  <c r="L11" i="94"/>
  <c r="J9" i="95" s="1"/>
  <c r="G12" i="94"/>
  <c r="E10" i="95" s="1"/>
  <c r="H12" i="94"/>
  <c r="J12" i="94"/>
  <c r="L12" i="94"/>
  <c r="J10" i="95" s="1"/>
  <c r="G13" i="94"/>
  <c r="E16" i="95" s="1"/>
  <c r="H13" i="94"/>
  <c r="J13" i="94"/>
  <c r="L13" i="94"/>
  <c r="J16" i="95" s="1"/>
  <c r="G14" i="94"/>
  <c r="E17" i="95" s="1"/>
  <c r="H14" i="94"/>
  <c r="F17" i="95" s="1"/>
  <c r="J14" i="94"/>
  <c r="H17" i="95" s="1"/>
  <c r="L14" i="94"/>
  <c r="J17" i="95" s="1"/>
  <c r="G15" i="94"/>
  <c r="H15" i="94"/>
  <c r="I15" i="94" s="1"/>
  <c r="J15" i="94"/>
  <c r="K15" i="94" s="1"/>
  <c r="L15" i="94"/>
  <c r="G16" i="94"/>
  <c r="H16" i="94"/>
  <c r="I16" i="94" s="1"/>
  <c r="J16" i="94"/>
  <c r="K16" i="94" s="1"/>
  <c r="L16" i="94"/>
  <c r="G17" i="94"/>
  <c r="H17" i="94"/>
  <c r="I17" i="94" s="1"/>
  <c r="J17" i="94"/>
  <c r="K17" i="94" s="1"/>
  <c r="L17" i="94"/>
  <c r="G18" i="94"/>
  <c r="H18" i="94"/>
  <c r="I18" i="94" s="1"/>
  <c r="J18" i="94"/>
  <c r="K18" i="94" s="1"/>
  <c r="L18" i="94"/>
  <c r="G19" i="94"/>
  <c r="H19" i="94"/>
  <c r="I19" i="94" s="1"/>
  <c r="J19" i="94"/>
  <c r="K19" i="94" s="1"/>
  <c r="L19" i="94"/>
  <c r="G20" i="94"/>
  <c r="H20" i="94"/>
  <c r="I20" i="94" s="1"/>
  <c r="J20" i="94"/>
  <c r="K20" i="94" s="1"/>
  <c r="L20" i="94"/>
  <c r="G21" i="94"/>
  <c r="H21" i="94"/>
  <c r="I21" i="94" s="1"/>
  <c r="J21" i="94"/>
  <c r="K21" i="94" s="1"/>
  <c r="L21" i="94"/>
  <c r="G22" i="94"/>
  <c r="H22" i="94"/>
  <c r="I22" i="94" s="1"/>
  <c r="J22" i="94"/>
  <c r="K22" i="94" s="1"/>
  <c r="L22" i="94"/>
  <c r="G23" i="94"/>
  <c r="H23" i="94"/>
  <c r="I23" i="94" s="1"/>
  <c r="J23" i="94"/>
  <c r="K23" i="94" s="1"/>
  <c r="L23" i="94"/>
  <c r="G24" i="94"/>
  <c r="H24" i="94"/>
  <c r="I24" i="94" s="1"/>
  <c r="J24" i="94"/>
  <c r="K24" i="94" s="1"/>
  <c r="L24" i="94"/>
  <c r="G25" i="94"/>
  <c r="H25" i="94"/>
  <c r="I25" i="94" s="1"/>
  <c r="J25" i="94"/>
  <c r="K25" i="94" s="1"/>
  <c r="L25" i="94"/>
  <c r="G26" i="94"/>
  <c r="H26" i="94"/>
  <c r="I26" i="94" s="1"/>
  <c r="J26" i="94"/>
  <c r="K26" i="94" s="1"/>
  <c r="L26" i="94"/>
  <c r="G27" i="94"/>
  <c r="H27" i="94"/>
  <c r="I27" i="94" s="1"/>
  <c r="J27" i="94"/>
  <c r="K27" i="94" s="1"/>
  <c r="L27" i="94"/>
  <c r="G28" i="94"/>
  <c r="H28" i="94"/>
  <c r="I28" i="94" s="1"/>
  <c r="J28" i="94"/>
  <c r="K28" i="94" s="1"/>
  <c r="L28" i="94"/>
  <c r="G29" i="94"/>
  <c r="H29" i="94"/>
  <c r="I29" i="94" s="1"/>
  <c r="J29" i="94"/>
  <c r="K29" i="94" s="1"/>
  <c r="L29" i="94"/>
  <c r="G30" i="94"/>
  <c r="H30" i="94"/>
  <c r="I30" i="94" s="1"/>
  <c r="J30" i="94"/>
  <c r="K30" i="94" s="1"/>
  <c r="L30" i="94"/>
  <c r="G31" i="94"/>
  <c r="H31" i="94"/>
  <c r="I31" i="94" s="1"/>
  <c r="J31" i="94"/>
  <c r="K31" i="94" s="1"/>
  <c r="L31" i="94"/>
  <c r="G32" i="94"/>
  <c r="H32" i="94"/>
  <c r="I32" i="94" s="1"/>
  <c r="J32" i="94"/>
  <c r="K32" i="94" s="1"/>
  <c r="L32" i="94"/>
  <c r="G33" i="94"/>
  <c r="H33" i="94"/>
  <c r="I33" i="94" s="1"/>
  <c r="J33" i="94"/>
  <c r="K33" i="94" s="1"/>
  <c r="L33" i="94"/>
  <c r="G34" i="94"/>
  <c r="H34" i="94"/>
  <c r="I34" i="94" s="1"/>
  <c r="J34" i="94"/>
  <c r="K34" i="94" s="1"/>
  <c r="L34" i="94"/>
  <c r="G35" i="94"/>
  <c r="H35" i="94"/>
  <c r="I35" i="94" s="1"/>
  <c r="J35" i="94"/>
  <c r="K35" i="94" s="1"/>
  <c r="L35" i="94"/>
  <c r="G36" i="94"/>
  <c r="H36" i="94"/>
  <c r="I36" i="94" s="1"/>
  <c r="J36" i="94"/>
  <c r="K36" i="94" s="1"/>
  <c r="L36" i="94"/>
  <c r="G37" i="94"/>
  <c r="H37" i="94"/>
  <c r="I37" i="94" s="1"/>
  <c r="J37" i="94"/>
  <c r="K37" i="94" s="1"/>
  <c r="L37" i="94"/>
  <c r="G38" i="94"/>
  <c r="H38" i="94"/>
  <c r="I38" i="94" s="1"/>
  <c r="J38" i="94"/>
  <c r="K38" i="94" s="1"/>
  <c r="L38" i="94"/>
  <c r="G39" i="94"/>
  <c r="H39" i="94"/>
  <c r="I39" i="94" s="1"/>
  <c r="J39" i="94"/>
  <c r="K39" i="94" s="1"/>
  <c r="L39" i="94"/>
  <c r="G40" i="94"/>
  <c r="H40" i="94"/>
  <c r="I40" i="94" s="1"/>
  <c r="J40" i="94"/>
  <c r="K40" i="94" s="1"/>
  <c r="L40" i="94"/>
  <c r="G41" i="94"/>
  <c r="H41" i="94"/>
  <c r="I41" i="94" s="1"/>
  <c r="J41" i="94"/>
  <c r="K41" i="94" s="1"/>
  <c r="L41" i="94"/>
  <c r="G42" i="94"/>
  <c r="H42" i="94"/>
  <c r="I42" i="94" s="1"/>
  <c r="J42" i="94"/>
  <c r="K42" i="94" s="1"/>
  <c r="L42" i="94"/>
  <c r="G43" i="94"/>
  <c r="H43" i="94"/>
  <c r="I43" i="94" s="1"/>
  <c r="J43" i="94"/>
  <c r="K43" i="94" s="1"/>
  <c r="L43" i="94"/>
  <c r="G44" i="94"/>
  <c r="H44" i="94"/>
  <c r="I44" i="94" s="1"/>
  <c r="J44" i="94"/>
  <c r="K44" i="94" s="1"/>
  <c r="L44" i="94"/>
  <c r="G45" i="94"/>
  <c r="H45" i="94"/>
  <c r="I45" i="94" s="1"/>
  <c r="J45" i="94"/>
  <c r="K45" i="94" s="1"/>
  <c r="L45" i="94"/>
  <c r="G46" i="94"/>
  <c r="H46" i="94"/>
  <c r="I46" i="94" s="1"/>
  <c r="J46" i="94"/>
  <c r="K46" i="94" s="1"/>
  <c r="L46" i="94"/>
  <c r="G47" i="94"/>
  <c r="H47" i="94"/>
  <c r="I47" i="94" s="1"/>
  <c r="J47" i="94"/>
  <c r="K47" i="94" s="1"/>
  <c r="L47" i="94"/>
  <c r="G48" i="94"/>
  <c r="H48" i="94"/>
  <c r="I48" i="94" s="1"/>
  <c r="J48" i="94"/>
  <c r="K48" i="94" s="1"/>
  <c r="L48" i="94"/>
  <c r="G49" i="94"/>
  <c r="H49" i="94"/>
  <c r="I49" i="94" s="1"/>
  <c r="J49" i="94"/>
  <c r="K49" i="94" s="1"/>
  <c r="L49" i="94"/>
  <c r="G50" i="94"/>
  <c r="H50" i="94"/>
  <c r="I50" i="94" s="1"/>
  <c r="J50" i="94"/>
  <c r="K50" i="94" s="1"/>
  <c r="L50" i="94"/>
  <c r="G51" i="94"/>
  <c r="H51" i="94"/>
  <c r="I51" i="94" s="1"/>
  <c r="J51" i="94"/>
  <c r="K51" i="94" s="1"/>
  <c r="L51" i="94"/>
  <c r="G52" i="94"/>
  <c r="H52" i="94"/>
  <c r="I52" i="94" s="1"/>
  <c r="J52" i="94"/>
  <c r="K52" i="94" s="1"/>
  <c r="L52" i="94"/>
  <c r="G53" i="94"/>
  <c r="H53" i="94"/>
  <c r="I53" i="94" s="1"/>
  <c r="J53" i="94"/>
  <c r="K53" i="94" s="1"/>
  <c r="L53" i="94"/>
  <c r="G10" i="94"/>
  <c r="E8" i="95" s="1"/>
  <c r="E5" i="94"/>
  <c r="L10" i="94"/>
  <c r="J8" i="95" s="1"/>
  <c r="J10" i="94"/>
  <c r="H10" i="94"/>
  <c r="E35" i="95" l="1"/>
  <c r="N24" i="132"/>
  <c r="N25" i="132" s="1"/>
  <c r="N24" i="135"/>
  <c r="N25" i="135"/>
  <c r="N46" i="132"/>
  <c r="N47" i="132" s="1"/>
  <c r="N47" i="135"/>
  <c r="N48" i="135" s="1"/>
  <c r="K105" i="72"/>
  <c r="K135" i="121"/>
  <c r="N7" i="129"/>
  <c r="N10" i="129" s="1"/>
  <c r="N5" i="73"/>
  <c r="O18" i="103"/>
  <c r="C20" i="106"/>
  <c r="C23" i="108" s="1"/>
  <c r="O19" i="96"/>
  <c r="K19" i="96" s="1"/>
  <c r="O16" i="96"/>
  <c r="G16" i="96" s="1"/>
  <c r="C50" i="103"/>
  <c r="C48" i="103"/>
  <c r="C55" i="103"/>
  <c r="C57" i="103" s="1"/>
  <c r="O47" i="103"/>
  <c r="O25" i="103"/>
  <c r="C20" i="105"/>
  <c r="E20" i="105" s="1"/>
  <c r="F40" i="96"/>
  <c r="C40" i="96"/>
  <c r="G40" i="96"/>
  <c r="J40" i="96"/>
  <c r="H40" i="96"/>
  <c r="I40" i="96"/>
  <c r="K40" i="96"/>
  <c r="L40" i="96"/>
  <c r="M40" i="96"/>
  <c r="N40" i="96"/>
  <c r="D40" i="96"/>
  <c r="E40" i="96"/>
  <c r="F201" i="125"/>
  <c r="G198" i="125" s="1"/>
  <c r="G201" i="125" s="1"/>
  <c r="H198" i="125" s="1"/>
  <c r="H201" i="125" s="1"/>
  <c r="I198" i="125" s="1"/>
  <c r="I201" i="125" s="1"/>
  <c r="J198" i="125" s="1"/>
  <c r="J201" i="125" s="1"/>
  <c r="K198" i="125" s="1"/>
  <c r="K201" i="125" s="1"/>
  <c r="L198" i="125" s="1"/>
  <c r="L201" i="125" s="1"/>
  <c r="M198" i="125" s="1"/>
  <c r="M201" i="125" s="1"/>
  <c r="N198" i="125" s="1"/>
  <c r="N201" i="125" s="1"/>
  <c r="O198" i="125" s="1"/>
  <c r="O201" i="125" s="1"/>
  <c r="G14" i="73"/>
  <c r="M22" i="129"/>
  <c r="M25" i="129" s="1"/>
  <c r="M9" i="73"/>
  <c r="E289" i="125"/>
  <c r="E17" i="73"/>
  <c r="D89" i="72" s="1"/>
  <c r="F219" i="125"/>
  <c r="G269" i="125"/>
  <c r="G272" i="125" s="1"/>
  <c r="F285" i="125"/>
  <c r="G38" i="125"/>
  <c r="G41" i="125" s="1"/>
  <c r="G206" i="125"/>
  <c r="H203" i="125" s="1"/>
  <c r="H206" i="125" s="1"/>
  <c r="I203" i="125" s="1"/>
  <c r="I206" i="125" s="1"/>
  <c r="J203" i="125" s="1"/>
  <c r="J206" i="125" s="1"/>
  <c r="K203" i="125" s="1"/>
  <c r="K206" i="125" s="1"/>
  <c r="L203" i="125" s="1"/>
  <c r="L206" i="125" s="1"/>
  <c r="M203" i="125" s="1"/>
  <c r="M206" i="125" s="1"/>
  <c r="N203" i="125" s="1"/>
  <c r="N206" i="125" s="1"/>
  <c r="O203" i="125" s="1"/>
  <c r="O206" i="125" s="1"/>
  <c r="L23" i="123"/>
  <c r="L26" i="123" s="1"/>
  <c r="F12" i="73"/>
  <c r="F15" i="73" s="1"/>
  <c r="L16" i="123"/>
  <c r="L19" i="123" s="1"/>
  <c r="F11" i="73"/>
  <c r="L30" i="123"/>
  <c r="L33" i="123" s="1"/>
  <c r="F13" i="73"/>
  <c r="Q40" i="96"/>
  <c r="M53" i="103"/>
  <c r="M43" i="104"/>
  <c r="M44" i="104" s="1"/>
  <c r="M46" i="135" s="1"/>
  <c r="O48" i="104"/>
  <c r="L52" i="103"/>
  <c r="K51" i="103"/>
  <c r="K21" i="103"/>
  <c r="J21" i="103" s="1"/>
  <c r="I21" i="103" s="1"/>
  <c r="H21" i="103" s="1"/>
  <c r="G21" i="103" s="1"/>
  <c r="F21" i="103" s="1"/>
  <c r="E21" i="103" s="1"/>
  <c r="F74" i="96"/>
  <c r="L74" i="96"/>
  <c r="H74" i="96"/>
  <c r="E74" i="96"/>
  <c r="G74" i="96"/>
  <c r="J74" i="96"/>
  <c r="M74" i="96"/>
  <c r="K74" i="96"/>
  <c r="I74" i="96"/>
  <c r="N74" i="96"/>
  <c r="J22" i="95"/>
  <c r="J27" i="95"/>
  <c r="J26" i="95"/>
  <c r="J28" i="95"/>
  <c r="E26" i="95"/>
  <c r="E27" i="95"/>
  <c r="K188" i="94"/>
  <c r="I31" i="95" s="1"/>
  <c r="H31" i="95"/>
  <c r="K192" i="94"/>
  <c r="I35" i="95" s="1"/>
  <c r="H35" i="95"/>
  <c r="I188" i="94"/>
  <c r="G31" i="95" s="1"/>
  <c r="F31" i="95"/>
  <c r="I192" i="94"/>
  <c r="G35" i="95" s="1"/>
  <c r="F35" i="95"/>
  <c r="E36" i="95"/>
  <c r="O61" i="96" s="1"/>
  <c r="K147" i="94"/>
  <c r="I26" i="95" s="1"/>
  <c r="H26" i="95"/>
  <c r="K185" i="94"/>
  <c r="I27" i="95" s="1"/>
  <c r="H27" i="95"/>
  <c r="K189" i="94"/>
  <c r="I34" i="95" s="1"/>
  <c r="H34" i="95"/>
  <c r="I147" i="94"/>
  <c r="G26" i="95" s="1"/>
  <c r="F26" i="95"/>
  <c r="I185" i="94"/>
  <c r="G27" i="95" s="1"/>
  <c r="F27" i="95"/>
  <c r="I189" i="94"/>
  <c r="G34" i="95" s="1"/>
  <c r="F34" i="95"/>
  <c r="K146" i="94"/>
  <c r="I25" i="95" s="1"/>
  <c r="H25" i="95"/>
  <c r="K190" i="94"/>
  <c r="I33" i="95" s="1"/>
  <c r="H33" i="95"/>
  <c r="I146" i="94"/>
  <c r="G25" i="95" s="1"/>
  <c r="F25" i="95"/>
  <c r="I190" i="94"/>
  <c r="G33" i="95" s="1"/>
  <c r="F33" i="95"/>
  <c r="K145" i="94"/>
  <c r="I19" i="95" s="1"/>
  <c r="H19" i="95"/>
  <c r="K155" i="94"/>
  <c r="I28" i="95" s="1"/>
  <c r="H28" i="95"/>
  <c r="K191" i="94"/>
  <c r="I32" i="95" s="1"/>
  <c r="H32" i="95"/>
  <c r="I145" i="94"/>
  <c r="G19" i="95" s="1"/>
  <c r="F19" i="95"/>
  <c r="I155" i="94"/>
  <c r="G28" i="95" s="1"/>
  <c r="F28" i="95"/>
  <c r="I191" i="94"/>
  <c r="G32" i="95" s="1"/>
  <c r="F32" i="95"/>
  <c r="E28" i="95"/>
  <c r="J35" i="95"/>
  <c r="J36" i="95" s="1"/>
  <c r="O64" i="96" s="1"/>
  <c r="K140" i="94"/>
  <c r="I21" i="95" s="1"/>
  <c r="J20" i="95"/>
  <c r="E11" i="95"/>
  <c r="O25" i="96" s="1"/>
  <c r="K14" i="94"/>
  <c r="H13" i="95"/>
  <c r="H14" i="95" s="1"/>
  <c r="O33" i="96" s="1"/>
  <c r="K141" i="94"/>
  <c r="I22" i="95" s="1"/>
  <c r="H22" i="95"/>
  <c r="I14" i="94"/>
  <c r="F13" i="95"/>
  <c r="F14" i="95" s="1"/>
  <c r="O32" i="96" s="1"/>
  <c r="I141" i="94"/>
  <c r="G22" i="95" s="1"/>
  <c r="F22" i="95"/>
  <c r="J13" i="95"/>
  <c r="J14" i="95" s="1"/>
  <c r="O37" i="96" s="1"/>
  <c r="E22" i="95"/>
  <c r="E13" i="95"/>
  <c r="E14" i="95" s="1"/>
  <c r="O34" i="96" s="1"/>
  <c r="K13" i="94"/>
  <c r="I16" i="95" s="1"/>
  <c r="H16" i="95"/>
  <c r="I13" i="94"/>
  <c r="G16" i="95" s="1"/>
  <c r="F16" i="95"/>
  <c r="K194" i="94"/>
  <c r="I6" i="95" s="1"/>
  <c r="O18" i="96" s="1"/>
  <c r="H6" i="95"/>
  <c r="K12" i="94"/>
  <c r="I10" i="95" s="1"/>
  <c r="H10" i="95"/>
  <c r="K143" i="94"/>
  <c r="I20" i="95" s="1"/>
  <c r="H20" i="95"/>
  <c r="I194" i="94"/>
  <c r="G6" i="95" s="1"/>
  <c r="F6" i="95"/>
  <c r="I12" i="94"/>
  <c r="G10" i="95" s="1"/>
  <c r="F10" i="95"/>
  <c r="I143" i="94"/>
  <c r="G20" i="95" s="1"/>
  <c r="F20" i="95"/>
  <c r="J18" i="95"/>
  <c r="E20" i="95"/>
  <c r="I10" i="94"/>
  <c r="G8" i="95" s="1"/>
  <c r="F8" i="95"/>
  <c r="K124" i="94"/>
  <c r="I18" i="95" s="1"/>
  <c r="H18" i="95"/>
  <c r="K10" i="94"/>
  <c r="I8" i="95" s="1"/>
  <c r="H8" i="95"/>
  <c r="K11" i="94"/>
  <c r="I9" i="95" s="1"/>
  <c r="H9" i="95"/>
  <c r="I124" i="94"/>
  <c r="G18" i="95" s="1"/>
  <c r="F18" i="95"/>
  <c r="J11" i="95"/>
  <c r="O28" i="96" s="1"/>
  <c r="I11" i="94"/>
  <c r="G9" i="95" s="1"/>
  <c r="F9" i="95"/>
  <c r="E18" i="95"/>
  <c r="I140" i="94"/>
  <c r="G21" i="95" s="1"/>
  <c r="F21" i="95"/>
  <c r="L195" i="94"/>
  <c r="G195" i="94"/>
  <c r="M187" i="94"/>
  <c r="M142" i="94"/>
  <c r="J195" i="94"/>
  <c r="H195" i="94"/>
  <c r="M42" i="94"/>
  <c r="M158" i="94"/>
  <c r="M48" i="94"/>
  <c r="M193" i="94"/>
  <c r="M192" i="94"/>
  <c r="M125" i="94"/>
  <c r="M182" i="94"/>
  <c r="M169" i="94"/>
  <c r="M165" i="94"/>
  <c r="M162" i="94"/>
  <c r="M75" i="94"/>
  <c r="M183" i="94"/>
  <c r="M50" i="94"/>
  <c r="M77" i="94"/>
  <c r="M171" i="94"/>
  <c r="M174" i="94"/>
  <c r="M128" i="94"/>
  <c r="M133" i="94"/>
  <c r="M151" i="94"/>
  <c r="M180" i="94"/>
  <c r="M186" i="94"/>
  <c r="M181" i="94"/>
  <c r="M135" i="94"/>
  <c r="M126" i="94"/>
  <c r="M127" i="94"/>
  <c r="M167" i="94"/>
  <c r="M18" i="94"/>
  <c r="M144" i="94"/>
  <c r="M161" i="94"/>
  <c r="M175" i="94"/>
  <c r="M172" i="94"/>
  <c r="M166" i="94"/>
  <c r="M156" i="94"/>
  <c r="M131" i="94"/>
  <c r="M149" i="94"/>
  <c r="M177" i="94"/>
  <c r="M160" i="94"/>
  <c r="M163" i="94"/>
  <c r="M53" i="94"/>
  <c r="M100" i="94"/>
  <c r="M113" i="94"/>
  <c r="M176" i="94"/>
  <c r="M173" i="94"/>
  <c r="M179" i="94"/>
  <c r="M129" i="94"/>
  <c r="M164" i="94"/>
  <c r="M153" i="94"/>
  <c r="M150" i="94"/>
  <c r="M178" i="94"/>
  <c r="M159" i="94"/>
  <c r="M152" i="94"/>
  <c r="M154" i="94"/>
  <c r="M168" i="94"/>
  <c r="M184" i="94"/>
  <c r="M170" i="94"/>
  <c r="M157" i="94"/>
  <c r="M148" i="94"/>
  <c r="M137" i="94"/>
  <c r="M139" i="94"/>
  <c r="M138" i="94"/>
  <c r="M136" i="94"/>
  <c r="M134" i="94"/>
  <c r="M132" i="94"/>
  <c r="M130" i="94"/>
  <c r="M123" i="94"/>
  <c r="M93" i="94"/>
  <c r="M34" i="94"/>
  <c r="M82" i="94"/>
  <c r="M62" i="94"/>
  <c r="M88" i="94"/>
  <c r="M98" i="94"/>
  <c r="M79" i="94"/>
  <c r="M26" i="94"/>
  <c r="M32" i="94"/>
  <c r="M66" i="94"/>
  <c r="M111" i="94"/>
  <c r="M118" i="94"/>
  <c r="M97" i="94"/>
  <c r="M90" i="94"/>
  <c r="M116" i="94"/>
  <c r="M106" i="94"/>
  <c r="M55" i="94"/>
  <c r="M95" i="94"/>
  <c r="M57" i="94"/>
  <c r="M68" i="94"/>
  <c r="M109" i="94"/>
  <c r="M61" i="94"/>
  <c r="M51" i="94"/>
  <c r="M122" i="94"/>
  <c r="M114" i="94"/>
  <c r="M89" i="94"/>
  <c r="M46" i="94"/>
  <c r="M39" i="94"/>
  <c r="M102" i="94"/>
  <c r="M94" i="94"/>
  <c r="M28" i="94"/>
  <c r="M30" i="94"/>
  <c r="M107" i="94"/>
  <c r="M37" i="94"/>
  <c r="M23" i="94"/>
  <c r="M104" i="94"/>
  <c r="M84" i="94"/>
  <c r="M44" i="94"/>
  <c r="M120" i="94"/>
  <c r="M81" i="94"/>
  <c r="M86" i="94"/>
  <c r="M91" i="94"/>
  <c r="M74" i="94"/>
  <c r="M73" i="94"/>
  <c r="M121" i="94"/>
  <c r="M80" i="94"/>
  <c r="M83" i="94"/>
  <c r="M105" i="94"/>
  <c r="M70" i="94"/>
  <c r="M67" i="94"/>
  <c r="M112" i="94"/>
  <c r="M96" i="94"/>
  <c r="M115" i="94"/>
  <c r="M99" i="94"/>
  <c r="M69" i="94"/>
  <c r="M101" i="94"/>
  <c r="M72" i="94"/>
  <c r="M119" i="94"/>
  <c r="M117" i="94"/>
  <c r="M85" i="94"/>
  <c r="M103" i="94"/>
  <c r="M71" i="94"/>
  <c r="M87" i="94"/>
  <c r="M78" i="94"/>
  <c r="M108" i="94"/>
  <c r="M92" i="94"/>
  <c r="M110" i="94"/>
  <c r="M76" i="94"/>
  <c r="M59" i="94"/>
  <c r="M64" i="94"/>
  <c r="M60" i="94"/>
  <c r="M54" i="94"/>
  <c r="M25" i="94"/>
  <c r="M41" i="94"/>
  <c r="M35" i="94"/>
  <c r="M49" i="94"/>
  <c r="M27" i="94"/>
  <c r="M40" i="94"/>
  <c r="M24" i="94"/>
  <c r="M43" i="94"/>
  <c r="M22" i="94"/>
  <c r="M21" i="94"/>
  <c r="M16" i="94"/>
  <c r="M56" i="94"/>
  <c r="M58" i="94"/>
  <c r="M65" i="94"/>
  <c r="M63" i="94"/>
  <c r="M15" i="94"/>
  <c r="M45" i="94"/>
  <c r="M38" i="94"/>
  <c r="M29" i="94"/>
  <c r="M31" i="94"/>
  <c r="M52" i="94"/>
  <c r="M47" i="94"/>
  <c r="M20" i="94"/>
  <c r="M17" i="94"/>
  <c r="M36" i="94"/>
  <c r="M33" i="94"/>
  <c r="M19" i="94"/>
  <c r="S41" i="93"/>
  <c r="S40" i="93"/>
  <c r="S39" i="93"/>
  <c r="S35" i="93"/>
  <c r="S34" i="93"/>
  <c r="S33" i="93"/>
  <c r="P41" i="93"/>
  <c r="P40" i="93"/>
  <c r="P39" i="93"/>
  <c r="P35" i="93"/>
  <c r="P34" i="93"/>
  <c r="P33" i="93"/>
  <c r="M41" i="93"/>
  <c r="M40" i="93"/>
  <c r="M39" i="93"/>
  <c r="M35" i="93"/>
  <c r="M34" i="93"/>
  <c r="M33" i="93"/>
  <c r="J41" i="93"/>
  <c r="J40" i="93"/>
  <c r="J39" i="93"/>
  <c r="J35" i="93"/>
  <c r="J34" i="93"/>
  <c r="J33" i="93"/>
  <c r="G41" i="93"/>
  <c r="G40" i="93"/>
  <c r="G39" i="93"/>
  <c r="G35" i="93"/>
  <c r="G34" i="93"/>
  <c r="G33" i="93"/>
  <c r="D41" i="93"/>
  <c r="D40" i="93"/>
  <c r="D39" i="93"/>
  <c r="D35" i="93"/>
  <c r="D34" i="93"/>
  <c r="D33" i="93"/>
  <c r="S17" i="93"/>
  <c r="S16" i="93"/>
  <c r="S15" i="93"/>
  <c r="S11" i="93"/>
  <c r="S10" i="93"/>
  <c r="S9" i="93"/>
  <c r="P17" i="93"/>
  <c r="P16" i="93"/>
  <c r="P15" i="93"/>
  <c r="P11" i="93"/>
  <c r="P10" i="93"/>
  <c r="P9" i="93"/>
  <c r="M17" i="93"/>
  <c r="M16" i="93"/>
  <c r="M15" i="93"/>
  <c r="M11" i="93"/>
  <c r="M10" i="93"/>
  <c r="M9" i="93"/>
  <c r="J17" i="93"/>
  <c r="J16" i="93"/>
  <c r="J15" i="93"/>
  <c r="J11" i="93"/>
  <c r="J10" i="93"/>
  <c r="J9" i="93"/>
  <c r="G17" i="93"/>
  <c r="G16" i="93"/>
  <c r="G15" i="93"/>
  <c r="G11" i="93"/>
  <c r="G10" i="93"/>
  <c r="G9" i="93"/>
  <c r="D16" i="93"/>
  <c r="D17" i="93"/>
  <c r="D15" i="93"/>
  <c r="D10" i="93"/>
  <c r="D11" i="93"/>
  <c r="D9" i="93"/>
  <c r="C50" i="92"/>
  <c r="C43" i="92"/>
  <c r="C36" i="92"/>
  <c r="C29" i="92"/>
  <c r="C22" i="92"/>
  <c r="C15" i="92"/>
  <c r="C8" i="92"/>
  <c r="N67" i="90"/>
  <c r="M68" i="90" s="1"/>
  <c r="N66" i="90" s="1"/>
  <c r="M67" i="90"/>
  <c r="L68" i="90" s="1"/>
  <c r="M66" i="90" s="1"/>
  <c r="L67" i="90"/>
  <c r="K68" i="90" s="1"/>
  <c r="K67" i="90"/>
  <c r="J68" i="90" s="1"/>
  <c r="J67" i="90"/>
  <c r="I68" i="90" s="1"/>
  <c r="I67" i="90"/>
  <c r="H68" i="90" s="1"/>
  <c r="H67" i="90"/>
  <c r="G68" i="90" s="1"/>
  <c r="G67" i="90"/>
  <c r="F68" i="90" s="1"/>
  <c r="G66" i="90" s="1"/>
  <c r="F67" i="90"/>
  <c r="E68" i="90" s="1"/>
  <c r="F66" i="90" s="1"/>
  <c r="E67" i="90"/>
  <c r="D68" i="90" s="1"/>
  <c r="E66" i="90" s="1"/>
  <c r="D67" i="90"/>
  <c r="C67" i="90"/>
  <c r="C64" i="90"/>
  <c r="C63" i="90"/>
  <c r="C62" i="90"/>
  <c r="C66" i="90" s="1"/>
  <c r="N58" i="90"/>
  <c r="M59" i="90" s="1"/>
  <c r="M58" i="90"/>
  <c r="L59" i="90" s="1"/>
  <c r="L58" i="90"/>
  <c r="K59" i="90" s="1"/>
  <c r="K58" i="90"/>
  <c r="J59" i="90" s="1"/>
  <c r="J58" i="90"/>
  <c r="I59" i="90" s="1"/>
  <c r="I58" i="90"/>
  <c r="H58" i="90"/>
  <c r="G58" i="90"/>
  <c r="F59" i="90" s="1"/>
  <c r="G57" i="90" s="1"/>
  <c r="F58" i="90"/>
  <c r="E59" i="90" s="1"/>
  <c r="F57" i="90" s="1"/>
  <c r="F60" i="90" s="1"/>
  <c r="E58" i="90"/>
  <c r="D59" i="90" s="1"/>
  <c r="E57" i="90" s="1"/>
  <c r="D58" i="90"/>
  <c r="C58" i="90"/>
  <c r="C55" i="90"/>
  <c r="C54" i="90"/>
  <c r="C53" i="90"/>
  <c r="C57" i="90" s="1"/>
  <c r="D13" i="56"/>
  <c r="D29" i="56"/>
  <c r="G49" i="90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N49" i="90"/>
  <c r="M49" i="90"/>
  <c r="L49" i="90"/>
  <c r="K49" i="90"/>
  <c r="J49" i="90"/>
  <c r="I49" i="90"/>
  <c r="H49" i="90"/>
  <c r="F49" i="90"/>
  <c r="E49" i="90"/>
  <c r="D49" i="90"/>
  <c r="C49" i="90"/>
  <c r="C46" i="90"/>
  <c r="C45" i="90"/>
  <c r="C44" i="90"/>
  <c r="C48" i="90" s="1"/>
  <c r="N40" i="90"/>
  <c r="M40" i="90"/>
  <c r="L40" i="90"/>
  <c r="K41" i="90" s="1"/>
  <c r="K40" i="90"/>
  <c r="J41" i="90" s="1"/>
  <c r="J40" i="90"/>
  <c r="I41" i="90" s="1"/>
  <c r="I40" i="90"/>
  <c r="H40" i="90"/>
  <c r="G40" i="90"/>
  <c r="F40" i="90"/>
  <c r="E40" i="90"/>
  <c r="D40" i="90"/>
  <c r="C40" i="90"/>
  <c r="C37" i="90"/>
  <c r="C36" i="90"/>
  <c r="C35" i="90"/>
  <c r="C39" i="90" s="1"/>
  <c r="N31" i="90"/>
  <c r="M32" i="90" s="1"/>
  <c r="M31" i="90"/>
  <c r="L32" i="90" s="1"/>
  <c r="L31" i="90"/>
  <c r="K32" i="90" s="1"/>
  <c r="K31" i="90"/>
  <c r="J32" i="90" s="1"/>
  <c r="J31" i="90"/>
  <c r="I31" i="90"/>
  <c r="H31" i="90"/>
  <c r="G31" i="90"/>
  <c r="F31" i="90"/>
  <c r="E31" i="90"/>
  <c r="D31" i="90"/>
  <c r="C31" i="90"/>
  <c r="C28" i="90"/>
  <c r="C27" i="90"/>
  <c r="C26" i="90"/>
  <c r="C30" i="90" s="1"/>
  <c r="N22" i="90"/>
  <c r="M23" i="90" s="1"/>
  <c r="M22" i="90"/>
  <c r="L23" i="90" s="1"/>
  <c r="L22" i="90"/>
  <c r="K22" i="90"/>
  <c r="J22" i="90"/>
  <c r="I22" i="90"/>
  <c r="H22" i="90"/>
  <c r="G22" i="90"/>
  <c r="F22" i="90"/>
  <c r="E22" i="90"/>
  <c r="D22" i="90"/>
  <c r="C22" i="90"/>
  <c r="C19" i="90"/>
  <c r="C18" i="90"/>
  <c r="C17" i="90"/>
  <c r="C21" i="90" s="1"/>
  <c r="D13" i="90"/>
  <c r="E13" i="90"/>
  <c r="F13" i="90"/>
  <c r="G13" i="90"/>
  <c r="H13" i="90"/>
  <c r="I13" i="90"/>
  <c r="J13" i="90"/>
  <c r="K13" i="90"/>
  <c r="L13" i="90"/>
  <c r="M13" i="90"/>
  <c r="N13" i="90"/>
  <c r="C13" i="90"/>
  <c r="C10" i="90"/>
  <c r="C9" i="90"/>
  <c r="C8" i="90"/>
  <c r="C12" i="90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C25" i="89"/>
  <c r="C12" i="89"/>
  <c r="C23" i="89"/>
  <c r="K34" i="87"/>
  <c r="H34" i="87"/>
  <c r="R33" i="87"/>
  <c r="P32" i="87"/>
  <c r="R12" i="86"/>
  <c r="R11" i="86" s="1"/>
  <c r="S12" i="86"/>
  <c r="S11" i="86" s="1"/>
  <c r="Q11" i="86"/>
  <c r="E34" i="87" s="1"/>
  <c r="Q12" i="86"/>
  <c r="Q8" i="86"/>
  <c r="S7" i="86"/>
  <c r="R7" i="86"/>
  <c r="C10" i="89"/>
  <c r="J16" i="96" l="1"/>
  <c r="D16" i="96"/>
  <c r="M22" i="132"/>
  <c r="M22" i="135"/>
  <c r="N16" i="96"/>
  <c r="E32" i="87"/>
  <c r="L105" i="72"/>
  <c r="L135" i="121"/>
  <c r="O5" i="73"/>
  <c r="M49" i="104"/>
  <c r="M45" i="132"/>
  <c r="E60" i="90"/>
  <c r="F69" i="90"/>
  <c r="C68" i="90"/>
  <c r="D66" i="90" s="1"/>
  <c r="E69" i="90"/>
  <c r="F19" i="96"/>
  <c r="G19" i="96"/>
  <c r="H19" i="96"/>
  <c r="K16" i="96"/>
  <c r="D19" i="96"/>
  <c r="C19" i="96"/>
  <c r="M19" i="96"/>
  <c r="L19" i="96"/>
  <c r="E19" i="96"/>
  <c r="Q19" i="96"/>
  <c r="J19" i="96"/>
  <c r="Q16" i="96"/>
  <c r="I19" i="96"/>
  <c r="M16" i="96"/>
  <c r="F16" i="96"/>
  <c r="C16" i="96"/>
  <c r="N19" i="96"/>
  <c r="E16" i="96"/>
  <c r="Q33" i="96"/>
  <c r="L33" i="96"/>
  <c r="G33" i="96"/>
  <c r="F33" i="96"/>
  <c r="N33" i="96"/>
  <c r="I33" i="96"/>
  <c r="H33" i="96"/>
  <c r="C33" i="96"/>
  <c r="J33" i="96"/>
  <c r="D33" i="96"/>
  <c r="E33" i="96"/>
  <c r="M33" i="96"/>
  <c r="K33" i="96"/>
  <c r="O15" i="96"/>
  <c r="H15" i="96" s="1"/>
  <c r="I13" i="95"/>
  <c r="I14" i="95" s="1"/>
  <c r="I17" i="95"/>
  <c r="O48" i="103"/>
  <c r="D20" i="106"/>
  <c r="D23" i="108" s="1"/>
  <c r="Q34" i="96"/>
  <c r="J34" i="96"/>
  <c r="G34" i="96"/>
  <c r="C34" i="96"/>
  <c r="D34" i="96"/>
  <c r="M34" i="96"/>
  <c r="K34" i="96"/>
  <c r="H34" i="96"/>
  <c r="N34" i="96"/>
  <c r="E34" i="96"/>
  <c r="I34" i="96"/>
  <c r="L34" i="96"/>
  <c r="F34" i="96"/>
  <c r="I16" i="96"/>
  <c r="C21" i="106"/>
  <c r="L16" i="96"/>
  <c r="D21" i="106"/>
  <c r="M37" i="96"/>
  <c r="N37" i="96"/>
  <c r="Q37" i="96"/>
  <c r="G37" i="96"/>
  <c r="K37" i="96"/>
  <c r="H37" i="96"/>
  <c r="I37" i="96"/>
  <c r="J37" i="96"/>
  <c r="L37" i="96"/>
  <c r="D37" i="96"/>
  <c r="F37" i="96"/>
  <c r="E37" i="96"/>
  <c r="C37" i="96"/>
  <c r="H16" i="96"/>
  <c r="O14" i="96"/>
  <c r="L14" i="96" s="1"/>
  <c r="O55" i="103"/>
  <c r="O17" i="96"/>
  <c r="J17" i="96" s="1"/>
  <c r="Q32" i="96"/>
  <c r="E32" i="96"/>
  <c r="N32" i="96"/>
  <c r="L32" i="96"/>
  <c r="C32" i="96"/>
  <c r="D32" i="96"/>
  <c r="H32" i="96"/>
  <c r="I32" i="96"/>
  <c r="G32" i="96"/>
  <c r="J32" i="96"/>
  <c r="F32" i="96"/>
  <c r="K32" i="96"/>
  <c r="M32" i="96"/>
  <c r="G13" i="95"/>
  <c r="G14" i="95" s="1"/>
  <c r="O35" i="96" s="1"/>
  <c r="G17" i="95"/>
  <c r="K17" i="95" s="1"/>
  <c r="L17" i="95" s="1"/>
  <c r="I17" i="96"/>
  <c r="N28" i="96"/>
  <c r="D28" i="96"/>
  <c r="E28" i="96"/>
  <c r="G28" i="96"/>
  <c r="H28" i="96"/>
  <c r="M28" i="96"/>
  <c r="F28" i="96"/>
  <c r="I28" i="96"/>
  <c r="J28" i="96"/>
  <c r="L28" i="96"/>
  <c r="C28" i="96"/>
  <c r="K28" i="96"/>
  <c r="C25" i="96"/>
  <c r="D25" i="96"/>
  <c r="E25" i="96"/>
  <c r="F25" i="96"/>
  <c r="G25" i="96"/>
  <c r="J25" i="96"/>
  <c r="K25" i="96"/>
  <c r="M25" i="96"/>
  <c r="N25" i="96"/>
  <c r="H25" i="96"/>
  <c r="I25" i="96"/>
  <c r="L25" i="96"/>
  <c r="L64" i="96"/>
  <c r="M64" i="96"/>
  <c r="N64" i="96"/>
  <c r="D64" i="96"/>
  <c r="C64" i="96"/>
  <c r="E64" i="96"/>
  <c r="F64" i="96"/>
  <c r="G64" i="96"/>
  <c r="K64" i="96"/>
  <c r="H64" i="96"/>
  <c r="I64" i="96"/>
  <c r="J64" i="96"/>
  <c r="D18" i="96"/>
  <c r="E18" i="96"/>
  <c r="F18" i="96"/>
  <c r="G18" i="96"/>
  <c r="H18" i="96"/>
  <c r="C18" i="96"/>
  <c r="N18" i="96"/>
  <c r="L18" i="96"/>
  <c r="M18" i="96"/>
  <c r="J18" i="96"/>
  <c r="K18" i="96"/>
  <c r="I18" i="96"/>
  <c r="M61" i="96"/>
  <c r="N61" i="96"/>
  <c r="C61" i="96"/>
  <c r="D61" i="96"/>
  <c r="E61" i="96"/>
  <c r="F61" i="96"/>
  <c r="G61" i="96"/>
  <c r="H61" i="96"/>
  <c r="K61" i="96"/>
  <c r="I61" i="96"/>
  <c r="J61" i="96"/>
  <c r="L61" i="96"/>
  <c r="M58" i="103"/>
  <c r="H14" i="73"/>
  <c r="N22" i="129"/>
  <c r="N25" i="129" s="1"/>
  <c r="O9" i="73" s="1"/>
  <c r="N9" i="73"/>
  <c r="F289" i="125"/>
  <c r="F17" i="73"/>
  <c r="E89" i="72" s="1"/>
  <c r="H269" i="125"/>
  <c r="H272" i="125" s="1"/>
  <c r="G285" i="125"/>
  <c r="H38" i="125"/>
  <c r="H41" i="125" s="1"/>
  <c r="F221" i="125"/>
  <c r="F222" i="125" s="1"/>
  <c r="G216" i="125"/>
  <c r="F217" i="125"/>
  <c r="M30" i="123"/>
  <c r="M33" i="123" s="1"/>
  <c r="G13" i="73"/>
  <c r="M16" i="123"/>
  <c r="M19" i="123" s="1"/>
  <c r="G11" i="73"/>
  <c r="M23" i="123"/>
  <c r="M26" i="123" s="1"/>
  <c r="G12" i="73"/>
  <c r="G15" i="73" s="1"/>
  <c r="D37" i="108"/>
  <c r="D34" i="106"/>
  <c r="K33" i="87"/>
  <c r="L53" i="103"/>
  <c r="L43" i="104"/>
  <c r="L44" i="104" s="1"/>
  <c r="L46" i="135" s="1"/>
  <c r="J11" i="92"/>
  <c r="D69" i="90"/>
  <c r="D54" i="92" s="1"/>
  <c r="L18" i="92"/>
  <c r="K52" i="103"/>
  <c r="J51" i="103"/>
  <c r="D21" i="103"/>
  <c r="C21" i="103" s="1"/>
  <c r="Q64" i="96"/>
  <c r="Q25" i="96"/>
  <c r="Q61" i="96"/>
  <c r="J29" i="95"/>
  <c r="O55" i="96" s="1"/>
  <c r="Q28" i="96"/>
  <c r="Q18" i="96"/>
  <c r="K31" i="95"/>
  <c r="L31" i="95" s="1"/>
  <c r="K27" i="95"/>
  <c r="L27" i="95" s="1"/>
  <c r="M188" i="94"/>
  <c r="M147" i="94"/>
  <c r="K26" i="95"/>
  <c r="L26" i="95" s="1"/>
  <c r="K34" i="95"/>
  <c r="L34" i="95" s="1"/>
  <c r="K33" i="95"/>
  <c r="L33" i="95" s="1"/>
  <c r="K35" i="95"/>
  <c r="L35" i="95" s="1"/>
  <c r="K19" i="95"/>
  <c r="L19" i="95" s="1"/>
  <c r="K32" i="95"/>
  <c r="L32" i="95" s="1"/>
  <c r="M191" i="94"/>
  <c r="M145" i="94"/>
  <c r="C18" i="107" s="1"/>
  <c r="I29" i="95"/>
  <c r="O54" i="96" s="1"/>
  <c r="H29" i="95"/>
  <c r="O51" i="96" s="1"/>
  <c r="M146" i="94"/>
  <c r="F36" i="95"/>
  <c r="O59" i="96" s="1"/>
  <c r="M155" i="94"/>
  <c r="G36" i="95"/>
  <c r="O62" i="96" s="1"/>
  <c r="G29" i="95"/>
  <c r="O53" i="96" s="1"/>
  <c r="K22" i="95"/>
  <c r="L22" i="95" s="1"/>
  <c r="K28" i="95"/>
  <c r="L28" i="95" s="1"/>
  <c r="E29" i="95"/>
  <c r="O52" i="96" s="1"/>
  <c r="K25" i="95"/>
  <c r="M190" i="94"/>
  <c r="M194" i="94"/>
  <c r="M189" i="94"/>
  <c r="H36" i="95"/>
  <c r="O60" i="96" s="1"/>
  <c r="M185" i="94"/>
  <c r="F29" i="95"/>
  <c r="O50" i="96" s="1"/>
  <c r="I36" i="95"/>
  <c r="O63" i="96" s="1"/>
  <c r="I23" i="95"/>
  <c r="K21" i="95"/>
  <c r="L21" i="95" s="1"/>
  <c r="K10" i="95"/>
  <c r="K6" i="95"/>
  <c r="J23" i="95"/>
  <c r="M140" i="94"/>
  <c r="C15" i="107" s="1"/>
  <c r="K9" i="95"/>
  <c r="L9" i="95" s="1"/>
  <c r="I11" i="95"/>
  <c r="O27" i="96" s="1"/>
  <c r="E23" i="95"/>
  <c r="E38" i="95" s="1"/>
  <c r="I195" i="94"/>
  <c r="K16" i="95"/>
  <c r="K18" i="95"/>
  <c r="L18" i="95" s="1"/>
  <c r="M13" i="94"/>
  <c r="C11" i="107" s="1"/>
  <c r="F11" i="95"/>
  <c r="O23" i="96" s="1"/>
  <c r="M10" i="94"/>
  <c r="M11" i="94"/>
  <c r="C13" i="107" s="1"/>
  <c r="H13" i="107" s="1"/>
  <c r="F23" i="95"/>
  <c r="K20" i="95"/>
  <c r="L20" i="95" s="1"/>
  <c r="M14" i="94"/>
  <c r="C12" i="107" s="1"/>
  <c r="G12" i="107" s="1"/>
  <c r="M143" i="94"/>
  <c r="C17" i="107" s="1"/>
  <c r="K8" i="95"/>
  <c r="H11" i="95"/>
  <c r="O24" i="96" s="1"/>
  <c r="K195" i="94"/>
  <c r="G11" i="95"/>
  <c r="O26" i="96" s="1"/>
  <c r="M12" i="94"/>
  <c r="M124" i="94"/>
  <c r="C14" i="107" s="1"/>
  <c r="M141" i="94"/>
  <c r="C16" i="107" s="1"/>
  <c r="H23" i="95"/>
  <c r="M18" i="92"/>
  <c r="N18" i="92"/>
  <c r="J25" i="92"/>
  <c r="K25" i="92"/>
  <c r="L25" i="92"/>
  <c r="I25" i="92"/>
  <c r="M25" i="92"/>
  <c r="I39" i="92"/>
  <c r="C17" i="92"/>
  <c r="I53" i="92"/>
  <c r="J53" i="92"/>
  <c r="L53" i="92"/>
  <c r="F18" i="92"/>
  <c r="M53" i="92"/>
  <c r="G18" i="92"/>
  <c r="I46" i="92"/>
  <c r="K32" i="92"/>
  <c r="I18" i="92"/>
  <c r="L32" i="92"/>
  <c r="K46" i="92"/>
  <c r="J39" i="92"/>
  <c r="J18" i="92"/>
  <c r="M32" i="92"/>
  <c r="L46" i="92"/>
  <c r="E18" i="92"/>
  <c r="I32" i="92"/>
  <c r="J32" i="92"/>
  <c r="K18" i="92"/>
  <c r="N32" i="92"/>
  <c r="M46" i="92"/>
  <c r="K39" i="92"/>
  <c r="C18" i="92"/>
  <c r="D18" i="92"/>
  <c r="K53" i="92"/>
  <c r="N53" i="92"/>
  <c r="H18" i="92"/>
  <c r="J46" i="92"/>
  <c r="N46" i="92"/>
  <c r="F54" i="92"/>
  <c r="E54" i="92"/>
  <c r="C53" i="92"/>
  <c r="F53" i="92"/>
  <c r="C52" i="92"/>
  <c r="G53" i="92"/>
  <c r="D53" i="92"/>
  <c r="E53" i="92"/>
  <c r="H53" i="92"/>
  <c r="F46" i="92"/>
  <c r="E47" i="92"/>
  <c r="C46" i="92"/>
  <c r="C45" i="92"/>
  <c r="G46" i="92"/>
  <c r="F47" i="92"/>
  <c r="D46" i="92"/>
  <c r="E46" i="92"/>
  <c r="H46" i="92"/>
  <c r="M39" i="92"/>
  <c r="N39" i="92"/>
  <c r="C39" i="92"/>
  <c r="D39" i="92"/>
  <c r="E39" i="92"/>
  <c r="L39" i="92"/>
  <c r="F39" i="92"/>
  <c r="C38" i="92"/>
  <c r="G39" i="92"/>
  <c r="H39" i="92"/>
  <c r="C32" i="92"/>
  <c r="D32" i="92"/>
  <c r="E32" i="92"/>
  <c r="F32" i="92"/>
  <c r="C31" i="92"/>
  <c r="G32" i="92"/>
  <c r="H32" i="92"/>
  <c r="N25" i="92"/>
  <c r="C25" i="92"/>
  <c r="D25" i="92"/>
  <c r="E25" i="92"/>
  <c r="F25" i="92"/>
  <c r="C24" i="92"/>
  <c r="G25" i="92"/>
  <c r="H25" i="92"/>
  <c r="I11" i="92"/>
  <c r="F11" i="92"/>
  <c r="E11" i="92"/>
  <c r="G11" i="92"/>
  <c r="H11" i="92"/>
  <c r="N11" i="92"/>
  <c r="C11" i="92"/>
  <c r="M11" i="92"/>
  <c r="L11" i="92"/>
  <c r="K11" i="92"/>
  <c r="D11" i="92"/>
  <c r="C10" i="92"/>
  <c r="C69" i="90"/>
  <c r="C54" i="92" s="1"/>
  <c r="H66" i="90"/>
  <c r="G69" i="90"/>
  <c r="G54" i="92" s="1"/>
  <c r="H69" i="90"/>
  <c r="H54" i="92" s="1"/>
  <c r="I66" i="90"/>
  <c r="I69" i="90" s="1"/>
  <c r="I54" i="92" s="1"/>
  <c r="J66" i="90"/>
  <c r="K66" i="90"/>
  <c r="J69" i="90"/>
  <c r="J54" i="92" s="1"/>
  <c r="L66" i="90"/>
  <c r="L69" i="90" s="1"/>
  <c r="L54" i="92" s="1"/>
  <c r="K69" i="90"/>
  <c r="K54" i="92" s="1"/>
  <c r="O67" i="90"/>
  <c r="M69" i="90"/>
  <c r="M54" i="92" s="1"/>
  <c r="H59" i="90"/>
  <c r="I57" i="90" s="1"/>
  <c r="I60" i="90" s="1"/>
  <c r="I47" i="92" s="1"/>
  <c r="C59" i="90"/>
  <c r="D57" i="90" s="1"/>
  <c r="D60" i="90" s="1"/>
  <c r="D47" i="92" s="1"/>
  <c r="O58" i="90"/>
  <c r="J57" i="90"/>
  <c r="J60" i="90" s="1"/>
  <c r="J47" i="92" s="1"/>
  <c r="K57" i="90"/>
  <c r="K60" i="90" s="1"/>
  <c r="K47" i="92" s="1"/>
  <c r="L57" i="90"/>
  <c r="M57" i="90"/>
  <c r="M60" i="90" s="1"/>
  <c r="M47" i="92" s="1"/>
  <c r="L60" i="90"/>
  <c r="L47" i="92" s="1"/>
  <c r="N57" i="90"/>
  <c r="G59" i="90"/>
  <c r="F6" i="91"/>
  <c r="F8" i="91"/>
  <c r="F16" i="91"/>
  <c r="F17" i="91" s="1"/>
  <c r="F17" i="56"/>
  <c r="L41" i="90"/>
  <c r="M39" i="90" s="1"/>
  <c r="D50" i="90"/>
  <c r="E48" i="90" s="1"/>
  <c r="F32" i="90"/>
  <c r="G30" i="90" s="1"/>
  <c r="G23" i="90"/>
  <c r="G32" i="90"/>
  <c r="H30" i="90" s="1"/>
  <c r="G41" i="90"/>
  <c r="H39" i="90" s="1"/>
  <c r="C50" i="90"/>
  <c r="D48" i="90" s="1"/>
  <c r="E50" i="90"/>
  <c r="F48" i="90" s="1"/>
  <c r="C41" i="90"/>
  <c r="D39" i="90" s="1"/>
  <c r="D23" i="90"/>
  <c r="E21" i="90" s="1"/>
  <c r="I50" i="90"/>
  <c r="J48" i="90" s="1"/>
  <c r="E41" i="90"/>
  <c r="F39" i="90" s="1"/>
  <c r="F23" i="90"/>
  <c r="G21" i="90" s="1"/>
  <c r="H32" i="90"/>
  <c r="I30" i="90" s="1"/>
  <c r="H41" i="90"/>
  <c r="I39" i="90" s="1"/>
  <c r="I42" i="90" s="1"/>
  <c r="I33" i="92" s="1"/>
  <c r="D41" i="90"/>
  <c r="E39" i="90" s="1"/>
  <c r="F41" i="90"/>
  <c r="G39" i="90" s="1"/>
  <c r="J50" i="90"/>
  <c r="K48" i="90" s="1"/>
  <c r="K50" i="90"/>
  <c r="L48" i="90" s="1"/>
  <c r="L50" i="90"/>
  <c r="M48" i="90" s="1"/>
  <c r="M50" i="90"/>
  <c r="N48" i="90" s="1"/>
  <c r="H50" i="90"/>
  <c r="I48" i="90" s="1"/>
  <c r="O49" i="90"/>
  <c r="F50" i="90"/>
  <c r="G50" i="90"/>
  <c r="I23" i="90"/>
  <c r="J21" i="90" s="1"/>
  <c r="C23" i="90"/>
  <c r="D21" i="90" s="1"/>
  <c r="M41" i="90"/>
  <c r="N39" i="90" s="1"/>
  <c r="J39" i="90"/>
  <c r="J42" i="90" s="1"/>
  <c r="J33" i="92" s="1"/>
  <c r="L39" i="90"/>
  <c r="K39" i="90"/>
  <c r="K42" i="90" s="1"/>
  <c r="K33" i="92" s="1"/>
  <c r="O40" i="90"/>
  <c r="K23" i="90"/>
  <c r="L21" i="90" s="1"/>
  <c r="L24" i="90" s="1"/>
  <c r="L19" i="92" s="1"/>
  <c r="E23" i="90"/>
  <c r="F21" i="90" s="1"/>
  <c r="E32" i="90"/>
  <c r="F30" i="90" s="1"/>
  <c r="H23" i="90"/>
  <c r="I21" i="90" s="1"/>
  <c r="J23" i="90"/>
  <c r="O31" i="90"/>
  <c r="D32" i="90"/>
  <c r="E30" i="90" s="1"/>
  <c r="C32" i="90"/>
  <c r="D30" i="90" s="1"/>
  <c r="D33" i="90" s="1"/>
  <c r="D26" i="92" s="1"/>
  <c r="K30" i="90"/>
  <c r="K33" i="90" s="1"/>
  <c r="K26" i="92" s="1"/>
  <c r="L30" i="90"/>
  <c r="L33" i="90" s="1"/>
  <c r="L26" i="92" s="1"/>
  <c r="M30" i="90"/>
  <c r="M33" i="90" s="1"/>
  <c r="M26" i="92" s="1"/>
  <c r="N30" i="90"/>
  <c r="I32" i="90"/>
  <c r="N21" i="90"/>
  <c r="O22" i="90"/>
  <c r="M21" i="90"/>
  <c r="M24" i="90" s="1"/>
  <c r="M19" i="92" s="1"/>
  <c r="F8" i="56"/>
  <c r="K13" i="77"/>
  <c r="K6" i="77"/>
  <c r="K53" i="53" s="1"/>
  <c r="N5" i="52"/>
  <c r="R14" i="87"/>
  <c r="R32" i="87" s="1"/>
  <c r="K32" i="87" s="1"/>
  <c r="P15" i="87"/>
  <c r="P33" i="87" s="1"/>
  <c r="E33" i="87" s="1"/>
  <c r="R7" i="87"/>
  <c r="R6" i="87"/>
  <c r="Q7" i="87"/>
  <c r="Q15" i="87" s="1"/>
  <c r="Q33" i="87" s="1"/>
  <c r="H33" i="87" s="1"/>
  <c r="Q6" i="87"/>
  <c r="Q14" i="87" s="1"/>
  <c r="Q32" i="87" s="1"/>
  <c r="H32" i="87" s="1"/>
  <c r="P7" i="87"/>
  <c r="P6" i="87"/>
  <c r="J7" i="87"/>
  <c r="J15" i="87" s="1"/>
  <c r="J33" i="87" s="1"/>
  <c r="J6" i="87"/>
  <c r="J14" i="87" s="1"/>
  <c r="J32" i="87" s="1"/>
  <c r="G7" i="87"/>
  <c r="G15" i="87" s="1"/>
  <c r="G33" i="87" s="1"/>
  <c r="G6" i="87"/>
  <c r="G14" i="87" s="1"/>
  <c r="G32" i="87" s="1"/>
  <c r="D7" i="87"/>
  <c r="D15" i="87" s="1"/>
  <c r="D33" i="87" s="1"/>
  <c r="D6" i="87"/>
  <c r="D14" i="87" s="1"/>
  <c r="D3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E11" i="83"/>
  <c r="D11" i="83"/>
  <c r="C11" i="83" s="1"/>
  <c r="C6" i="83"/>
  <c r="B12" i="83" s="1"/>
  <c r="B13" i="83" s="1"/>
  <c r="D6" i="82"/>
  <c r="C5" i="82"/>
  <c r="B11" i="82" s="1"/>
  <c r="E10" i="82"/>
  <c r="H11" i="82" s="1"/>
  <c r="D10" i="82"/>
  <c r="C10" i="82" s="1"/>
  <c r="C17" i="96" l="1"/>
  <c r="M24" i="132"/>
  <c r="M25" i="132" s="1"/>
  <c r="M24" i="135"/>
  <c r="M25" i="135" s="1"/>
  <c r="L22" i="132"/>
  <c r="L22" i="135"/>
  <c r="G23" i="95"/>
  <c r="J38" i="95"/>
  <c r="M46" i="132"/>
  <c r="M47" i="132" s="1"/>
  <c r="M47" i="135"/>
  <c r="M48" i="135" s="1"/>
  <c r="M135" i="121"/>
  <c r="M105" i="72"/>
  <c r="N105" i="72"/>
  <c r="N135" i="121"/>
  <c r="C55" i="92"/>
  <c r="L49" i="104"/>
  <c r="L45" i="132"/>
  <c r="D14" i="96"/>
  <c r="Q14" i="96"/>
  <c r="H14" i="96"/>
  <c r="E14" i="96"/>
  <c r="I14" i="96"/>
  <c r="F14" i="96"/>
  <c r="C14" i="96"/>
  <c r="G15" i="96"/>
  <c r="K14" i="96"/>
  <c r="N15" i="96"/>
  <c r="O20" i="96"/>
  <c r="F15" i="96"/>
  <c r="N14" i="96"/>
  <c r="G14" i="96"/>
  <c r="M17" i="96"/>
  <c r="I38" i="95"/>
  <c r="O36" i="96"/>
  <c r="H38" i="95"/>
  <c r="J14" i="107"/>
  <c r="H14" i="107"/>
  <c r="E15" i="96"/>
  <c r="D15" i="96"/>
  <c r="J15" i="107"/>
  <c r="H15" i="107"/>
  <c r="G38" i="95"/>
  <c r="Q35" i="96"/>
  <c r="I35" i="96"/>
  <c r="M35" i="96"/>
  <c r="C35" i="96"/>
  <c r="K35" i="96"/>
  <c r="D35" i="96"/>
  <c r="L35" i="96"/>
  <c r="H35" i="96"/>
  <c r="N35" i="96"/>
  <c r="E35" i="96"/>
  <c r="G35" i="96"/>
  <c r="J35" i="96"/>
  <c r="F35" i="96"/>
  <c r="J17" i="107"/>
  <c r="H17" i="107"/>
  <c r="G17" i="96"/>
  <c r="D17" i="96"/>
  <c r="I15" i="96"/>
  <c r="L17" i="96"/>
  <c r="J14" i="96"/>
  <c r="J15" i="96"/>
  <c r="F17" i="96"/>
  <c r="F38" i="95"/>
  <c r="K13" i="95"/>
  <c r="C15" i="96"/>
  <c r="E17" i="96"/>
  <c r="M15" i="96"/>
  <c r="H17" i="96"/>
  <c r="M14" i="96"/>
  <c r="Q17" i="96"/>
  <c r="L15" i="96"/>
  <c r="K17" i="96"/>
  <c r="G11" i="107"/>
  <c r="G19" i="107" s="1"/>
  <c r="C19" i="107"/>
  <c r="J18" i="107"/>
  <c r="H18" i="107"/>
  <c r="Q15" i="96"/>
  <c r="K15" i="96"/>
  <c r="N17" i="96"/>
  <c r="E21" i="106"/>
  <c r="H16" i="107"/>
  <c r="J16" i="107"/>
  <c r="E23" i="96"/>
  <c r="H23" i="96"/>
  <c r="F23" i="96"/>
  <c r="C23" i="96"/>
  <c r="I23" i="96"/>
  <c r="J23" i="96"/>
  <c r="G23" i="96"/>
  <c r="K23" i="96"/>
  <c r="L23" i="96"/>
  <c r="D23" i="96"/>
  <c r="M23" i="96"/>
  <c r="N23" i="96"/>
  <c r="D54" i="96"/>
  <c r="F54" i="96"/>
  <c r="E54" i="96"/>
  <c r="G54" i="96"/>
  <c r="H54" i="96"/>
  <c r="I54" i="96"/>
  <c r="J54" i="96"/>
  <c r="K54" i="96"/>
  <c r="L54" i="96"/>
  <c r="N54" i="96"/>
  <c r="C54" i="96"/>
  <c r="M54" i="96"/>
  <c r="H60" i="96"/>
  <c r="I60" i="96"/>
  <c r="J60" i="96"/>
  <c r="K60" i="96"/>
  <c r="C60" i="96"/>
  <c r="L60" i="96"/>
  <c r="M60" i="96"/>
  <c r="N60" i="96"/>
  <c r="D60" i="96"/>
  <c r="E60" i="96"/>
  <c r="G60" i="96"/>
  <c r="F60" i="96"/>
  <c r="D26" i="96"/>
  <c r="E26" i="96"/>
  <c r="F26" i="96"/>
  <c r="G26" i="96"/>
  <c r="H26" i="96"/>
  <c r="I26" i="96"/>
  <c r="C26" i="96"/>
  <c r="N26" i="96"/>
  <c r="K26" i="96"/>
  <c r="M26" i="96"/>
  <c r="J26" i="96"/>
  <c r="L26" i="96"/>
  <c r="I27" i="96"/>
  <c r="J27" i="96"/>
  <c r="L27" i="96"/>
  <c r="M27" i="96"/>
  <c r="K27" i="96"/>
  <c r="N27" i="96"/>
  <c r="C27" i="96"/>
  <c r="F27" i="96"/>
  <c r="G27" i="96"/>
  <c r="D27" i="96"/>
  <c r="H27" i="96"/>
  <c r="E27" i="96"/>
  <c r="I52" i="96"/>
  <c r="J52" i="96"/>
  <c r="K52" i="96"/>
  <c r="L52" i="96"/>
  <c r="M52" i="96"/>
  <c r="N52" i="96"/>
  <c r="C52" i="96"/>
  <c r="D52" i="96"/>
  <c r="F52" i="96"/>
  <c r="E52" i="96"/>
  <c r="H52" i="96"/>
  <c r="G52" i="96"/>
  <c r="H55" i="96"/>
  <c r="K55" i="96"/>
  <c r="I55" i="96"/>
  <c r="J55" i="96"/>
  <c r="L55" i="96"/>
  <c r="M55" i="96"/>
  <c r="N55" i="96"/>
  <c r="D55" i="96"/>
  <c r="G55" i="96"/>
  <c r="E55" i="96"/>
  <c r="C55" i="96"/>
  <c r="F55" i="96"/>
  <c r="L58" i="103"/>
  <c r="D51" i="96"/>
  <c r="G51" i="96"/>
  <c r="E51" i="96"/>
  <c r="H51" i="96"/>
  <c r="F51" i="96"/>
  <c r="I51" i="96"/>
  <c r="J51" i="96"/>
  <c r="K51" i="96"/>
  <c r="L51" i="96"/>
  <c r="C51" i="96"/>
  <c r="M51" i="96"/>
  <c r="N51" i="96"/>
  <c r="J24" i="96"/>
  <c r="K24" i="96"/>
  <c r="N24" i="96"/>
  <c r="M24" i="96"/>
  <c r="L24" i="96"/>
  <c r="C24" i="96"/>
  <c r="D24" i="96"/>
  <c r="H24" i="96"/>
  <c r="I24" i="96"/>
  <c r="E24" i="96"/>
  <c r="G24" i="96"/>
  <c r="F24" i="96"/>
  <c r="D59" i="96"/>
  <c r="E59" i="96"/>
  <c r="F59" i="96"/>
  <c r="C59" i="96"/>
  <c r="G59" i="96"/>
  <c r="H59" i="96"/>
  <c r="I59" i="96"/>
  <c r="J59" i="96"/>
  <c r="K59" i="96"/>
  <c r="L59" i="96"/>
  <c r="M59" i="96"/>
  <c r="N59" i="96"/>
  <c r="N53" i="96"/>
  <c r="D53" i="96"/>
  <c r="E53" i="96"/>
  <c r="F53" i="96"/>
  <c r="G53" i="96"/>
  <c r="C53" i="96"/>
  <c r="M53" i="96"/>
  <c r="H53" i="96"/>
  <c r="K53" i="96"/>
  <c r="L53" i="96"/>
  <c r="I53" i="96"/>
  <c r="J53" i="96"/>
  <c r="G63" i="96"/>
  <c r="J63" i="96"/>
  <c r="K63" i="96"/>
  <c r="H63" i="96"/>
  <c r="I63" i="96"/>
  <c r="L63" i="96"/>
  <c r="M63" i="96"/>
  <c r="N63" i="96"/>
  <c r="C63" i="96"/>
  <c r="E63" i="96"/>
  <c r="F63" i="96"/>
  <c r="D63" i="96"/>
  <c r="E62" i="96"/>
  <c r="F62" i="96"/>
  <c r="D62" i="96"/>
  <c r="G62" i="96"/>
  <c r="H62" i="96"/>
  <c r="C62" i="96"/>
  <c r="I62" i="96"/>
  <c r="J62" i="96"/>
  <c r="K62" i="96"/>
  <c r="L62" i="96"/>
  <c r="N62" i="96"/>
  <c r="M62" i="96"/>
  <c r="D50" i="96"/>
  <c r="E50" i="96"/>
  <c r="F50" i="96"/>
  <c r="C50" i="96"/>
  <c r="G50" i="96"/>
  <c r="H50" i="96"/>
  <c r="M50" i="96"/>
  <c r="N50" i="96"/>
  <c r="J50" i="96"/>
  <c r="K50" i="96"/>
  <c r="I50" i="96"/>
  <c r="L50" i="96"/>
  <c r="I14" i="73"/>
  <c r="M29" i="72"/>
  <c r="D29" i="72"/>
  <c r="K29" i="72"/>
  <c r="L29" i="72"/>
  <c r="N29" i="72"/>
  <c r="E29" i="72"/>
  <c r="F29" i="72"/>
  <c r="G29" i="72"/>
  <c r="G289" i="125"/>
  <c r="G17" i="73"/>
  <c r="F89" i="72" s="1"/>
  <c r="G214" i="125"/>
  <c r="G217" i="125" s="1"/>
  <c r="G219" i="125"/>
  <c r="G222" i="125" s="1"/>
  <c r="I269" i="125"/>
  <c r="I272" i="125" s="1"/>
  <c r="H285" i="125"/>
  <c r="I38" i="125"/>
  <c r="I41" i="125"/>
  <c r="N23" i="123"/>
  <c r="N26" i="123" s="1"/>
  <c r="H12" i="73"/>
  <c r="H15" i="73" s="1"/>
  <c r="N16" i="123"/>
  <c r="N19" i="123" s="1"/>
  <c r="H11" i="73"/>
  <c r="N30" i="123"/>
  <c r="N33" i="123" s="1"/>
  <c r="H13" i="73"/>
  <c r="O41" i="96"/>
  <c r="O45" i="96"/>
  <c r="O42" i="96"/>
  <c r="O44" i="96"/>
  <c r="F23" i="115"/>
  <c r="L23" i="115"/>
  <c r="G23" i="115"/>
  <c r="D23" i="115"/>
  <c r="C23" i="115"/>
  <c r="N23" i="115"/>
  <c r="E23" i="115"/>
  <c r="J23" i="115"/>
  <c r="K23" i="115"/>
  <c r="M23" i="115"/>
  <c r="H23" i="115"/>
  <c r="I23" i="115"/>
  <c r="L10" i="95"/>
  <c r="I13" i="115"/>
  <c r="M13" i="115"/>
  <c r="E13" i="115"/>
  <c r="J13" i="115"/>
  <c r="C13" i="115"/>
  <c r="K13" i="115"/>
  <c r="G13" i="115"/>
  <c r="L13" i="115"/>
  <c r="D13" i="115"/>
  <c r="H13" i="115"/>
  <c r="F13" i="115"/>
  <c r="N13" i="115"/>
  <c r="D36" i="106"/>
  <c r="D37" i="106"/>
  <c r="D40" i="108"/>
  <c r="D41" i="108"/>
  <c r="B5" i="77"/>
  <c r="F5" i="77"/>
  <c r="J12" i="77"/>
  <c r="C14" i="77"/>
  <c r="I7" i="77"/>
  <c r="D14" i="77"/>
  <c r="B7" i="77"/>
  <c r="M7" i="77"/>
  <c r="L7" i="77"/>
  <c r="K7" i="77"/>
  <c r="K53" i="103"/>
  <c r="K43" i="104"/>
  <c r="K44" i="104" s="1"/>
  <c r="D51" i="90"/>
  <c r="D40" i="92" s="1"/>
  <c r="L42" i="90"/>
  <c r="L33" i="92" s="1"/>
  <c r="K49" i="104"/>
  <c r="J52" i="103"/>
  <c r="I51" i="103"/>
  <c r="Q51" i="96"/>
  <c r="Q53" i="96"/>
  <c r="Q50" i="96"/>
  <c r="O56" i="96"/>
  <c r="K36" i="95"/>
  <c r="L36" i="95" s="1"/>
  <c r="Q55" i="96"/>
  <c r="O46" i="96"/>
  <c r="Q59" i="96"/>
  <c r="O65" i="96"/>
  <c r="Q54" i="96"/>
  <c r="Q62" i="96"/>
  <c r="Q23" i="96"/>
  <c r="O29" i="96"/>
  <c r="Q26" i="96"/>
  <c r="O43" i="96"/>
  <c r="Q24" i="96"/>
  <c r="Q63" i="96"/>
  <c r="Q60" i="96"/>
  <c r="Q27" i="96"/>
  <c r="Q52" i="96"/>
  <c r="H20" i="96"/>
  <c r="H21" i="115" s="1"/>
  <c r="C20" i="96"/>
  <c r="C21" i="115" s="1"/>
  <c r="E20" i="96"/>
  <c r="E21" i="115" s="1"/>
  <c r="L25" i="95"/>
  <c r="K29" i="95"/>
  <c r="L29" i="95" s="1"/>
  <c r="L6" i="95"/>
  <c r="M195" i="94"/>
  <c r="L8" i="95"/>
  <c r="K11" i="95"/>
  <c r="L16" i="95"/>
  <c r="K23" i="95"/>
  <c r="L23" i="95" s="1"/>
  <c r="J59" i="92"/>
  <c r="F59" i="92"/>
  <c r="M59" i="92"/>
  <c r="O18" i="92"/>
  <c r="C59" i="92"/>
  <c r="I59" i="92"/>
  <c r="N59" i="92"/>
  <c r="H59" i="92"/>
  <c r="D52" i="92"/>
  <c r="C58" i="92"/>
  <c r="D59" i="92"/>
  <c r="G59" i="92"/>
  <c r="K59" i="92"/>
  <c r="L59" i="92"/>
  <c r="E59" i="92"/>
  <c r="O53" i="92"/>
  <c r="O46" i="92"/>
  <c r="O39" i="92"/>
  <c r="O32" i="92"/>
  <c r="O25" i="92"/>
  <c r="O11" i="92"/>
  <c r="C60" i="90"/>
  <c r="C47" i="92" s="1"/>
  <c r="H57" i="90"/>
  <c r="H60" i="90" s="1"/>
  <c r="H47" i="92" s="1"/>
  <c r="G60" i="90"/>
  <c r="K51" i="90"/>
  <c r="K40" i="92" s="1"/>
  <c r="G33" i="90"/>
  <c r="G26" i="92" s="1"/>
  <c r="J51" i="90"/>
  <c r="J40" i="92" s="1"/>
  <c r="C51" i="90"/>
  <c r="C40" i="92" s="1"/>
  <c r="C41" i="92" s="1"/>
  <c r="F42" i="90"/>
  <c r="F33" i="92" s="1"/>
  <c r="I51" i="90"/>
  <c r="I40" i="92" s="1"/>
  <c r="E24" i="90"/>
  <c r="E19" i="92" s="1"/>
  <c r="I24" i="90"/>
  <c r="I19" i="92" s="1"/>
  <c r="E42" i="90"/>
  <c r="E33" i="92" s="1"/>
  <c r="F33" i="90"/>
  <c r="F26" i="92" s="1"/>
  <c r="L51" i="90"/>
  <c r="L40" i="92" s="1"/>
  <c r="H33" i="90"/>
  <c r="H26" i="92" s="1"/>
  <c r="D24" i="90"/>
  <c r="D19" i="92" s="1"/>
  <c r="C42" i="90"/>
  <c r="C33" i="92" s="1"/>
  <c r="C34" i="92" s="1"/>
  <c r="H42" i="90"/>
  <c r="H33" i="92" s="1"/>
  <c r="D42" i="90"/>
  <c r="D33" i="92" s="1"/>
  <c r="F24" i="90"/>
  <c r="F19" i="92" s="1"/>
  <c r="M42" i="90"/>
  <c r="M33" i="92" s="1"/>
  <c r="G42" i="90"/>
  <c r="G33" i="92" s="1"/>
  <c r="E51" i="90"/>
  <c r="E40" i="92" s="1"/>
  <c r="M51" i="90"/>
  <c r="M40" i="92" s="1"/>
  <c r="G48" i="90"/>
  <c r="G51" i="90" s="1"/>
  <c r="G40" i="92" s="1"/>
  <c r="F51" i="90"/>
  <c r="F40" i="92" s="1"/>
  <c r="J24" i="90"/>
  <c r="J19" i="92" s="1"/>
  <c r="H48" i="90"/>
  <c r="H51" i="90" s="1"/>
  <c r="H40" i="92" s="1"/>
  <c r="K21" i="90"/>
  <c r="K24" i="90" s="1"/>
  <c r="K19" i="92" s="1"/>
  <c r="E33" i="90"/>
  <c r="E26" i="92" s="1"/>
  <c r="C33" i="90"/>
  <c r="C26" i="92" s="1"/>
  <c r="C27" i="92" s="1"/>
  <c r="I33" i="90"/>
  <c r="I26" i="92" s="1"/>
  <c r="J30" i="90"/>
  <c r="J33" i="90" s="1"/>
  <c r="J26" i="92" s="1"/>
  <c r="C24" i="90"/>
  <c r="C19" i="92" s="1"/>
  <c r="G24" i="90"/>
  <c r="G19" i="92" s="1"/>
  <c r="H21" i="90"/>
  <c r="H24" i="90" s="1"/>
  <c r="H19" i="92" s="1"/>
  <c r="O28" i="89"/>
  <c r="I11" i="86"/>
  <c r="N14" i="86"/>
  <c r="L19" i="86"/>
  <c r="J21" i="86"/>
  <c r="O21" i="86" s="1"/>
  <c r="N21" i="86"/>
  <c r="N19" i="86"/>
  <c r="R8" i="86"/>
  <c r="R9" i="86" s="1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D14" i="86"/>
  <c r="C11" i="86"/>
  <c r="E8" i="87" s="1"/>
  <c r="E7" i="87" s="1"/>
  <c r="D154" i="109" s="1"/>
  <c r="D16" i="86"/>
  <c r="C30" i="85"/>
  <c r="D11" i="86"/>
  <c r="H8" i="87" s="1"/>
  <c r="H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H29" i="72"/>
  <c r="J29" i="72"/>
  <c r="I29" i="72"/>
  <c r="C29" i="72"/>
  <c r="D12" i="83"/>
  <c r="D11" i="82"/>
  <c r="C11" i="82" s="1"/>
  <c r="C8" i="83"/>
  <c r="B14" i="83"/>
  <c r="C7" i="82"/>
  <c r="B12" i="82"/>
  <c r="I20" i="96" l="1"/>
  <c r="I21" i="115" s="1"/>
  <c r="D20" i="96"/>
  <c r="D21" i="115" s="1"/>
  <c r="L24" i="132"/>
  <c r="L25" i="132" s="1"/>
  <c r="L24" i="135"/>
  <c r="L20" i="96"/>
  <c r="L21" i="115" s="1"/>
  <c r="H19" i="107"/>
  <c r="H30" i="107" s="1"/>
  <c r="M20" i="96"/>
  <c r="M21" i="115" s="1"/>
  <c r="K45" i="132"/>
  <c r="K46" i="135"/>
  <c r="K46" i="132"/>
  <c r="K47" i="132" s="1"/>
  <c r="K47" i="135"/>
  <c r="F20" i="96"/>
  <c r="F21" i="115" s="1"/>
  <c r="L46" i="132"/>
  <c r="L47" i="132" s="1"/>
  <c r="L47" i="135"/>
  <c r="L48" i="135" s="1"/>
  <c r="Q20" i="96"/>
  <c r="K22" i="132"/>
  <c r="K22" i="135"/>
  <c r="J20" i="96"/>
  <c r="J21" i="115" s="1"/>
  <c r="E32" i="118"/>
  <c r="E34" i="118" s="1"/>
  <c r="E32" i="117"/>
  <c r="E34" i="117" s="1"/>
  <c r="E32" i="114"/>
  <c r="E34" i="114" s="1"/>
  <c r="N47" i="121"/>
  <c r="C47" i="121"/>
  <c r="I47" i="121"/>
  <c r="M47" i="121"/>
  <c r="F47" i="121"/>
  <c r="D45" i="92"/>
  <c r="D48" i="92" s="1"/>
  <c r="E45" i="92" s="1"/>
  <c r="J47" i="121"/>
  <c r="C20" i="92"/>
  <c r="D17" i="92" s="1"/>
  <c r="D20" i="92" s="1"/>
  <c r="E17" i="92" s="1"/>
  <c r="H47" i="121"/>
  <c r="C48" i="92"/>
  <c r="E47" i="121"/>
  <c r="D24" i="92"/>
  <c r="D27" i="92" s="1"/>
  <c r="E24" i="92" s="1"/>
  <c r="L47" i="121"/>
  <c r="K47" i="121"/>
  <c r="D38" i="92"/>
  <c r="D41" i="92" s="1"/>
  <c r="E38" i="92" s="1"/>
  <c r="E41" i="92" s="1"/>
  <c r="F38" i="92" s="1"/>
  <c r="G47" i="121"/>
  <c r="D47" i="121"/>
  <c r="G20" i="96"/>
  <c r="G21" i="115" s="1"/>
  <c r="N20" i="96"/>
  <c r="N21" i="115" s="1"/>
  <c r="K20" i="96"/>
  <c r="K21" i="115" s="1"/>
  <c r="L13" i="95"/>
  <c r="K14" i="95"/>
  <c r="K38" i="95" s="1"/>
  <c r="L38" i="95" s="1"/>
  <c r="C30" i="107"/>
  <c r="E82" i="121"/>
  <c r="F82" i="121"/>
  <c r="G82" i="121"/>
  <c r="I82" i="121"/>
  <c r="K82" i="121"/>
  <c r="H82" i="121"/>
  <c r="M82" i="121"/>
  <c r="N82" i="121"/>
  <c r="L82" i="121"/>
  <c r="J82" i="121"/>
  <c r="C82" i="121"/>
  <c r="D82" i="121"/>
  <c r="E24" i="108"/>
  <c r="H85" i="121"/>
  <c r="D85" i="121"/>
  <c r="G30" i="107"/>
  <c r="C85" i="121"/>
  <c r="J19" i="107"/>
  <c r="Q36" i="96"/>
  <c r="Q38" i="96" s="1"/>
  <c r="I36" i="96"/>
  <c r="I38" i="96" s="1"/>
  <c r="E36" i="96"/>
  <c r="E38" i="96" s="1"/>
  <c r="F36" i="96"/>
  <c r="F38" i="96" s="1"/>
  <c r="H36" i="96"/>
  <c r="H38" i="96" s="1"/>
  <c r="L36" i="96"/>
  <c r="L38" i="96" s="1"/>
  <c r="N36" i="96"/>
  <c r="N38" i="96" s="1"/>
  <c r="K36" i="96"/>
  <c r="K38" i="96" s="1"/>
  <c r="G36" i="96"/>
  <c r="G38" i="96" s="1"/>
  <c r="M36" i="96"/>
  <c r="M38" i="96" s="1"/>
  <c r="D36" i="96"/>
  <c r="D38" i="96" s="1"/>
  <c r="J36" i="96"/>
  <c r="J38" i="96" s="1"/>
  <c r="C36" i="96"/>
  <c r="C38" i="96" s="1"/>
  <c r="L11" i="95"/>
  <c r="N8" i="95"/>
  <c r="O38" i="96"/>
  <c r="D46" i="96"/>
  <c r="C46" i="96"/>
  <c r="E46" i="96"/>
  <c r="G46" i="96"/>
  <c r="H46" i="96"/>
  <c r="F46" i="96"/>
  <c r="I46" i="96"/>
  <c r="J46" i="96"/>
  <c r="K46" i="96"/>
  <c r="L46" i="96"/>
  <c r="M46" i="96"/>
  <c r="N46" i="96"/>
  <c r="J44" i="96"/>
  <c r="K44" i="96"/>
  <c r="N44" i="96"/>
  <c r="L44" i="96"/>
  <c r="M44" i="96"/>
  <c r="C44" i="96"/>
  <c r="E44" i="96"/>
  <c r="H44" i="96"/>
  <c r="G44" i="96"/>
  <c r="D44" i="96"/>
  <c r="F44" i="96"/>
  <c r="I44" i="96"/>
  <c r="D42" i="96"/>
  <c r="E42" i="96"/>
  <c r="F42" i="96"/>
  <c r="G42" i="96"/>
  <c r="H42" i="96"/>
  <c r="I42" i="96"/>
  <c r="J42" i="96"/>
  <c r="K42" i="96"/>
  <c r="M42" i="96"/>
  <c r="C42" i="96"/>
  <c r="L42" i="96"/>
  <c r="N42" i="96"/>
  <c r="D45" i="96"/>
  <c r="E45" i="96"/>
  <c r="F45" i="96"/>
  <c r="G45" i="96"/>
  <c r="H45" i="96"/>
  <c r="M45" i="96"/>
  <c r="N45" i="96"/>
  <c r="C45" i="96"/>
  <c r="I45" i="96"/>
  <c r="J45" i="96"/>
  <c r="K45" i="96"/>
  <c r="L45" i="96"/>
  <c r="K41" i="96"/>
  <c r="L41" i="96"/>
  <c r="N41" i="96"/>
  <c r="M41" i="96"/>
  <c r="D41" i="96"/>
  <c r="C41" i="96"/>
  <c r="G41" i="96"/>
  <c r="E41" i="96"/>
  <c r="H41" i="96"/>
  <c r="F41" i="96"/>
  <c r="I41" i="96"/>
  <c r="J41" i="96"/>
  <c r="E43" i="96"/>
  <c r="F43" i="96"/>
  <c r="H43" i="96"/>
  <c r="G43" i="96"/>
  <c r="I43" i="96"/>
  <c r="J43" i="96"/>
  <c r="K43" i="96"/>
  <c r="L43" i="96"/>
  <c r="M43" i="96"/>
  <c r="N43" i="96"/>
  <c r="C43" i="96"/>
  <c r="D43" i="96"/>
  <c r="K58" i="103"/>
  <c r="J14" i="73"/>
  <c r="I15" i="73"/>
  <c r="F12" i="83"/>
  <c r="H12" i="83" s="1"/>
  <c r="H289" i="125"/>
  <c r="H17" i="73"/>
  <c r="G89" i="72" s="1"/>
  <c r="H219" i="125"/>
  <c r="H222" i="125" s="1"/>
  <c r="H214" i="125"/>
  <c r="H217" i="125" s="1"/>
  <c r="J269" i="125"/>
  <c r="J272" i="125" s="1"/>
  <c r="I285" i="125"/>
  <c r="J38" i="125"/>
  <c r="J41" i="125"/>
  <c r="O30" i="123"/>
  <c r="O33" i="123" s="1"/>
  <c r="I13" i="73"/>
  <c r="O16" i="123"/>
  <c r="O19" i="123" s="1"/>
  <c r="I11" i="73"/>
  <c r="O23" i="123"/>
  <c r="O26" i="123" s="1"/>
  <c r="I12" i="73"/>
  <c r="Q44" i="96"/>
  <c r="Q45" i="96"/>
  <c r="Q42" i="96"/>
  <c r="Q41" i="96"/>
  <c r="M65" i="96"/>
  <c r="L14" i="95"/>
  <c r="J29" i="96"/>
  <c r="O23" i="115"/>
  <c r="O13" i="115"/>
  <c r="D55" i="92"/>
  <c r="E52" i="92" s="1"/>
  <c r="E6" i="87"/>
  <c r="H6" i="87"/>
  <c r="C6" i="87"/>
  <c r="C154" i="109"/>
  <c r="F7" i="87"/>
  <c r="D135" i="109"/>
  <c r="D151" i="109" s="1"/>
  <c r="F6" i="87"/>
  <c r="C135" i="109"/>
  <c r="N65" i="96"/>
  <c r="H56" i="96"/>
  <c r="H14" i="115" s="1"/>
  <c r="G56" i="96"/>
  <c r="G14" i="115" s="1"/>
  <c r="H65" i="96"/>
  <c r="D65" i="96"/>
  <c r="H29" i="96"/>
  <c r="O59" i="92"/>
  <c r="J53" i="103"/>
  <c r="J43" i="104"/>
  <c r="J44" i="104" s="1"/>
  <c r="J46" i="135" s="1"/>
  <c r="G47" i="92"/>
  <c r="D31" i="92"/>
  <c r="I52" i="103"/>
  <c r="H51" i="103"/>
  <c r="D56" i="96"/>
  <c r="D14" i="115" s="1"/>
  <c r="E29" i="96"/>
  <c r="F65" i="96"/>
  <c r="G29" i="96"/>
  <c r="E65" i="96"/>
  <c r="J65" i="96"/>
  <c r="Q29" i="96"/>
  <c r="Q46" i="96"/>
  <c r="J56" i="96"/>
  <c r="J14" i="115" s="1"/>
  <c r="N29" i="96"/>
  <c r="C56" i="96"/>
  <c r="C14" i="115" s="1"/>
  <c r="C80" i="121" s="1"/>
  <c r="Q56" i="96"/>
  <c r="Q43" i="96"/>
  <c r="G65" i="96"/>
  <c r="I56" i="96"/>
  <c r="I14" i="115" s="1"/>
  <c r="O47" i="96"/>
  <c r="K56" i="96"/>
  <c r="K14" i="115" s="1"/>
  <c r="F29" i="96"/>
  <c r="K29" i="96"/>
  <c r="L29" i="96"/>
  <c r="C65" i="96"/>
  <c r="E56" i="96"/>
  <c r="E14" i="115" s="1"/>
  <c r="D29" i="96"/>
  <c r="Q65" i="96"/>
  <c r="N56" i="96"/>
  <c r="N14" i="115" s="1"/>
  <c r="I29" i="96"/>
  <c r="L65" i="96"/>
  <c r="F56" i="96"/>
  <c r="F14" i="115" s="1"/>
  <c r="C29" i="96"/>
  <c r="I65" i="96"/>
  <c r="L56" i="96"/>
  <c r="L14" i="115" s="1"/>
  <c r="M29" i="96"/>
  <c r="K65" i="96"/>
  <c r="M56" i="96"/>
  <c r="M14" i="115" s="1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34" i="87"/>
  <c r="H8" i="86"/>
  <c r="M7" i="86"/>
  <c r="I12" i="86"/>
  <c r="N12" i="86" s="1"/>
  <c r="N11" i="86"/>
  <c r="K16" i="87"/>
  <c r="G11" i="86"/>
  <c r="E24" i="86"/>
  <c r="H11" i="86"/>
  <c r="J8" i="86"/>
  <c r="O8" i="86" s="1"/>
  <c r="S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O23" i="75"/>
  <c r="O29" i="72"/>
  <c r="D13" i="83"/>
  <c r="D14" i="83" s="1"/>
  <c r="C14" i="83" s="1"/>
  <c r="C12" i="83"/>
  <c r="B15" i="83"/>
  <c r="F26" i="82"/>
  <c r="F42" i="82"/>
  <c r="F58" i="82"/>
  <c r="F74" i="82"/>
  <c r="F90" i="82"/>
  <c r="F106" i="82"/>
  <c r="F122" i="82"/>
  <c r="F138" i="82"/>
  <c r="F154" i="82"/>
  <c r="F170" i="82"/>
  <c r="F186" i="82"/>
  <c r="F27" i="82"/>
  <c r="F43" i="82"/>
  <c r="F59" i="82"/>
  <c r="F75" i="82"/>
  <c r="F91" i="82"/>
  <c r="F107" i="82"/>
  <c r="F123" i="82"/>
  <c r="F139" i="82"/>
  <c r="F155" i="82"/>
  <c r="F171" i="82"/>
  <c r="F187" i="82"/>
  <c r="F12" i="82"/>
  <c r="F28" i="82"/>
  <c r="F44" i="82"/>
  <c r="F60" i="82"/>
  <c r="F76" i="82"/>
  <c r="F92" i="82"/>
  <c r="F108" i="82"/>
  <c r="F124" i="82"/>
  <c r="F140" i="82"/>
  <c r="F156" i="82"/>
  <c r="F172" i="82"/>
  <c r="F188" i="82"/>
  <c r="F13" i="82"/>
  <c r="F29" i="82"/>
  <c r="F45" i="82"/>
  <c r="F61" i="82"/>
  <c r="F77" i="82"/>
  <c r="F93" i="82"/>
  <c r="F109" i="82"/>
  <c r="F125" i="82"/>
  <c r="F141" i="82"/>
  <c r="F157" i="82"/>
  <c r="F173" i="82"/>
  <c r="F189" i="82"/>
  <c r="F14" i="82"/>
  <c r="F34" i="82"/>
  <c r="F54" i="82"/>
  <c r="F78" i="82"/>
  <c r="F98" i="82"/>
  <c r="F118" i="82"/>
  <c r="F142" i="82"/>
  <c r="F162" i="82"/>
  <c r="F182" i="82"/>
  <c r="F15" i="82"/>
  <c r="F35" i="82"/>
  <c r="F55" i="82"/>
  <c r="F79" i="82"/>
  <c r="F99" i="82"/>
  <c r="F119" i="82"/>
  <c r="F143" i="82"/>
  <c r="F163" i="82"/>
  <c r="F183" i="82"/>
  <c r="F16" i="82"/>
  <c r="F36" i="82"/>
  <c r="F56" i="82"/>
  <c r="F80" i="82"/>
  <c r="F100" i="82"/>
  <c r="F120" i="82"/>
  <c r="F144" i="82"/>
  <c r="F164" i="82"/>
  <c r="F184" i="82"/>
  <c r="F17" i="82"/>
  <c r="F37" i="82"/>
  <c r="F57" i="82"/>
  <c r="F81" i="82"/>
  <c r="F101" i="82"/>
  <c r="F121" i="82"/>
  <c r="F145" i="82"/>
  <c r="F165" i="82"/>
  <c r="F185" i="82"/>
  <c r="F18" i="82"/>
  <c r="F38" i="82"/>
  <c r="F62" i="82"/>
  <c r="F82" i="82"/>
  <c r="F102" i="82"/>
  <c r="F126" i="82"/>
  <c r="F146" i="82"/>
  <c r="F166" i="82"/>
  <c r="F190" i="82"/>
  <c r="F11" i="82"/>
  <c r="G11" i="82" s="1"/>
  <c r="F19" i="82"/>
  <c r="F39" i="82"/>
  <c r="F63" i="82"/>
  <c r="F83" i="82"/>
  <c r="F103" i="82"/>
  <c r="F127" i="82"/>
  <c r="F147" i="82"/>
  <c r="F167" i="82"/>
  <c r="F20" i="82"/>
  <c r="F40" i="82"/>
  <c r="F64" i="82"/>
  <c r="F84" i="82"/>
  <c r="F104" i="82"/>
  <c r="F128" i="82"/>
  <c r="F168" i="82"/>
  <c r="F85" i="82"/>
  <c r="F22" i="82"/>
  <c r="F46" i="82"/>
  <c r="F66" i="82"/>
  <c r="F86" i="82"/>
  <c r="F110" i="82"/>
  <c r="F130" i="82"/>
  <c r="F174" i="82"/>
  <c r="F47" i="82"/>
  <c r="F131" i="82"/>
  <c r="F24" i="82"/>
  <c r="F48" i="82"/>
  <c r="F68" i="82"/>
  <c r="F88" i="82"/>
  <c r="F112" i="82"/>
  <c r="F132" i="82"/>
  <c r="F152" i="82"/>
  <c r="F176" i="82"/>
  <c r="F25" i="82"/>
  <c r="F49" i="82"/>
  <c r="F113" i="82"/>
  <c r="F133" i="82"/>
  <c r="F153" i="82"/>
  <c r="F177" i="82"/>
  <c r="F148" i="82"/>
  <c r="F21" i="82"/>
  <c r="F41" i="82"/>
  <c r="F65" i="82"/>
  <c r="F105" i="82"/>
  <c r="F129" i="82"/>
  <c r="F149" i="82"/>
  <c r="F169" i="82"/>
  <c r="F150" i="82"/>
  <c r="F23" i="82"/>
  <c r="F67" i="82"/>
  <c r="F87" i="82"/>
  <c r="F111" i="82"/>
  <c r="F151" i="82"/>
  <c r="F175" i="82"/>
  <c r="F69" i="82"/>
  <c r="F89" i="82"/>
  <c r="F30" i="82"/>
  <c r="F114" i="82"/>
  <c r="F31" i="82"/>
  <c r="F115" i="82"/>
  <c r="F32" i="82"/>
  <c r="F116" i="82"/>
  <c r="F33" i="82"/>
  <c r="F117" i="82"/>
  <c r="F50" i="82"/>
  <c r="F134" i="82"/>
  <c r="F51" i="82"/>
  <c r="F135" i="82"/>
  <c r="F52" i="82"/>
  <c r="F136" i="82"/>
  <c r="F53" i="82"/>
  <c r="F137" i="82"/>
  <c r="F70" i="82"/>
  <c r="F158" i="82"/>
  <c r="F71" i="82"/>
  <c r="F159" i="82"/>
  <c r="F72" i="82"/>
  <c r="F160" i="82"/>
  <c r="F73" i="82"/>
  <c r="F161" i="82"/>
  <c r="F94" i="82"/>
  <c r="F178" i="82"/>
  <c r="F95" i="82"/>
  <c r="F179" i="82"/>
  <c r="F96" i="82"/>
  <c r="F180" i="82"/>
  <c r="F97" i="82"/>
  <c r="F181" i="82"/>
  <c r="D12" i="82"/>
  <c r="C12" i="82" s="1"/>
  <c r="B13" i="82"/>
  <c r="O21" i="115" l="1"/>
  <c r="M85" i="121"/>
  <c r="L85" i="121"/>
  <c r="I85" i="121"/>
  <c r="G85" i="121"/>
  <c r="E85" i="121"/>
  <c r="J22" i="132"/>
  <c r="J22" i="135"/>
  <c r="K24" i="132"/>
  <c r="K25" i="132" s="1"/>
  <c r="K24" i="135"/>
  <c r="K85" i="121"/>
  <c r="K48" i="135"/>
  <c r="J85" i="121"/>
  <c r="L25" i="135"/>
  <c r="F85" i="121"/>
  <c r="N85" i="121"/>
  <c r="F13" i="83"/>
  <c r="F14" i="83"/>
  <c r="J49" i="104"/>
  <c r="J45" i="132"/>
  <c r="J79" i="121"/>
  <c r="J160" i="121"/>
  <c r="M79" i="121"/>
  <c r="M160" i="121"/>
  <c r="N79" i="121"/>
  <c r="N160" i="121"/>
  <c r="L79" i="121"/>
  <c r="L91" i="121" s="1"/>
  <c r="L160" i="121"/>
  <c r="F79" i="121"/>
  <c r="F160" i="121"/>
  <c r="E79" i="121"/>
  <c r="E160" i="121"/>
  <c r="G79" i="121"/>
  <c r="G160" i="121"/>
  <c r="K79" i="121"/>
  <c r="K160" i="121"/>
  <c r="H160" i="121"/>
  <c r="H79" i="121"/>
  <c r="H91" i="121" s="1"/>
  <c r="I79" i="121"/>
  <c r="I160" i="121"/>
  <c r="M28" i="120"/>
  <c r="M28" i="119"/>
  <c r="N28" i="120"/>
  <c r="G28" i="119"/>
  <c r="I28" i="120"/>
  <c r="K28" i="119"/>
  <c r="N28" i="119"/>
  <c r="L28" i="120"/>
  <c r="L28" i="119"/>
  <c r="H28" i="119"/>
  <c r="G28" i="120"/>
  <c r="E28" i="120"/>
  <c r="J28" i="119"/>
  <c r="F28" i="120"/>
  <c r="D28" i="120"/>
  <c r="I28" i="119"/>
  <c r="C28" i="119"/>
  <c r="K28" i="120"/>
  <c r="F28" i="119"/>
  <c r="J28" i="120"/>
  <c r="D28" i="119"/>
  <c r="E28" i="119"/>
  <c r="C28" i="120"/>
  <c r="H28" i="120"/>
  <c r="G21" i="117"/>
  <c r="G21" i="114"/>
  <c r="J30" i="107"/>
  <c r="G12" i="115"/>
  <c r="G86" i="121" s="1"/>
  <c r="G89" i="121" s="1"/>
  <c r="J12" i="115"/>
  <c r="J86" i="121" s="1"/>
  <c r="N12" i="115"/>
  <c r="N86" i="121" s="1"/>
  <c r="C12" i="115"/>
  <c r="C15" i="115" s="1"/>
  <c r="C18" i="115" s="1"/>
  <c r="M12" i="115"/>
  <c r="M86" i="121" s="1"/>
  <c r="M89" i="121" s="1"/>
  <c r="I12" i="115"/>
  <c r="I86" i="121" s="1"/>
  <c r="K12" i="115"/>
  <c r="K86" i="121" s="1"/>
  <c r="H12" i="115"/>
  <c r="H86" i="121" s="1"/>
  <c r="H89" i="121" s="1"/>
  <c r="L12" i="115"/>
  <c r="L86" i="121" s="1"/>
  <c r="E12" i="115"/>
  <c r="E86" i="121" s="1"/>
  <c r="E89" i="121" s="1"/>
  <c r="D12" i="115"/>
  <c r="D86" i="121" s="1"/>
  <c r="D89" i="121" s="1"/>
  <c r="F12" i="115"/>
  <c r="F86" i="121" s="1"/>
  <c r="F89" i="121" s="1"/>
  <c r="D79" i="121"/>
  <c r="D91" i="121" s="1"/>
  <c r="D160" i="121"/>
  <c r="M80" i="121"/>
  <c r="C79" i="121"/>
  <c r="C91" i="121" s="1"/>
  <c r="C160" i="121"/>
  <c r="D80" i="121"/>
  <c r="E80" i="121"/>
  <c r="N80" i="121"/>
  <c r="F80" i="121"/>
  <c r="H80" i="121"/>
  <c r="J58" i="103"/>
  <c r="I80" i="121"/>
  <c r="K80" i="121"/>
  <c r="G80" i="121"/>
  <c r="J80" i="121"/>
  <c r="L80" i="121"/>
  <c r="J15" i="73"/>
  <c r="K14" i="73"/>
  <c r="G12" i="83"/>
  <c r="E12" i="83" s="1"/>
  <c r="I289" i="125"/>
  <c r="I17" i="73"/>
  <c r="H89" i="72" s="1"/>
  <c r="I214" i="125"/>
  <c r="I217" i="125" s="1"/>
  <c r="I219" i="125"/>
  <c r="K269" i="125"/>
  <c r="K272" i="125" s="1"/>
  <c r="J285" i="125"/>
  <c r="K38" i="125"/>
  <c r="K41" i="125" s="1"/>
  <c r="I221" i="125"/>
  <c r="J216" i="125"/>
  <c r="P23" i="123"/>
  <c r="P26" i="123" s="1"/>
  <c r="J12" i="73"/>
  <c r="P16" i="123"/>
  <c r="P19" i="123" s="1"/>
  <c r="J11" i="73"/>
  <c r="P30" i="123"/>
  <c r="P33" i="123" s="1"/>
  <c r="J13" i="73"/>
  <c r="U25" i="123"/>
  <c r="C47" i="96"/>
  <c r="K47" i="96"/>
  <c r="D47" i="96"/>
  <c r="J47" i="96"/>
  <c r="N47" i="96"/>
  <c r="I47" i="96"/>
  <c r="M47" i="96"/>
  <c r="O14" i="115"/>
  <c r="H47" i="96"/>
  <c r="E47" i="96"/>
  <c r="E20" i="92"/>
  <c r="F17" i="92" s="1"/>
  <c r="F20" i="92" s="1"/>
  <c r="G17" i="92" s="1"/>
  <c r="E27" i="92"/>
  <c r="F24" i="92" s="1"/>
  <c r="D34" i="92"/>
  <c r="E31" i="92" s="1"/>
  <c r="F41" i="92"/>
  <c r="G38" i="92" s="1"/>
  <c r="E48" i="92"/>
  <c r="F45" i="92" s="1"/>
  <c r="E55" i="92"/>
  <c r="F52" i="92" s="1"/>
  <c r="K27" i="87"/>
  <c r="C151" i="109"/>
  <c r="E135" i="109"/>
  <c r="G47" i="96"/>
  <c r="L47" i="96"/>
  <c r="F47" i="96"/>
  <c r="Q47" i="96"/>
  <c r="I53" i="103"/>
  <c r="I43" i="104"/>
  <c r="I44" i="104" s="1"/>
  <c r="I46" i="135" s="1"/>
  <c r="H52" i="103"/>
  <c r="G51" i="103"/>
  <c r="O38" i="95"/>
  <c r="G12" i="86"/>
  <c r="L12" i="86" s="1"/>
  <c r="E16" i="87"/>
  <c r="L11" i="86"/>
  <c r="K6" i="87"/>
  <c r="C156" i="109" s="1"/>
  <c r="N8" i="87"/>
  <c r="K7" i="87"/>
  <c r="D156" i="109" s="1"/>
  <c r="I32" i="87"/>
  <c r="I33" i="87"/>
  <c r="K14" i="87"/>
  <c r="K15" i="87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C13" i="83"/>
  <c r="D15" i="83"/>
  <c r="F15" i="83" s="1"/>
  <c r="B16" i="83"/>
  <c r="B14" i="82"/>
  <c r="D13" i="82"/>
  <c r="C13" i="82" s="1"/>
  <c r="E11" i="82"/>
  <c r="H12" i="82" s="1"/>
  <c r="K89" i="121" l="1"/>
  <c r="N91" i="121"/>
  <c r="N89" i="121"/>
  <c r="F15" i="115"/>
  <c r="F18" i="115" s="1"/>
  <c r="F30" i="121" s="1"/>
  <c r="G91" i="121"/>
  <c r="J24" i="132"/>
  <c r="J25" i="132" s="1"/>
  <c r="J24" i="135"/>
  <c r="J91" i="121"/>
  <c r="K91" i="121"/>
  <c r="J46" i="132"/>
  <c r="J47" i="132" s="1"/>
  <c r="J47" i="135"/>
  <c r="J48" i="135" s="1"/>
  <c r="I91" i="121"/>
  <c r="J25" i="135"/>
  <c r="J89" i="121"/>
  <c r="K25" i="135"/>
  <c r="M91" i="121"/>
  <c r="I89" i="121"/>
  <c r="E91" i="121"/>
  <c r="I22" i="132"/>
  <c r="I22" i="135"/>
  <c r="F91" i="121"/>
  <c r="L89" i="121"/>
  <c r="I49" i="104"/>
  <c r="I45" i="132"/>
  <c r="H15" i="115"/>
  <c r="H18" i="115" s="1"/>
  <c r="H33" i="119" s="1"/>
  <c r="M92" i="121"/>
  <c r="M118" i="121" s="1"/>
  <c r="I15" i="115"/>
  <c r="I18" i="115" s="1"/>
  <c r="I33" i="119" s="1"/>
  <c r="K15" i="115"/>
  <c r="K18" i="115" s="1"/>
  <c r="K30" i="121" s="1"/>
  <c r="L15" i="115"/>
  <c r="L18" i="115" s="1"/>
  <c r="K92" i="121"/>
  <c r="K118" i="121" s="1"/>
  <c r="C86" i="121"/>
  <c r="O12" i="115"/>
  <c r="O28" i="119"/>
  <c r="J15" i="115"/>
  <c r="J18" i="115" s="1"/>
  <c r="O21" i="114"/>
  <c r="H21" i="114"/>
  <c r="F33" i="119"/>
  <c r="O21" i="117"/>
  <c r="H21" i="117"/>
  <c r="G15" i="115"/>
  <c r="G18" i="115" s="1"/>
  <c r="O28" i="120"/>
  <c r="D15" i="115"/>
  <c r="D18" i="115" s="1"/>
  <c r="H33" i="120"/>
  <c r="J92" i="121"/>
  <c r="J118" i="121" s="1"/>
  <c r="E15" i="115"/>
  <c r="E18" i="115" s="1"/>
  <c r="N15" i="115"/>
  <c r="N18" i="115" s="1"/>
  <c r="I33" i="120"/>
  <c r="M15" i="115"/>
  <c r="M18" i="115" s="1"/>
  <c r="I58" i="103"/>
  <c r="L92" i="121"/>
  <c r="G92" i="121"/>
  <c r="I92" i="121"/>
  <c r="H92" i="121"/>
  <c r="F92" i="121"/>
  <c r="N92" i="121"/>
  <c r="E92" i="121"/>
  <c r="D92" i="121"/>
  <c r="L14" i="73"/>
  <c r="H13" i="83"/>
  <c r="G13" i="83" s="1"/>
  <c r="E13" i="83" s="1"/>
  <c r="H14" i="83" s="1"/>
  <c r="G14" i="83" s="1"/>
  <c r="E14" i="83" s="1"/>
  <c r="H15" i="83" s="1"/>
  <c r="G15" i="83" s="1"/>
  <c r="I222" i="125"/>
  <c r="J219" i="125" s="1"/>
  <c r="J222" i="125" s="1"/>
  <c r="J289" i="125"/>
  <c r="J17" i="73"/>
  <c r="I89" i="72" s="1"/>
  <c r="J214" i="125"/>
  <c r="J217" i="125" s="1"/>
  <c r="L269" i="125"/>
  <c r="L272" i="125" s="1"/>
  <c r="K285" i="125"/>
  <c r="L38" i="125"/>
  <c r="L41" i="125" s="1"/>
  <c r="Q30" i="123"/>
  <c r="Q33" i="123" s="1"/>
  <c r="K13" i="73"/>
  <c r="Q16" i="123"/>
  <c r="Q19" i="123" s="1"/>
  <c r="K11" i="73"/>
  <c r="Q23" i="123"/>
  <c r="Q26" i="123" s="1"/>
  <c r="K12" i="73"/>
  <c r="K15" i="73" s="1"/>
  <c r="G20" i="92"/>
  <c r="H17" i="92" s="1"/>
  <c r="F27" i="92"/>
  <c r="G24" i="92" s="1"/>
  <c r="E34" i="92"/>
  <c r="F31" i="92" s="1"/>
  <c r="G41" i="92"/>
  <c r="H38" i="92" s="1"/>
  <c r="F48" i="92"/>
  <c r="G45" i="92" s="1"/>
  <c r="G48" i="92" s="1"/>
  <c r="H45" i="92" s="1"/>
  <c r="F55" i="92"/>
  <c r="G52" i="92" s="1"/>
  <c r="H27" i="87"/>
  <c r="E27" i="87"/>
  <c r="I15" i="87"/>
  <c r="K17" i="52" s="1"/>
  <c r="K26" i="87"/>
  <c r="I14" i="87"/>
  <c r="H10" i="52" s="1"/>
  <c r="K21" i="87"/>
  <c r="Q17" i="52"/>
  <c r="R17" i="52"/>
  <c r="S17" i="52"/>
  <c r="P17" i="52"/>
  <c r="E151" i="109"/>
  <c r="G135" i="109"/>
  <c r="G151" i="109" s="1"/>
  <c r="Q10" i="52"/>
  <c r="S10" i="52"/>
  <c r="R10" i="52"/>
  <c r="P10" i="52"/>
  <c r="H53" i="103"/>
  <c r="H43" i="104"/>
  <c r="H44" i="104" s="1"/>
  <c r="H46" i="135" s="1"/>
  <c r="G52" i="103"/>
  <c r="F51" i="103"/>
  <c r="H17" i="52"/>
  <c r="I17" i="52"/>
  <c r="B17" i="52"/>
  <c r="M17" i="52"/>
  <c r="G17" i="52"/>
  <c r="J17" i="52"/>
  <c r="E17" i="52"/>
  <c r="F17" i="52"/>
  <c r="I7" i="87"/>
  <c r="L7" i="87" s="1"/>
  <c r="N7" i="87"/>
  <c r="O11" i="86"/>
  <c r="J12" i="86"/>
  <c r="O12" i="86" s="1"/>
  <c r="F32" i="87"/>
  <c r="H14" i="87"/>
  <c r="H15" i="87"/>
  <c r="F3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9" i="87" s="1"/>
  <c r="E21" i="87" s="1"/>
  <c r="E15" i="87"/>
  <c r="C15" i="83"/>
  <c r="B17" i="83"/>
  <c r="D16" i="83"/>
  <c r="G12" i="82"/>
  <c r="B15" i="82"/>
  <c r="D14" i="82"/>
  <c r="C14" i="82" s="1"/>
  <c r="F33" i="120" l="1"/>
  <c r="K119" i="121"/>
  <c r="H22" i="132"/>
  <c r="H22" i="135"/>
  <c r="I46" i="132"/>
  <c r="I47" i="135"/>
  <c r="I48" i="135" s="1"/>
  <c r="I30" i="121"/>
  <c r="I24" i="132"/>
  <c r="I25" i="132" s="1"/>
  <c r="I24" i="135"/>
  <c r="I47" i="132"/>
  <c r="I25" i="135"/>
  <c r="H30" i="121"/>
  <c r="C16" i="83"/>
  <c r="F16" i="83"/>
  <c r="H49" i="104"/>
  <c r="H45" i="132"/>
  <c r="L30" i="121"/>
  <c r="L33" i="120"/>
  <c r="L33" i="119"/>
  <c r="K33" i="119"/>
  <c r="K33" i="120"/>
  <c r="G33" i="119"/>
  <c r="G33" i="120"/>
  <c r="G30" i="121"/>
  <c r="E33" i="119"/>
  <c r="E30" i="121"/>
  <c r="E33" i="120"/>
  <c r="D33" i="119"/>
  <c r="D33" i="120"/>
  <c r="D30" i="121"/>
  <c r="M33" i="119"/>
  <c r="M30" i="121"/>
  <c r="M119" i="121" s="1"/>
  <c r="M33" i="120"/>
  <c r="J30" i="121"/>
  <c r="J119" i="121" s="1"/>
  <c r="J33" i="120"/>
  <c r="J33" i="119"/>
  <c r="O15" i="115"/>
  <c r="O18" i="115" s="1"/>
  <c r="N30" i="121"/>
  <c r="N33" i="120"/>
  <c r="N33" i="119"/>
  <c r="C89" i="121"/>
  <c r="C92" i="121"/>
  <c r="C118" i="121" s="1"/>
  <c r="G118" i="121"/>
  <c r="G119" i="121" s="1"/>
  <c r="L118" i="121"/>
  <c r="L119" i="121" s="1"/>
  <c r="H118" i="121"/>
  <c r="H119" i="121" s="1"/>
  <c r="I118" i="121"/>
  <c r="I119" i="121" s="1"/>
  <c r="D118" i="121"/>
  <c r="F118" i="121"/>
  <c r="F119" i="121" s="1"/>
  <c r="H58" i="103"/>
  <c r="E118" i="121"/>
  <c r="N118" i="121"/>
  <c r="M14" i="73"/>
  <c r="K289" i="125"/>
  <c r="K17" i="73"/>
  <c r="J89" i="72" s="1"/>
  <c r="K219" i="125"/>
  <c r="K222" i="125" s="1"/>
  <c r="K214" i="125"/>
  <c r="K217" i="125" s="1"/>
  <c r="M269" i="125"/>
  <c r="M272" i="125" s="1"/>
  <c r="L285" i="125"/>
  <c r="L221" i="125"/>
  <c r="M216" i="125"/>
  <c r="M38" i="125"/>
  <c r="M41" i="125" s="1"/>
  <c r="C30" i="121"/>
  <c r="C33" i="120"/>
  <c r="C33" i="119"/>
  <c r="R16" i="123"/>
  <c r="R19" i="123" s="1"/>
  <c r="L11" i="73"/>
  <c r="R23" i="123"/>
  <c r="R26" i="123" s="1"/>
  <c r="L12" i="73"/>
  <c r="L15" i="73" s="1"/>
  <c r="R30" i="123"/>
  <c r="R33" i="123" s="1"/>
  <c r="L13" i="73"/>
  <c r="G25" i="118"/>
  <c r="G25" i="117"/>
  <c r="G25" i="114"/>
  <c r="H20" i="92"/>
  <c r="I17" i="92" s="1"/>
  <c r="G27" i="92"/>
  <c r="H24" i="92" s="1"/>
  <c r="F34" i="92"/>
  <c r="G31" i="92" s="1"/>
  <c r="H41" i="92"/>
  <c r="I38" i="92" s="1"/>
  <c r="H48" i="92"/>
  <c r="I45" i="92" s="1"/>
  <c r="G55" i="92"/>
  <c r="H52" i="92" s="1"/>
  <c r="G121" i="110"/>
  <c r="G105" i="110"/>
  <c r="G89" i="110"/>
  <c r="G73" i="110"/>
  <c r="G57" i="110"/>
  <c r="G46" i="110"/>
  <c r="G30" i="110"/>
  <c r="G14" i="110"/>
  <c r="G35" i="110"/>
  <c r="G21" i="110"/>
  <c r="G90" i="110"/>
  <c r="G9" i="110"/>
  <c r="G110" i="110"/>
  <c r="G94" i="110"/>
  <c r="G78" i="110"/>
  <c r="G62" i="110"/>
  <c r="G51" i="110"/>
  <c r="G19" i="110"/>
  <c r="G15" i="110"/>
  <c r="G115" i="110"/>
  <c r="G99" i="110"/>
  <c r="G83" i="110"/>
  <c r="G67" i="110"/>
  <c r="G40" i="110"/>
  <c r="G24" i="110"/>
  <c r="G8" i="110"/>
  <c r="G74" i="110"/>
  <c r="G120" i="110"/>
  <c r="G104" i="110"/>
  <c r="G88" i="110"/>
  <c r="G72" i="110"/>
  <c r="G56" i="110"/>
  <c r="G45" i="110"/>
  <c r="G29" i="110"/>
  <c r="G13" i="110"/>
  <c r="G42" i="110"/>
  <c r="G109" i="110"/>
  <c r="G93" i="110"/>
  <c r="G77" i="110"/>
  <c r="G61" i="110"/>
  <c r="G50" i="110"/>
  <c r="G34" i="110"/>
  <c r="G18" i="110"/>
  <c r="G114" i="110"/>
  <c r="G98" i="110"/>
  <c r="G82" i="110"/>
  <c r="G66" i="110"/>
  <c r="G39" i="110"/>
  <c r="G23" i="110"/>
  <c r="G7" i="110"/>
  <c r="G58" i="110"/>
  <c r="G119" i="110"/>
  <c r="G103" i="110"/>
  <c r="G87" i="110"/>
  <c r="G71" i="110"/>
  <c r="G55" i="110"/>
  <c r="G44" i="110"/>
  <c r="G28" i="110"/>
  <c r="G12" i="110"/>
  <c r="G108" i="110"/>
  <c r="G92" i="110"/>
  <c r="G76" i="110"/>
  <c r="G60" i="110"/>
  <c r="G49" i="110"/>
  <c r="G33" i="110"/>
  <c r="G17" i="110"/>
  <c r="G79" i="110"/>
  <c r="G113" i="110"/>
  <c r="G97" i="110"/>
  <c r="G81" i="110"/>
  <c r="G65" i="110"/>
  <c r="G38" i="110"/>
  <c r="G22" i="110"/>
  <c r="G63" i="110"/>
  <c r="G118" i="110"/>
  <c r="G102" i="110"/>
  <c r="G86" i="110"/>
  <c r="G70" i="110"/>
  <c r="G54" i="110"/>
  <c r="G43" i="110"/>
  <c r="G27" i="110"/>
  <c r="G11" i="110"/>
  <c r="G52" i="110"/>
  <c r="G107" i="110"/>
  <c r="G91" i="110"/>
  <c r="G75" i="110"/>
  <c r="G59" i="110"/>
  <c r="G48" i="110"/>
  <c r="G32" i="110"/>
  <c r="G16" i="110"/>
  <c r="G26" i="110"/>
  <c r="G36" i="110"/>
  <c r="G25" i="110"/>
  <c r="G112" i="110"/>
  <c r="G96" i="110"/>
  <c r="G80" i="110"/>
  <c r="G64" i="110"/>
  <c r="G37" i="110"/>
  <c r="G106" i="110"/>
  <c r="G117" i="110"/>
  <c r="G101" i="110"/>
  <c r="G85" i="110"/>
  <c r="G69" i="110"/>
  <c r="G10" i="110"/>
  <c r="G47" i="110"/>
  <c r="G31" i="110"/>
  <c r="G95" i="110"/>
  <c r="G111" i="110"/>
  <c r="G20" i="110"/>
  <c r="G116" i="110"/>
  <c r="G100" i="110"/>
  <c r="G84" i="110"/>
  <c r="G68" i="110"/>
  <c r="G41" i="110"/>
  <c r="G53" i="110"/>
  <c r="F151" i="109"/>
  <c r="F10" i="52"/>
  <c r="D10" i="52"/>
  <c r="B10" i="52"/>
  <c r="E10" i="52"/>
  <c r="C10" i="52"/>
  <c r="G10" i="52"/>
  <c r="M10" i="52"/>
  <c r="I10" i="52"/>
  <c r="N27" i="87"/>
  <c r="I135" i="109"/>
  <c r="K142" i="109"/>
  <c r="J135" i="109"/>
  <c r="L10" i="52"/>
  <c r="L17" i="52"/>
  <c r="K10" i="52"/>
  <c r="D17" i="52"/>
  <c r="C17" i="52"/>
  <c r="J154" i="109"/>
  <c r="J10" i="52"/>
  <c r="F15" i="87"/>
  <c r="I16" i="52" s="1"/>
  <c r="H26" i="87"/>
  <c r="F14" i="87"/>
  <c r="B9" i="52" s="1"/>
  <c r="B52" i="53" s="1"/>
  <c r="H21" i="87"/>
  <c r="R9" i="52"/>
  <c r="P9" i="52"/>
  <c r="Q9" i="52"/>
  <c r="S9" i="52"/>
  <c r="Q16" i="52"/>
  <c r="R16" i="52"/>
  <c r="S16" i="52"/>
  <c r="P16" i="52"/>
  <c r="G53" i="103"/>
  <c r="G43" i="104"/>
  <c r="G44" i="104" s="1"/>
  <c r="G46" i="135" s="1"/>
  <c r="F52" i="103"/>
  <c r="E51" i="103"/>
  <c r="C15" i="87"/>
  <c r="N15" i="87"/>
  <c r="N26" i="87" s="1"/>
  <c r="C32" i="87"/>
  <c r="N32" i="87"/>
  <c r="C33" i="87"/>
  <c r="N33" i="87"/>
  <c r="N14" i="87"/>
  <c r="C14" i="87"/>
  <c r="S7" i="87"/>
  <c r="M7" i="87"/>
  <c r="S6" i="87"/>
  <c r="M6" i="87"/>
  <c r="E15" i="83"/>
  <c r="H16" i="83" s="1"/>
  <c r="B18" i="83"/>
  <c r="D17" i="83"/>
  <c r="F17" i="83" s="1"/>
  <c r="B16" i="82"/>
  <c r="D15" i="82"/>
  <c r="C15" i="82" s="1"/>
  <c r="E12" i="82"/>
  <c r="H13" i="82" s="1"/>
  <c r="H24" i="132" l="1"/>
  <c r="H25" i="132" s="1"/>
  <c r="H24" i="135"/>
  <c r="G22" i="132"/>
  <c r="G22" i="135"/>
  <c r="D119" i="121"/>
  <c r="H46" i="132"/>
  <c r="H47" i="132" s="1"/>
  <c r="H47" i="135"/>
  <c r="H48" i="135" s="1"/>
  <c r="G49" i="104"/>
  <c r="G45" i="132"/>
  <c r="O33" i="119"/>
  <c r="E119" i="121"/>
  <c r="O33" i="120"/>
  <c r="C119" i="121"/>
  <c r="N119" i="121"/>
  <c r="G58" i="103"/>
  <c r="O30" i="121"/>
  <c r="N14" i="73"/>
  <c r="G16" i="83"/>
  <c r="E16" i="83" s="1"/>
  <c r="H17" i="83" s="1"/>
  <c r="L289" i="125"/>
  <c r="L17" i="73"/>
  <c r="K89" i="72" s="1"/>
  <c r="L214" i="125"/>
  <c r="L217" i="125" s="1"/>
  <c r="L219" i="125"/>
  <c r="L222" i="125" s="1"/>
  <c r="N269" i="125"/>
  <c r="N272" i="125" s="1"/>
  <c r="M285" i="125"/>
  <c r="N38" i="125"/>
  <c r="N41" i="125" s="1"/>
  <c r="S30" i="123"/>
  <c r="S33" i="123" s="1"/>
  <c r="M13" i="73"/>
  <c r="S23" i="123"/>
  <c r="S26" i="123" s="1"/>
  <c r="M12" i="73"/>
  <c r="M15" i="73" s="1"/>
  <c r="S16" i="123"/>
  <c r="S19" i="123" s="1"/>
  <c r="M11" i="73"/>
  <c r="O25" i="114"/>
  <c r="H25" i="114"/>
  <c r="O25" i="117"/>
  <c r="H25" i="117"/>
  <c r="O25" i="118"/>
  <c r="H25" i="118"/>
  <c r="I20" i="92"/>
  <c r="J17" i="92" s="1"/>
  <c r="H27" i="92"/>
  <c r="I24" i="92" s="1"/>
  <c r="I27" i="92" s="1"/>
  <c r="J24" i="92" s="1"/>
  <c r="G34" i="92"/>
  <c r="H31" i="92" s="1"/>
  <c r="I41" i="92"/>
  <c r="J38" i="92" s="1"/>
  <c r="I48" i="92"/>
  <c r="J45" i="92" s="1"/>
  <c r="H55" i="92"/>
  <c r="I52" i="92" s="1"/>
  <c r="K135" i="109"/>
  <c r="O135" i="109" s="1"/>
  <c r="I78" i="110"/>
  <c r="I80" i="109"/>
  <c r="K80" i="109" s="1"/>
  <c r="I72" i="110"/>
  <c r="I74" i="109"/>
  <c r="K74" i="109" s="1"/>
  <c r="I100" i="109"/>
  <c r="K100" i="109" s="1"/>
  <c r="I98" i="110"/>
  <c r="I112" i="109"/>
  <c r="K112" i="109" s="1"/>
  <c r="I110" i="110"/>
  <c r="I82" i="109"/>
  <c r="K82" i="109" s="1"/>
  <c r="I80" i="110"/>
  <c r="I94" i="110"/>
  <c r="I96" i="109"/>
  <c r="K96" i="109" s="1"/>
  <c r="I38" i="109"/>
  <c r="K38" i="109" s="1"/>
  <c r="M38" i="109" s="1"/>
  <c r="I36" i="110"/>
  <c r="I116" i="109"/>
  <c r="K116" i="109" s="1"/>
  <c r="M116" i="109" s="1"/>
  <c r="I114" i="110"/>
  <c r="I120" i="110"/>
  <c r="I122" i="109"/>
  <c r="K122" i="109" s="1"/>
  <c r="I9" i="110"/>
  <c r="I11" i="109"/>
  <c r="K11" i="109" s="1"/>
  <c r="I102" i="109"/>
  <c r="K102" i="109" s="1"/>
  <c r="I100" i="110"/>
  <c r="I118" i="109"/>
  <c r="K118" i="109" s="1"/>
  <c r="I116" i="110"/>
  <c r="I74" i="110"/>
  <c r="I76" i="109"/>
  <c r="K76" i="109" s="1"/>
  <c r="M76" i="109" s="1"/>
  <c r="I92" i="109"/>
  <c r="K92" i="109" s="1"/>
  <c r="M92" i="109" s="1"/>
  <c r="I90" i="110"/>
  <c r="I84" i="110"/>
  <c r="I86" i="109"/>
  <c r="K86" i="109" s="1"/>
  <c r="M86" i="109" s="1"/>
  <c r="I56" i="109"/>
  <c r="K56" i="109" s="1"/>
  <c r="M56" i="109" s="1"/>
  <c r="I54" i="110"/>
  <c r="I22" i="109"/>
  <c r="K22" i="109" s="1"/>
  <c r="I20" i="110"/>
  <c r="I104" i="109"/>
  <c r="K104" i="109" s="1"/>
  <c r="I102" i="110"/>
  <c r="I28" i="110"/>
  <c r="I30" i="109"/>
  <c r="K30" i="109" s="1"/>
  <c r="I36" i="109"/>
  <c r="K36" i="109" s="1"/>
  <c r="I34" i="110"/>
  <c r="I8" i="110"/>
  <c r="I10" i="109"/>
  <c r="K10" i="109" s="1"/>
  <c r="I21" i="110"/>
  <c r="I23" i="109"/>
  <c r="K23" i="109" s="1"/>
  <c r="M23" i="109" s="1"/>
  <c r="I60" i="110"/>
  <c r="I62" i="109"/>
  <c r="K62" i="109" s="1"/>
  <c r="M62" i="109" s="1"/>
  <c r="I92" i="110"/>
  <c r="I94" i="109"/>
  <c r="K94" i="109" s="1"/>
  <c r="O94" i="109" s="1"/>
  <c r="I20" i="109"/>
  <c r="K20" i="109" s="1"/>
  <c r="I18" i="110"/>
  <c r="I49" i="109"/>
  <c r="K49" i="109" s="1"/>
  <c r="I47" i="110"/>
  <c r="I34" i="109"/>
  <c r="K34" i="109" s="1"/>
  <c r="I32" i="110"/>
  <c r="I24" i="109"/>
  <c r="K24" i="109" s="1"/>
  <c r="I22" i="110"/>
  <c r="I46" i="109"/>
  <c r="K46" i="109" s="1"/>
  <c r="I44" i="110"/>
  <c r="I52" i="109"/>
  <c r="K52" i="109" s="1"/>
  <c r="M52" i="109" s="1"/>
  <c r="I50" i="110"/>
  <c r="I24" i="110"/>
  <c r="I26" i="109"/>
  <c r="K26" i="109" s="1"/>
  <c r="M26" i="109" s="1"/>
  <c r="I35" i="110"/>
  <c r="I37" i="109"/>
  <c r="K37" i="109" s="1"/>
  <c r="M37" i="109" s="1"/>
  <c r="I12" i="109"/>
  <c r="K12" i="109" s="1"/>
  <c r="I10" i="110"/>
  <c r="I48" i="110"/>
  <c r="I50" i="109"/>
  <c r="K50" i="109" s="1"/>
  <c r="I40" i="109"/>
  <c r="K40" i="109" s="1"/>
  <c r="I38" i="110"/>
  <c r="I57" i="109"/>
  <c r="K57" i="109" s="1"/>
  <c r="I55" i="110"/>
  <c r="I63" i="109"/>
  <c r="K63" i="109" s="1"/>
  <c r="O63" i="109" s="1"/>
  <c r="I61" i="110"/>
  <c r="I42" i="109"/>
  <c r="K42" i="109" s="1"/>
  <c r="M42" i="109" s="1"/>
  <c r="I40" i="110"/>
  <c r="I14" i="110"/>
  <c r="I16" i="109"/>
  <c r="K16" i="109" s="1"/>
  <c r="M16" i="109" s="1"/>
  <c r="I88" i="110"/>
  <c r="I90" i="109"/>
  <c r="K90" i="109" s="1"/>
  <c r="O90" i="109" s="1"/>
  <c r="I71" i="109"/>
  <c r="K71" i="109" s="1"/>
  <c r="I69" i="110"/>
  <c r="I61" i="109"/>
  <c r="K61" i="109" s="1"/>
  <c r="I59" i="110"/>
  <c r="I67" i="109"/>
  <c r="K67" i="109" s="1"/>
  <c r="I65" i="110"/>
  <c r="I71" i="110"/>
  <c r="I73" i="109"/>
  <c r="K73" i="109" s="1"/>
  <c r="I79" i="109"/>
  <c r="K79" i="109" s="1"/>
  <c r="I77" i="110"/>
  <c r="I67" i="110"/>
  <c r="I69" i="109"/>
  <c r="K69" i="109" s="1"/>
  <c r="I32" i="109"/>
  <c r="K32" i="109" s="1"/>
  <c r="M32" i="109" s="1"/>
  <c r="I30" i="110"/>
  <c r="I49" i="110"/>
  <c r="I51" i="109"/>
  <c r="K51" i="109" s="1"/>
  <c r="O51" i="109" s="1"/>
  <c r="I84" i="109"/>
  <c r="K84" i="109" s="1"/>
  <c r="I82" i="110"/>
  <c r="I108" i="110"/>
  <c r="I110" i="109"/>
  <c r="K110" i="109" s="1"/>
  <c r="I33" i="109"/>
  <c r="K33" i="109" s="1"/>
  <c r="I31" i="110"/>
  <c r="I87" i="109"/>
  <c r="K87" i="109" s="1"/>
  <c r="I85" i="110"/>
  <c r="I75" i="110"/>
  <c r="I77" i="109"/>
  <c r="K77" i="109" s="1"/>
  <c r="M77" i="109" s="1"/>
  <c r="I83" i="109"/>
  <c r="K83" i="109" s="1"/>
  <c r="M83" i="109" s="1"/>
  <c r="I81" i="110"/>
  <c r="I89" i="109"/>
  <c r="K89" i="109" s="1"/>
  <c r="M89" i="109" s="1"/>
  <c r="I87" i="110"/>
  <c r="I95" i="109"/>
  <c r="K95" i="109" s="1"/>
  <c r="M95" i="109" s="1"/>
  <c r="I93" i="110"/>
  <c r="I85" i="109"/>
  <c r="K85" i="109" s="1"/>
  <c r="I83" i="110"/>
  <c r="I46" i="110"/>
  <c r="I48" i="109"/>
  <c r="K48" i="109" s="1"/>
  <c r="I56" i="110"/>
  <c r="I58" i="109"/>
  <c r="K58" i="109" s="1"/>
  <c r="O58" i="109" s="1"/>
  <c r="I76" i="110"/>
  <c r="I78" i="109"/>
  <c r="K78" i="109" s="1"/>
  <c r="O78" i="109" s="1"/>
  <c r="I111" i="110"/>
  <c r="I113" i="109"/>
  <c r="K113" i="109" s="1"/>
  <c r="M113" i="109" s="1"/>
  <c r="I18" i="109"/>
  <c r="K18" i="109" s="1"/>
  <c r="M18" i="109" s="1"/>
  <c r="I16" i="110"/>
  <c r="I103" i="109"/>
  <c r="K103" i="109" s="1"/>
  <c r="M103" i="109" s="1"/>
  <c r="I101" i="110"/>
  <c r="I93" i="109"/>
  <c r="K93" i="109" s="1"/>
  <c r="M93" i="109" s="1"/>
  <c r="I91" i="110"/>
  <c r="I97" i="110"/>
  <c r="I99" i="109"/>
  <c r="K99" i="109" s="1"/>
  <c r="I105" i="109"/>
  <c r="K105" i="109" s="1"/>
  <c r="I103" i="110"/>
  <c r="I109" i="110"/>
  <c r="I111" i="109"/>
  <c r="K111" i="109" s="1"/>
  <c r="M111" i="109" s="1"/>
  <c r="I99" i="110"/>
  <c r="I101" i="109"/>
  <c r="K101" i="109" s="1"/>
  <c r="M101" i="109" s="1"/>
  <c r="I57" i="110"/>
  <c r="I59" i="109"/>
  <c r="K59" i="109" s="1"/>
  <c r="M59" i="109" s="1"/>
  <c r="I41" i="109"/>
  <c r="K41" i="109" s="1"/>
  <c r="O41" i="109" s="1"/>
  <c r="I39" i="110"/>
  <c r="I88" i="109"/>
  <c r="K88" i="109" s="1"/>
  <c r="O88" i="109" s="1"/>
  <c r="I86" i="110"/>
  <c r="I26" i="110"/>
  <c r="I28" i="109"/>
  <c r="K28" i="109" s="1"/>
  <c r="O28" i="109" s="1"/>
  <c r="I119" i="109"/>
  <c r="K119" i="109" s="1"/>
  <c r="I117" i="110"/>
  <c r="I109" i="109"/>
  <c r="K109" i="109" s="1"/>
  <c r="I107" i="110"/>
  <c r="I113" i="110"/>
  <c r="I115" i="109"/>
  <c r="K115" i="109" s="1"/>
  <c r="O115" i="109" s="1"/>
  <c r="I119" i="110"/>
  <c r="I121" i="109"/>
  <c r="K121" i="109" s="1"/>
  <c r="M121" i="109" s="1"/>
  <c r="I44" i="109"/>
  <c r="K44" i="109" s="1"/>
  <c r="M44" i="109" s="1"/>
  <c r="I42" i="110"/>
  <c r="I115" i="110"/>
  <c r="I117" i="109"/>
  <c r="K117" i="109" s="1"/>
  <c r="O117" i="109" s="1"/>
  <c r="I75" i="109"/>
  <c r="K75" i="109" s="1"/>
  <c r="O75" i="109" s="1"/>
  <c r="I73" i="110"/>
  <c r="I62" i="110"/>
  <c r="I64" i="109"/>
  <c r="K64" i="109" s="1"/>
  <c r="M64" i="109" s="1"/>
  <c r="I114" i="109"/>
  <c r="K114" i="109" s="1"/>
  <c r="I112" i="110"/>
  <c r="I120" i="109"/>
  <c r="K120" i="109" s="1"/>
  <c r="I118" i="110"/>
  <c r="I65" i="109"/>
  <c r="K65" i="109" s="1"/>
  <c r="I63" i="110"/>
  <c r="I55" i="109"/>
  <c r="K55" i="109" s="1"/>
  <c r="I53" i="110"/>
  <c r="I106" i="110"/>
  <c r="I108" i="109"/>
  <c r="K108" i="109" s="1"/>
  <c r="O108" i="109" s="1"/>
  <c r="I52" i="110"/>
  <c r="I54" i="109"/>
  <c r="K54" i="109" s="1"/>
  <c r="M54" i="109" s="1"/>
  <c r="I81" i="109"/>
  <c r="K81" i="109" s="1"/>
  <c r="M81" i="109" s="1"/>
  <c r="I79" i="110"/>
  <c r="I58" i="110"/>
  <c r="I60" i="109"/>
  <c r="K60" i="109" s="1"/>
  <c r="M60" i="109" s="1"/>
  <c r="I13" i="110"/>
  <c r="I15" i="109"/>
  <c r="K15" i="109" s="1"/>
  <c r="I17" i="109"/>
  <c r="K17" i="109" s="1"/>
  <c r="I15" i="110"/>
  <c r="I91" i="109"/>
  <c r="K91" i="109" s="1"/>
  <c r="I89" i="110"/>
  <c r="I45" i="109"/>
  <c r="K45" i="109" s="1"/>
  <c r="M45" i="109" s="1"/>
  <c r="I43" i="110"/>
  <c r="I98" i="109"/>
  <c r="K98" i="109" s="1"/>
  <c r="M98" i="109" s="1"/>
  <c r="I96" i="110"/>
  <c r="I72" i="109"/>
  <c r="K72" i="109" s="1"/>
  <c r="M72" i="109" s="1"/>
  <c r="I70" i="110"/>
  <c r="I25" i="110"/>
  <c r="I27" i="109"/>
  <c r="K27" i="109" s="1"/>
  <c r="M27" i="109" s="1"/>
  <c r="I14" i="109"/>
  <c r="K14" i="109" s="1"/>
  <c r="O14" i="109" s="1"/>
  <c r="I12" i="110"/>
  <c r="I43" i="109"/>
  <c r="K43" i="109" s="1"/>
  <c r="I41" i="110"/>
  <c r="I39" i="109"/>
  <c r="K39" i="109" s="1"/>
  <c r="I37" i="110"/>
  <c r="I13" i="109"/>
  <c r="K13" i="109" s="1"/>
  <c r="I11" i="110"/>
  <c r="I17" i="110"/>
  <c r="I19" i="109"/>
  <c r="K19" i="109" s="1"/>
  <c r="M19" i="109" s="1"/>
  <c r="I9" i="109"/>
  <c r="K9" i="109" s="1"/>
  <c r="O9" i="109" s="1"/>
  <c r="I7" i="110"/>
  <c r="G122" i="110"/>
  <c r="G131" i="110" s="1"/>
  <c r="G149" i="110" s="1"/>
  <c r="I29" i="110"/>
  <c r="I31" i="109"/>
  <c r="K31" i="109" s="1"/>
  <c r="M31" i="109" s="1"/>
  <c r="I19" i="110"/>
  <c r="I21" i="109"/>
  <c r="K21" i="109" s="1"/>
  <c r="I105" i="110"/>
  <c r="I107" i="109"/>
  <c r="K107" i="109" s="1"/>
  <c r="I68" i="109"/>
  <c r="K68" i="109" s="1"/>
  <c r="I66" i="110"/>
  <c r="I104" i="110"/>
  <c r="I106" i="109"/>
  <c r="K106" i="109" s="1"/>
  <c r="I95" i="110"/>
  <c r="I97" i="109"/>
  <c r="K97" i="109" s="1"/>
  <c r="O97" i="109" s="1"/>
  <c r="I68" i="110"/>
  <c r="I70" i="109"/>
  <c r="K70" i="109" s="1"/>
  <c r="I66" i="109"/>
  <c r="K66" i="109" s="1"/>
  <c r="O66" i="109" s="1"/>
  <c r="I64" i="110"/>
  <c r="I29" i="109"/>
  <c r="K29" i="109" s="1"/>
  <c r="M29" i="109" s="1"/>
  <c r="I27" i="110"/>
  <c r="I33" i="110"/>
  <c r="I35" i="109"/>
  <c r="K35" i="109" s="1"/>
  <c r="M35" i="109" s="1"/>
  <c r="I25" i="109"/>
  <c r="K25" i="109" s="1"/>
  <c r="O25" i="109" s="1"/>
  <c r="I23" i="110"/>
  <c r="I47" i="109"/>
  <c r="K47" i="109" s="1"/>
  <c r="I45" i="110"/>
  <c r="I51" i="110"/>
  <c r="I53" i="109"/>
  <c r="K53" i="109" s="1"/>
  <c r="I121" i="110"/>
  <c r="I123" i="109"/>
  <c r="K123" i="109" s="1"/>
  <c r="M142" i="109"/>
  <c r="O142" i="109"/>
  <c r="M119" i="109"/>
  <c r="O119" i="109"/>
  <c r="M68" i="109"/>
  <c r="O68" i="109"/>
  <c r="M91" i="109"/>
  <c r="O91" i="109"/>
  <c r="M43" i="109"/>
  <c r="O43" i="109"/>
  <c r="M71" i="109"/>
  <c r="O71" i="109"/>
  <c r="M20" i="109"/>
  <c r="O20" i="109"/>
  <c r="M112" i="109"/>
  <c r="O112" i="109"/>
  <c r="M80" i="109"/>
  <c r="O80" i="109"/>
  <c r="M11" i="109"/>
  <c r="O11" i="109"/>
  <c r="M36" i="109"/>
  <c r="O36" i="109"/>
  <c r="M30" i="109"/>
  <c r="O30" i="109"/>
  <c r="M122" i="109"/>
  <c r="O122" i="109"/>
  <c r="M96" i="109"/>
  <c r="O96" i="109"/>
  <c r="M106" i="109"/>
  <c r="O106" i="109"/>
  <c r="M123" i="109"/>
  <c r="O123" i="109"/>
  <c r="M51" i="109"/>
  <c r="M84" i="109"/>
  <c r="O84" i="109"/>
  <c r="M63" i="109"/>
  <c r="M61" i="109"/>
  <c r="O61" i="109"/>
  <c r="M39" i="109"/>
  <c r="O39" i="109"/>
  <c r="M90" i="109"/>
  <c r="M85" i="109"/>
  <c r="O85" i="109"/>
  <c r="M50" i="109"/>
  <c r="O50" i="109"/>
  <c r="M79" i="109"/>
  <c r="O79" i="109"/>
  <c r="M41" i="109"/>
  <c r="M74" i="109"/>
  <c r="O74" i="109"/>
  <c r="M118" i="109"/>
  <c r="O118" i="109"/>
  <c r="M82" i="109"/>
  <c r="O82" i="109"/>
  <c r="M47" i="109"/>
  <c r="O47" i="109"/>
  <c r="M17" i="109"/>
  <c r="O17" i="109"/>
  <c r="M24" i="109"/>
  <c r="O24" i="109"/>
  <c r="O76" i="109"/>
  <c r="M58" i="109"/>
  <c r="M22" i="109"/>
  <c r="O22" i="109"/>
  <c r="M69" i="109"/>
  <c r="O69" i="109"/>
  <c r="M67" i="109"/>
  <c r="O67" i="109"/>
  <c r="M109" i="109"/>
  <c r="O109" i="109"/>
  <c r="M48" i="109"/>
  <c r="O48" i="109"/>
  <c r="M33" i="109"/>
  <c r="O33" i="109"/>
  <c r="M15" i="109"/>
  <c r="O15" i="109"/>
  <c r="M120" i="109"/>
  <c r="O120" i="109"/>
  <c r="M105" i="109"/>
  <c r="O105" i="109"/>
  <c r="M13" i="109"/>
  <c r="O13" i="109"/>
  <c r="M99" i="109"/>
  <c r="O99" i="109"/>
  <c r="M53" i="109"/>
  <c r="O53" i="109"/>
  <c r="M100" i="109"/>
  <c r="O100" i="109"/>
  <c r="M34" i="109"/>
  <c r="O34" i="109"/>
  <c r="M94" i="109"/>
  <c r="M65" i="109"/>
  <c r="O65" i="109"/>
  <c r="O77" i="109"/>
  <c r="M104" i="109"/>
  <c r="O104" i="109"/>
  <c r="M57" i="109"/>
  <c r="O57" i="109"/>
  <c r="M55" i="109"/>
  <c r="O55" i="109"/>
  <c r="M70" i="109"/>
  <c r="O70" i="109"/>
  <c r="M40" i="109"/>
  <c r="O40" i="109"/>
  <c r="M46" i="109"/>
  <c r="O46" i="109"/>
  <c r="O26" i="109"/>
  <c r="M107" i="109"/>
  <c r="O107" i="109"/>
  <c r="M114" i="109"/>
  <c r="O114" i="109"/>
  <c r="M110" i="109"/>
  <c r="O110" i="109"/>
  <c r="M97" i="109"/>
  <c r="M49" i="109"/>
  <c r="O49" i="109"/>
  <c r="M73" i="109"/>
  <c r="O73" i="109"/>
  <c r="M102" i="109"/>
  <c r="O102" i="109"/>
  <c r="M87" i="109"/>
  <c r="O87" i="109"/>
  <c r="M12" i="109"/>
  <c r="O12" i="109"/>
  <c r="M10" i="109"/>
  <c r="O10" i="109"/>
  <c r="M9" i="109"/>
  <c r="Q9" i="109" s="1"/>
  <c r="P9" i="109" s="1"/>
  <c r="K138" i="109"/>
  <c r="K144" i="109"/>
  <c r="K139" i="109"/>
  <c r="H16" i="52"/>
  <c r="K143" i="109"/>
  <c r="K141" i="109"/>
  <c r="F16" i="52"/>
  <c r="E16" i="52"/>
  <c r="C16" i="52"/>
  <c r="F9" i="52"/>
  <c r="F52" i="53" s="1"/>
  <c r="F54" i="53" s="1"/>
  <c r="K9" i="52"/>
  <c r="K52" i="53" s="1"/>
  <c r="K54" i="53" s="1"/>
  <c r="K140" i="109"/>
  <c r="K147" i="109"/>
  <c r="K137" i="109"/>
  <c r="O137" i="109" s="1"/>
  <c r="I149" i="109"/>
  <c r="J149" i="109"/>
  <c r="C9" i="52"/>
  <c r="C52" i="53" s="1"/>
  <c r="C54" i="53" s="1"/>
  <c r="K148" i="109"/>
  <c r="B16" i="52"/>
  <c r="L16" i="52"/>
  <c r="H9" i="52"/>
  <c r="H52" i="53" s="1"/>
  <c r="H54" i="53" s="1"/>
  <c r="K145" i="109"/>
  <c r="D16" i="52"/>
  <c r="D9" i="52"/>
  <c r="D52" i="53" s="1"/>
  <c r="D54" i="53" s="1"/>
  <c r="G16" i="52"/>
  <c r="J9" i="52"/>
  <c r="J52" i="53" s="1"/>
  <c r="J54" i="53" s="1"/>
  <c r="K146" i="109"/>
  <c r="M16" i="52"/>
  <c r="L9" i="52"/>
  <c r="L52" i="53" s="1"/>
  <c r="L54" i="53" s="1"/>
  <c r="J16" i="52"/>
  <c r="M9" i="52"/>
  <c r="M52" i="53" s="1"/>
  <c r="M54" i="53" s="1"/>
  <c r="I9" i="52"/>
  <c r="I52" i="53" s="1"/>
  <c r="I54" i="53" s="1"/>
  <c r="K16" i="52"/>
  <c r="S14" i="87"/>
  <c r="N21" i="87"/>
  <c r="G9" i="52"/>
  <c r="G52" i="53" s="1"/>
  <c r="G54" i="53" s="1"/>
  <c r="E9" i="52"/>
  <c r="E52" i="53" s="1"/>
  <c r="E54" i="53" s="1"/>
  <c r="M135" i="109"/>
  <c r="Q135" i="109" s="1"/>
  <c r="P135" i="109" s="1"/>
  <c r="L33" i="87"/>
  <c r="M33" i="87" s="1"/>
  <c r="Q15" i="52"/>
  <c r="Q18" i="52" s="1"/>
  <c r="R26" i="89" s="1"/>
  <c r="R15" i="52"/>
  <c r="R18" i="52" s="1"/>
  <c r="S26" i="89" s="1"/>
  <c r="S15" i="52"/>
  <c r="S18" i="52" s="1"/>
  <c r="T26" i="89" s="1"/>
  <c r="P15" i="52"/>
  <c r="P18" i="52" s="1"/>
  <c r="Q26" i="89" s="1"/>
  <c r="L32" i="87"/>
  <c r="M32" i="87" s="1"/>
  <c r="P8" i="52"/>
  <c r="P11" i="52" s="1"/>
  <c r="Q13" i="89" s="1"/>
  <c r="Q8" i="52"/>
  <c r="Q11" i="52" s="1"/>
  <c r="R13" i="89" s="1"/>
  <c r="S8" i="52"/>
  <c r="S11" i="52" s="1"/>
  <c r="T13" i="89" s="1"/>
  <c r="R8" i="52"/>
  <c r="R11" i="52" s="1"/>
  <c r="S13" i="89" s="1"/>
  <c r="F53" i="103"/>
  <c r="F43" i="104"/>
  <c r="F44" i="104" s="1"/>
  <c r="F46" i="135" s="1"/>
  <c r="E52" i="103"/>
  <c r="D51" i="103"/>
  <c r="B54" i="53"/>
  <c r="S33" i="87"/>
  <c r="S32" i="87"/>
  <c r="S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M15" i="87" s="1"/>
  <c r="J15" i="52"/>
  <c r="G15" i="52"/>
  <c r="H15" i="52"/>
  <c r="I15" i="52"/>
  <c r="C15" i="52"/>
  <c r="B15" i="52"/>
  <c r="D15" i="52"/>
  <c r="K15" i="52"/>
  <c r="E15" i="52"/>
  <c r="L15" i="52"/>
  <c r="C17" i="83"/>
  <c r="B19" i="83"/>
  <c r="D18" i="83"/>
  <c r="F18" i="83" s="1"/>
  <c r="G13" i="82"/>
  <c r="D16" i="82"/>
  <c r="C16" i="82" s="1"/>
  <c r="B17" i="82"/>
  <c r="G46" i="132" l="1"/>
  <c r="G47" i="135"/>
  <c r="G48" i="135" s="1"/>
  <c r="F22" i="132"/>
  <c r="F22" i="135"/>
  <c r="G24" i="132"/>
  <c r="G25" i="132" s="1"/>
  <c r="G24" i="135"/>
  <c r="G25" i="135" s="1"/>
  <c r="H25" i="135"/>
  <c r="F49" i="104"/>
  <c r="F45" i="132"/>
  <c r="G47" i="132"/>
  <c r="F58" i="103"/>
  <c r="O14" i="73"/>
  <c r="O15" i="73" s="1"/>
  <c r="G17" i="83"/>
  <c r="E17" i="83" s="1"/>
  <c r="H18" i="83" s="1"/>
  <c r="M289" i="125"/>
  <c r="M17" i="73"/>
  <c r="L89" i="72" s="1"/>
  <c r="M219" i="125"/>
  <c r="M222" i="125" s="1"/>
  <c r="M214" i="125"/>
  <c r="M217" i="125" s="1"/>
  <c r="N214" i="125" s="1"/>
  <c r="N217" i="125" s="1"/>
  <c r="O214" i="125" s="1"/>
  <c r="O269" i="125"/>
  <c r="O272" i="125" s="1"/>
  <c r="O285" i="125" s="1"/>
  <c r="O17" i="73" s="1"/>
  <c r="N285" i="125"/>
  <c r="O38" i="125"/>
  <c r="T16" i="123"/>
  <c r="T19" i="123" s="1"/>
  <c r="O11" i="73" s="1"/>
  <c r="N11" i="73"/>
  <c r="T23" i="123"/>
  <c r="T26" i="123" s="1"/>
  <c r="O12" i="73" s="1"/>
  <c r="N12" i="73"/>
  <c r="N15" i="73" s="1"/>
  <c r="T30" i="123"/>
  <c r="T33" i="123" s="1"/>
  <c r="O13" i="73" s="1"/>
  <c r="N13" i="73"/>
  <c r="J20" i="92"/>
  <c r="K17" i="92" s="1"/>
  <c r="J27" i="92"/>
  <c r="K24" i="92" s="1"/>
  <c r="H34" i="92"/>
  <c r="I31" i="92" s="1"/>
  <c r="J41" i="92"/>
  <c r="K38" i="92" s="1"/>
  <c r="J48" i="92"/>
  <c r="K45" i="92" s="1"/>
  <c r="I55" i="92"/>
  <c r="J52" i="92" s="1"/>
  <c r="O31" i="109"/>
  <c r="O81" i="109"/>
  <c r="O23" i="109"/>
  <c r="O86" i="109"/>
  <c r="M115" i="109"/>
  <c r="M88" i="109"/>
  <c r="O93" i="109"/>
  <c r="Q93" i="109" s="1"/>
  <c r="P93" i="109" s="1"/>
  <c r="O83" i="109"/>
  <c r="O95" i="109"/>
  <c r="O38" i="109"/>
  <c r="Q38" i="109" s="1"/>
  <c r="P38" i="109" s="1"/>
  <c r="O16" i="109"/>
  <c r="O19" i="109"/>
  <c r="O121" i="109"/>
  <c r="Q121" i="109" s="1"/>
  <c r="P121" i="109" s="1"/>
  <c r="O32" i="109"/>
  <c r="Q32" i="109" s="1"/>
  <c r="P32" i="109" s="1"/>
  <c r="M66" i="109"/>
  <c r="M108" i="109"/>
  <c r="Q108" i="109" s="1"/>
  <c r="P108" i="109" s="1"/>
  <c r="O18" i="109"/>
  <c r="M78" i="109"/>
  <c r="O42" i="109"/>
  <c r="O92" i="109"/>
  <c r="O101" i="109"/>
  <c r="O62" i="109"/>
  <c r="O89" i="109"/>
  <c r="O52" i="109"/>
  <c r="O111" i="109"/>
  <c r="M117" i="109"/>
  <c r="Q117" i="109" s="1"/>
  <c r="P117" i="109" s="1"/>
  <c r="O44" i="109"/>
  <c r="Q44" i="109" s="1"/>
  <c r="P44" i="109" s="1"/>
  <c r="O54" i="109"/>
  <c r="Q54" i="109" s="1"/>
  <c r="P54" i="109" s="1"/>
  <c r="M75" i="109"/>
  <c r="Q75" i="109" s="1"/>
  <c r="P75" i="109" s="1"/>
  <c r="O60" i="109"/>
  <c r="Q60" i="109" s="1"/>
  <c r="P60" i="109" s="1"/>
  <c r="M25" i="109"/>
  <c r="Q25" i="109" s="1"/>
  <c r="P25" i="109" s="1"/>
  <c r="I122" i="110"/>
  <c r="I131" i="110" s="1"/>
  <c r="I149" i="110" s="1"/>
  <c r="O35" i="109"/>
  <c r="K124" i="109"/>
  <c r="K133" i="109" s="1"/>
  <c r="O45" i="109"/>
  <c r="Q45" i="109" s="1"/>
  <c r="P45" i="109" s="1"/>
  <c r="M28" i="109"/>
  <c r="Q28" i="109" s="1"/>
  <c r="P28" i="109" s="1"/>
  <c r="M14" i="109"/>
  <c r="O56" i="109"/>
  <c r="Q56" i="109" s="1"/>
  <c r="P56" i="109" s="1"/>
  <c r="O113" i="109"/>
  <c r="Q113" i="109" s="1"/>
  <c r="P113" i="109" s="1"/>
  <c r="O72" i="109"/>
  <c r="Q72" i="109" s="1"/>
  <c r="P72" i="109" s="1"/>
  <c r="O103" i="109"/>
  <c r="Q103" i="109" s="1"/>
  <c r="P103" i="109" s="1"/>
  <c r="O27" i="109"/>
  <c r="Q27" i="109" s="1"/>
  <c r="P27" i="109" s="1"/>
  <c r="O59" i="109"/>
  <c r="Q59" i="109" s="1"/>
  <c r="P59" i="109" s="1"/>
  <c r="I124" i="109"/>
  <c r="I133" i="109" s="1"/>
  <c r="I154" i="109" s="1"/>
  <c r="O37" i="109"/>
  <c r="Q37" i="109" s="1"/>
  <c r="P37" i="109" s="1"/>
  <c r="O98" i="109"/>
  <c r="Q98" i="109" s="1"/>
  <c r="P98" i="109" s="1"/>
  <c r="O116" i="109"/>
  <c r="Q116" i="109" s="1"/>
  <c r="P116" i="109" s="1"/>
  <c r="O64" i="109"/>
  <c r="Q64" i="109" s="1"/>
  <c r="P64" i="109" s="1"/>
  <c r="O29" i="109"/>
  <c r="M145" i="109"/>
  <c r="O145" i="109"/>
  <c r="M139" i="109"/>
  <c r="O139" i="109"/>
  <c r="M138" i="109"/>
  <c r="O138" i="109"/>
  <c r="M143" i="109"/>
  <c r="O143" i="109"/>
  <c r="M144" i="109"/>
  <c r="O144" i="109"/>
  <c r="M141" i="109"/>
  <c r="O141" i="109"/>
  <c r="M146" i="109"/>
  <c r="O146" i="109"/>
  <c r="M148" i="109"/>
  <c r="O148" i="109"/>
  <c r="M140" i="109"/>
  <c r="O140" i="109"/>
  <c r="M147" i="109"/>
  <c r="O147" i="109"/>
  <c r="Q142" i="109"/>
  <c r="P142" i="109" s="1"/>
  <c r="Q53" i="109"/>
  <c r="P53" i="109" s="1"/>
  <c r="Q15" i="109"/>
  <c r="P15" i="109" s="1"/>
  <c r="Q58" i="109"/>
  <c r="P58" i="109" s="1"/>
  <c r="Q47" i="109"/>
  <c r="P47" i="109" s="1"/>
  <c r="Q79" i="109"/>
  <c r="P79" i="109" s="1"/>
  <c r="Q63" i="109"/>
  <c r="P63" i="109" s="1"/>
  <c r="Q18" i="109"/>
  <c r="P18" i="109" s="1"/>
  <c r="Q66" i="109"/>
  <c r="P66" i="109" s="1"/>
  <c r="Q20" i="109"/>
  <c r="P20" i="109" s="1"/>
  <c r="Q35" i="109"/>
  <c r="P35" i="109" s="1"/>
  <c r="Q42" i="109"/>
  <c r="P42" i="109" s="1"/>
  <c r="Q33" i="109"/>
  <c r="P33" i="109" s="1"/>
  <c r="Q76" i="109"/>
  <c r="P76" i="109" s="1"/>
  <c r="Q81" i="109"/>
  <c r="P81" i="109" s="1"/>
  <c r="Q50" i="109"/>
  <c r="P50" i="109" s="1"/>
  <c r="Q14" i="109"/>
  <c r="P14" i="109" s="1"/>
  <c r="Q101" i="109"/>
  <c r="P101" i="109" s="1"/>
  <c r="Q36" i="109"/>
  <c r="P36" i="109" s="1"/>
  <c r="Q71" i="109"/>
  <c r="P71" i="109" s="1"/>
  <c r="Q111" i="109"/>
  <c r="P111" i="109" s="1"/>
  <c r="Q52" i="109"/>
  <c r="P52" i="109" s="1"/>
  <c r="Q16" i="109"/>
  <c r="P16" i="109" s="1"/>
  <c r="Q89" i="109"/>
  <c r="P89" i="109" s="1"/>
  <c r="Q82" i="109"/>
  <c r="P82" i="109" s="1"/>
  <c r="Q12" i="109"/>
  <c r="P12" i="109" s="1"/>
  <c r="Q49" i="109"/>
  <c r="P49" i="109" s="1"/>
  <c r="Q65" i="109"/>
  <c r="P65" i="109" s="1"/>
  <c r="Q99" i="109"/>
  <c r="P99" i="109" s="1"/>
  <c r="Q109" i="109"/>
  <c r="P109" i="109" s="1"/>
  <c r="Q29" i="109"/>
  <c r="P29" i="109" s="1"/>
  <c r="Q118" i="109"/>
  <c r="P118" i="109" s="1"/>
  <c r="Q84" i="109"/>
  <c r="P84" i="109" s="1"/>
  <c r="Q122" i="109"/>
  <c r="P122" i="109" s="1"/>
  <c r="Q11" i="109"/>
  <c r="P11" i="109" s="1"/>
  <c r="Q85" i="109"/>
  <c r="P85" i="109" s="1"/>
  <c r="Q46" i="109"/>
  <c r="P46" i="109" s="1"/>
  <c r="Q97" i="109"/>
  <c r="P97" i="109" s="1"/>
  <c r="Q40" i="109"/>
  <c r="P40" i="109" s="1"/>
  <c r="Q94" i="109"/>
  <c r="P94" i="109" s="1"/>
  <c r="Q13" i="109"/>
  <c r="P13" i="109" s="1"/>
  <c r="Q67" i="109"/>
  <c r="P67" i="109" s="1"/>
  <c r="Q24" i="109"/>
  <c r="P24" i="109" s="1"/>
  <c r="Q74" i="109"/>
  <c r="P74" i="109" s="1"/>
  <c r="Q90" i="109"/>
  <c r="P90" i="109" s="1"/>
  <c r="Q51" i="109"/>
  <c r="P51" i="109" s="1"/>
  <c r="Q30" i="109"/>
  <c r="P30" i="109" s="1"/>
  <c r="Q78" i="109"/>
  <c r="P78" i="109" s="1"/>
  <c r="Q115" i="109"/>
  <c r="P115" i="109" s="1"/>
  <c r="Q26" i="109"/>
  <c r="P26" i="109" s="1"/>
  <c r="Q77" i="109"/>
  <c r="P77" i="109" s="1"/>
  <c r="Q110" i="109"/>
  <c r="P110" i="109" s="1"/>
  <c r="Q70" i="109"/>
  <c r="P70" i="109" s="1"/>
  <c r="Q34" i="109"/>
  <c r="P34" i="109" s="1"/>
  <c r="Q105" i="109"/>
  <c r="P105" i="109" s="1"/>
  <c r="Q69" i="109"/>
  <c r="P69" i="109" s="1"/>
  <c r="Q92" i="109"/>
  <c r="P92" i="109" s="1"/>
  <c r="Q123" i="109"/>
  <c r="P123" i="109" s="1"/>
  <c r="Q62" i="109"/>
  <c r="P62" i="109" s="1"/>
  <c r="Q83" i="109"/>
  <c r="P83" i="109" s="1"/>
  <c r="Q91" i="109"/>
  <c r="P91" i="109" s="1"/>
  <c r="Q88" i="109"/>
  <c r="P88" i="109" s="1"/>
  <c r="Q114" i="109"/>
  <c r="P114" i="109" s="1"/>
  <c r="Q55" i="109"/>
  <c r="P55" i="109" s="1"/>
  <c r="Q19" i="109"/>
  <c r="P19" i="109" s="1"/>
  <c r="Q23" i="109"/>
  <c r="P23" i="109" s="1"/>
  <c r="Q86" i="109"/>
  <c r="P86" i="109" s="1"/>
  <c r="Q17" i="109"/>
  <c r="P17" i="109" s="1"/>
  <c r="Q39" i="109"/>
  <c r="P39" i="109" s="1"/>
  <c r="Q106" i="109"/>
  <c r="P106" i="109" s="1"/>
  <c r="Q80" i="109"/>
  <c r="P80" i="109" s="1"/>
  <c r="Q68" i="109"/>
  <c r="P68" i="109" s="1"/>
  <c r="Q104" i="109"/>
  <c r="P104" i="109" s="1"/>
  <c r="Q87" i="109"/>
  <c r="P87" i="109" s="1"/>
  <c r="Q102" i="109"/>
  <c r="P102" i="109" s="1"/>
  <c r="Q48" i="109"/>
  <c r="P48" i="109" s="1"/>
  <c r="M21" i="109"/>
  <c r="O21" i="109"/>
  <c r="Q10" i="109"/>
  <c r="P10" i="109" s="1"/>
  <c r="Q73" i="109"/>
  <c r="P73" i="109" s="1"/>
  <c r="Q107" i="109"/>
  <c r="P107" i="109" s="1"/>
  <c r="Q57" i="109"/>
  <c r="P57" i="109" s="1"/>
  <c r="Q100" i="109"/>
  <c r="P100" i="109" s="1"/>
  <c r="Q120" i="109"/>
  <c r="P120" i="109" s="1"/>
  <c r="Q22" i="109"/>
  <c r="P22" i="109" s="1"/>
  <c r="Q31" i="109"/>
  <c r="P31" i="109" s="1"/>
  <c r="Q41" i="109"/>
  <c r="P41" i="109" s="1"/>
  <c r="Q61" i="109"/>
  <c r="P61" i="109" s="1"/>
  <c r="Q96" i="109"/>
  <c r="P96" i="109" s="1"/>
  <c r="Q95" i="109"/>
  <c r="P95" i="109" s="1"/>
  <c r="Q112" i="109"/>
  <c r="P112" i="109" s="1"/>
  <c r="Q43" i="109"/>
  <c r="P43" i="109" s="1"/>
  <c r="Q119" i="109"/>
  <c r="P119" i="109" s="1"/>
  <c r="J156" i="109"/>
  <c r="J151" i="109"/>
  <c r="I156" i="109"/>
  <c r="M137" i="109"/>
  <c r="K149" i="109"/>
  <c r="N54" i="53"/>
  <c r="N52" i="53"/>
  <c r="Q27" i="89"/>
  <c r="Q14" i="89"/>
  <c r="E53" i="103"/>
  <c r="E43" i="104"/>
  <c r="E44" i="104" s="1"/>
  <c r="E46" i="135" s="1"/>
  <c r="C51" i="103"/>
  <c r="E58" i="103"/>
  <c r="T12" i="86"/>
  <c r="C18" i="83"/>
  <c r="B20" i="83"/>
  <c r="D19" i="83"/>
  <c r="F19" i="83" s="1"/>
  <c r="E13" i="82"/>
  <c r="H14" i="82" s="1"/>
  <c r="G14" i="82" s="1"/>
  <c r="D17" i="82"/>
  <c r="C17" i="82" s="1"/>
  <c r="B18" i="82"/>
  <c r="F46" i="132" l="1"/>
  <c r="F47" i="135"/>
  <c r="F48" i="135" s="1"/>
  <c r="F24" i="132"/>
  <c r="F25" i="132" s="1"/>
  <c r="F24" i="135"/>
  <c r="F25" i="135"/>
  <c r="E24" i="132"/>
  <c r="E24" i="135"/>
  <c r="E22" i="132"/>
  <c r="E25" i="132" s="1"/>
  <c r="E22" i="135"/>
  <c r="O41" i="125"/>
  <c r="F47" i="132"/>
  <c r="E49" i="104"/>
  <c r="E45" i="132"/>
  <c r="N289" i="125"/>
  <c r="N17" i="73"/>
  <c r="M89" i="72" s="1"/>
  <c r="O289" i="125"/>
  <c r="N219" i="125"/>
  <c r="N222" i="125" s="1"/>
  <c r="K20" i="92"/>
  <c r="L17" i="92" s="1"/>
  <c r="K27" i="92"/>
  <c r="L24" i="92" s="1"/>
  <c r="I34" i="92"/>
  <c r="J31" i="92" s="1"/>
  <c r="K41" i="92"/>
  <c r="L38" i="92" s="1"/>
  <c r="K48" i="92"/>
  <c r="L45" i="92" s="1"/>
  <c r="J55" i="92"/>
  <c r="K52" i="92" s="1"/>
  <c r="I151" i="109"/>
  <c r="M124" i="109"/>
  <c r="M133" i="109" s="1"/>
  <c r="L133" i="109" s="1"/>
  <c r="O124" i="109"/>
  <c r="O133" i="109" s="1"/>
  <c r="O151" i="109" s="1"/>
  <c r="K151" i="109"/>
  <c r="O149" i="109"/>
  <c r="Q148" i="109"/>
  <c r="P148" i="109" s="1"/>
  <c r="M149" i="109"/>
  <c r="M151" i="109" s="1"/>
  <c r="L151" i="109" s="1"/>
  <c r="Q137" i="109"/>
  <c r="P137" i="109" s="1"/>
  <c r="Q146" i="109"/>
  <c r="P146" i="109" s="1"/>
  <c r="Q141" i="109"/>
  <c r="P141" i="109" s="1"/>
  <c r="Q144" i="109"/>
  <c r="P144" i="109" s="1"/>
  <c r="Q143" i="109"/>
  <c r="P143" i="109" s="1"/>
  <c r="Q138" i="109"/>
  <c r="P138" i="109" s="1"/>
  <c r="Q147" i="109"/>
  <c r="P147" i="109" s="1"/>
  <c r="Q139" i="109"/>
  <c r="P139" i="109" s="1"/>
  <c r="Q140" i="109"/>
  <c r="P140" i="109" s="1"/>
  <c r="Q145" i="109"/>
  <c r="P145" i="109" s="1"/>
  <c r="Q21" i="109"/>
  <c r="N53" i="53"/>
  <c r="C53" i="104"/>
  <c r="C56" i="104"/>
  <c r="D53" i="104"/>
  <c r="C62" i="103"/>
  <c r="O51" i="103"/>
  <c r="G18" i="83"/>
  <c r="E18" i="83" s="1"/>
  <c r="H19" i="83" s="1"/>
  <c r="C19" i="83"/>
  <c r="D20" i="83"/>
  <c r="F20" i="83" s="1"/>
  <c r="B21" i="83"/>
  <c r="E14" i="82"/>
  <c r="H15" i="82" s="1"/>
  <c r="B19" i="82"/>
  <c r="D18" i="82"/>
  <c r="C18" i="82" s="1"/>
  <c r="E25" i="135" l="1"/>
  <c r="E46" i="132"/>
  <c r="E47" i="135"/>
  <c r="E48" i="135" s="1"/>
  <c r="E47" i="132"/>
  <c r="G19" i="83"/>
  <c r="E19" i="83" s="1"/>
  <c r="H20" i="83" s="1"/>
  <c r="N89" i="72"/>
  <c r="O219" i="125"/>
  <c r="O221" i="125"/>
  <c r="O217" i="125"/>
  <c r="L20" i="92"/>
  <c r="M17" i="92" s="1"/>
  <c r="L27" i="92"/>
  <c r="M24" i="92" s="1"/>
  <c r="J34" i="92"/>
  <c r="K31" i="92" s="1"/>
  <c r="L41" i="92"/>
  <c r="M38" i="92" s="1"/>
  <c r="L48" i="92"/>
  <c r="M45" i="92" s="1"/>
  <c r="K55" i="92"/>
  <c r="L52" i="92" s="1"/>
  <c r="N32" i="111"/>
  <c r="E32" i="111"/>
  <c r="H32" i="111"/>
  <c r="F32" i="111"/>
  <c r="D32" i="111"/>
  <c r="G32" i="111"/>
  <c r="M32" i="111"/>
  <c r="J32" i="111"/>
  <c r="K32" i="111"/>
  <c r="I32" i="111"/>
  <c r="L32" i="111"/>
  <c r="E15" i="111"/>
  <c r="I15" i="111"/>
  <c r="D15" i="111"/>
  <c r="J15" i="111"/>
  <c r="K15" i="111"/>
  <c r="L15" i="111"/>
  <c r="M15" i="111"/>
  <c r="N15" i="111"/>
  <c r="C15" i="111"/>
  <c r="F15" i="111"/>
  <c r="G15" i="111"/>
  <c r="H15" i="111"/>
  <c r="L124" i="109"/>
  <c r="Q124" i="109"/>
  <c r="Q133" i="109" s="1"/>
  <c r="P133" i="109" s="1"/>
  <c r="P21" i="109"/>
  <c r="L149" i="109"/>
  <c r="Q149" i="109"/>
  <c r="D56" i="104"/>
  <c r="E53" i="104"/>
  <c r="F53" i="104" s="1"/>
  <c r="G53" i="104" s="1"/>
  <c r="H53" i="104" s="1"/>
  <c r="I53" i="104" s="1"/>
  <c r="J53" i="104" s="1"/>
  <c r="K53" i="104" s="1"/>
  <c r="L53" i="104" s="1"/>
  <c r="M53" i="104" s="1"/>
  <c r="N53" i="104" s="1"/>
  <c r="C65" i="103"/>
  <c r="C52" i="103" s="1"/>
  <c r="D62" i="103"/>
  <c r="C20" i="83"/>
  <c r="B22" i="83"/>
  <c r="D21" i="83"/>
  <c r="D19" i="82"/>
  <c r="C19" i="82" s="1"/>
  <c r="B20" i="82"/>
  <c r="G15" i="82"/>
  <c r="E15" i="82" s="1"/>
  <c r="H16" i="82" s="1"/>
  <c r="C21" i="83" l="1"/>
  <c r="F21" i="83"/>
  <c r="O222" i="125"/>
  <c r="G20" i="83"/>
  <c r="E20" i="83" s="1"/>
  <c r="M20" i="92"/>
  <c r="N17" i="92" s="1"/>
  <c r="M27" i="92"/>
  <c r="N24" i="92" s="1"/>
  <c r="K34" i="92"/>
  <c r="L31" i="92" s="1"/>
  <c r="M41" i="92"/>
  <c r="N38" i="92" s="1"/>
  <c r="M48" i="92"/>
  <c r="N45" i="92" s="1"/>
  <c r="L55" i="92"/>
  <c r="M52" i="92" s="1"/>
  <c r="C32" i="111"/>
  <c r="O29" i="111"/>
  <c r="O32" i="111" s="1"/>
  <c r="Q32" i="111" s="1"/>
  <c r="D17" i="111"/>
  <c r="D18" i="111" s="1"/>
  <c r="E17" i="111"/>
  <c r="F17" i="111"/>
  <c r="F18" i="111" s="1"/>
  <c r="L17" i="111"/>
  <c r="M17" i="111"/>
  <c r="J17" i="111"/>
  <c r="J18" i="111" s="1"/>
  <c r="N17" i="111"/>
  <c r="K17" i="111"/>
  <c r="I17" i="111"/>
  <c r="I18" i="111" s="1"/>
  <c r="H17" i="111"/>
  <c r="C17" i="111"/>
  <c r="C18" i="111" s="1"/>
  <c r="G17" i="111"/>
  <c r="G18" i="111" s="1"/>
  <c r="O15" i="111"/>
  <c r="D25" i="111"/>
  <c r="F25" i="111"/>
  <c r="J25" i="111"/>
  <c r="I25" i="111"/>
  <c r="G25" i="111"/>
  <c r="M25" i="111"/>
  <c r="E25" i="111"/>
  <c r="E18" i="111"/>
  <c r="P124" i="109"/>
  <c r="Q151" i="109"/>
  <c r="P151" i="109" s="1"/>
  <c r="P149" i="109"/>
  <c r="C53" i="103"/>
  <c r="C43" i="104"/>
  <c r="D65" i="103"/>
  <c r="D52" i="103" s="1"/>
  <c r="D43" i="104" s="1"/>
  <c r="D44" i="104" s="1"/>
  <c r="D46" i="135" s="1"/>
  <c r="E62" i="103"/>
  <c r="F62" i="103" s="1"/>
  <c r="G62" i="103" s="1"/>
  <c r="H62" i="103" s="1"/>
  <c r="I62" i="103" s="1"/>
  <c r="J62" i="103" s="1"/>
  <c r="K62" i="103" s="1"/>
  <c r="L62" i="103" s="1"/>
  <c r="M62" i="103" s="1"/>
  <c r="N62" i="103" s="1"/>
  <c r="C63" i="103"/>
  <c r="D22" i="83"/>
  <c r="B23" i="83"/>
  <c r="G16" i="82"/>
  <c r="D20" i="82"/>
  <c r="C20" i="82" s="1"/>
  <c r="B21" i="82"/>
  <c r="C22" i="132" l="1"/>
  <c r="C22" i="135"/>
  <c r="C22" i="83"/>
  <c r="F22" i="83"/>
  <c r="D49" i="104"/>
  <c r="D45" i="132"/>
  <c r="H21" i="83"/>
  <c r="G21" i="83" s="1"/>
  <c r="E21" i="83" s="1"/>
  <c r="H22" i="83" s="1"/>
  <c r="G22" i="83" s="1"/>
  <c r="E22" i="83" s="1"/>
  <c r="L34" i="92"/>
  <c r="M31" i="92" s="1"/>
  <c r="M55" i="92"/>
  <c r="N52" i="92" s="1"/>
  <c r="L18" i="111"/>
  <c r="N18" i="111"/>
  <c r="L25" i="111"/>
  <c r="K18" i="111"/>
  <c r="O22" i="111"/>
  <c r="O24" i="111"/>
  <c r="O17" i="111"/>
  <c r="O18" i="111" s="1"/>
  <c r="Q18" i="111" s="1"/>
  <c r="N25" i="111"/>
  <c r="H25" i="111"/>
  <c r="H18" i="111"/>
  <c r="K25" i="111"/>
  <c r="M18" i="111"/>
  <c r="D54" i="104"/>
  <c r="E54" i="104" s="1"/>
  <c r="F54" i="104" s="1"/>
  <c r="G54" i="104" s="1"/>
  <c r="H54" i="104" s="1"/>
  <c r="I54" i="104" s="1"/>
  <c r="J54" i="104" s="1"/>
  <c r="K54" i="104" s="1"/>
  <c r="L54" i="104" s="1"/>
  <c r="M54" i="104" s="1"/>
  <c r="N54" i="104" s="1"/>
  <c r="C44" i="104"/>
  <c r="C46" i="135" s="1"/>
  <c r="C54" i="104"/>
  <c r="O43" i="104"/>
  <c r="D21" i="105" s="1"/>
  <c r="O52" i="103"/>
  <c r="D53" i="103"/>
  <c r="C58" i="103"/>
  <c r="D63" i="103"/>
  <c r="E63" i="103" s="1"/>
  <c r="F63" i="103" s="1"/>
  <c r="G63" i="103" s="1"/>
  <c r="H63" i="103" s="1"/>
  <c r="I63" i="103" s="1"/>
  <c r="J63" i="103" s="1"/>
  <c r="K63" i="103" s="1"/>
  <c r="L63" i="103" s="1"/>
  <c r="M63" i="103" s="1"/>
  <c r="N63" i="103" s="1"/>
  <c r="B24" i="83"/>
  <c r="D23" i="83"/>
  <c r="B22" i="82"/>
  <c r="D21" i="82"/>
  <c r="C21" i="82" s="1"/>
  <c r="E16" i="82"/>
  <c r="H17" i="82" s="1"/>
  <c r="D22" i="132" l="1"/>
  <c r="D22" i="135"/>
  <c r="C24" i="132"/>
  <c r="C25" i="132" s="1"/>
  <c r="C24" i="135"/>
  <c r="D46" i="132"/>
  <c r="D47" i="135"/>
  <c r="D48" i="135" s="1"/>
  <c r="C23" i="83"/>
  <c r="F23" i="83"/>
  <c r="H23" i="83" s="1"/>
  <c r="G23" i="83" s="1"/>
  <c r="E23" i="83" s="1"/>
  <c r="C49" i="104"/>
  <c r="C47" i="135" s="1"/>
  <c r="C48" i="135" s="1"/>
  <c r="O48" i="135" s="1"/>
  <c r="C45" i="132"/>
  <c r="D47" i="132"/>
  <c r="D25" i="106"/>
  <c r="D28" i="108"/>
  <c r="O44" i="104"/>
  <c r="M34" i="92"/>
  <c r="N31" i="92" s="1"/>
  <c r="C25" i="111"/>
  <c r="O25" i="111"/>
  <c r="Q25" i="111" s="1"/>
  <c r="O56" i="103"/>
  <c r="D57" i="103"/>
  <c r="O53" i="103"/>
  <c r="B25" i="83"/>
  <c r="D24" i="83"/>
  <c r="G17" i="82"/>
  <c r="E17" i="82" s="1"/>
  <c r="H18" i="82" s="1"/>
  <c r="D22" i="82"/>
  <c r="C22" i="82" s="1"/>
  <c r="B23" i="82"/>
  <c r="C25" i="135" l="1"/>
  <c r="C24" i="83"/>
  <c r="F24" i="83"/>
  <c r="H24" i="83" s="1"/>
  <c r="G24" i="83" s="1"/>
  <c r="E24" i="83" s="1"/>
  <c r="O49" i="104"/>
  <c r="C46" i="132"/>
  <c r="C47" i="132" s="1"/>
  <c r="O47" i="132" s="1"/>
  <c r="D29" i="108"/>
  <c r="D26" i="106"/>
  <c r="D43" i="108"/>
  <c r="E43" i="108" s="1"/>
  <c r="E28" i="108"/>
  <c r="D40" i="106"/>
  <c r="D22" i="105"/>
  <c r="D44" i="108"/>
  <c r="D39" i="106"/>
  <c r="E39" i="106" s="1"/>
  <c r="E25" i="106"/>
  <c r="O25" i="104"/>
  <c r="D26" i="104"/>
  <c r="D58" i="103"/>
  <c r="D24" i="135" s="1"/>
  <c r="D25" i="135" s="1"/>
  <c r="O57" i="103"/>
  <c r="D25" i="83"/>
  <c r="B26" i="83"/>
  <c r="G18" i="82"/>
  <c r="B24" i="82"/>
  <c r="D23" i="82"/>
  <c r="C23" i="82" s="1"/>
  <c r="O25" i="135" l="1"/>
  <c r="C25" i="83"/>
  <c r="F25" i="83"/>
  <c r="H25" i="83" s="1"/>
  <c r="G25" i="83" s="1"/>
  <c r="E25" i="83" s="1"/>
  <c r="O58" i="103"/>
  <c r="D24" i="132"/>
  <c r="D25" i="132" s="1"/>
  <c r="D46" i="108"/>
  <c r="D47" i="108"/>
  <c r="D42" i="106"/>
  <c r="D43" i="106"/>
  <c r="O26" i="104"/>
  <c r="B27" i="83"/>
  <c r="D26" i="83"/>
  <c r="D24" i="82"/>
  <c r="C24" i="82" s="1"/>
  <c r="B25" i="82"/>
  <c r="E18" i="82"/>
  <c r="H19" i="82" s="1"/>
  <c r="C26" i="83" l="1"/>
  <c r="F26" i="83"/>
  <c r="H26" i="83" s="1"/>
  <c r="O25" i="132"/>
  <c r="C37" i="108"/>
  <c r="C34" i="106"/>
  <c r="D22" i="106"/>
  <c r="D23" i="106"/>
  <c r="C13" i="106" s="1"/>
  <c r="D27" i="83"/>
  <c r="B28" i="83"/>
  <c r="G19" i="82"/>
  <c r="E19" i="82" s="1"/>
  <c r="H20" i="82" s="1"/>
  <c r="B26" i="82"/>
  <c r="D25" i="82"/>
  <c r="C25" i="82" s="1"/>
  <c r="C27" i="83" l="1"/>
  <c r="F27" i="83"/>
  <c r="G26" i="83"/>
  <c r="E26" i="83" s="1"/>
  <c r="H27" i="83" s="1"/>
  <c r="D29" i="106"/>
  <c r="D30" i="106"/>
  <c r="E17" i="114"/>
  <c r="H27" i="132"/>
  <c r="C28" i="132"/>
  <c r="I27" i="132"/>
  <c r="D28" i="132"/>
  <c r="E28" i="132"/>
  <c r="E29" i="132"/>
  <c r="F28" i="132"/>
  <c r="F29" i="132"/>
  <c r="K28" i="132"/>
  <c r="M28" i="132"/>
  <c r="G28" i="132"/>
  <c r="H29" i="132"/>
  <c r="J28" i="132"/>
  <c r="H28" i="132"/>
  <c r="I29" i="132"/>
  <c r="I28" i="132"/>
  <c r="D27" i="132"/>
  <c r="L28" i="132"/>
  <c r="N28" i="132"/>
  <c r="N27" i="132"/>
  <c r="E27" i="132"/>
  <c r="G29" i="132"/>
  <c r="M27" i="132"/>
  <c r="M29" i="132"/>
  <c r="L27" i="132"/>
  <c r="K27" i="132"/>
  <c r="L29" i="132"/>
  <c r="G27" i="132"/>
  <c r="F27" i="132"/>
  <c r="C29" i="132"/>
  <c r="D29" i="132"/>
  <c r="K29" i="132"/>
  <c r="J27" i="132"/>
  <c r="C27" i="132"/>
  <c r="N29" i="132"/>
  <c r="J29" i="132"/>
  <c r="K74" i="103"/>
  <c r="I74" i="103"/>
  <c r="C74" i="103"/>
  <c r="F74" i="103"/>
  <c r="G74" i="103"/>
  <c r="M74" i="103"/>
  <c r="N74" i="103"/>
  <c r="L74" i="103"/>
  <c r="H74" i="103"/>
  <c r="J74" i="103"/>
  <c r="E74" i="103"/>
  <c r="D74" i="103"/>
  <c r="C36" i="106"/>
  <c r="E34" i="106"/>
  <c r="C37" i="106"/>
  <c r="E35" i="117"/>
  <c r="E36" i="117" s="1"/>
  <c r="E36" i="118"/>
  <c r="C15" i="108"/>
  <c r="C14" i="106"/>
  <c r="E13" i="117" s="1"/>
  <c r="D45" i="106"/>
  <c r="E37" i="108"/>
  <c r="C41" i="108"/>
  <c r="C40" i="108"/>
  <c r="B29" i="83"/>
  <c r="D28" i="83"/>
  <c r="G27" i="83"/>
  <c r="E27" i="83" s="1"/>
  <c r="D26" i="82"/>
  <c r="C26" i="82" s="1"/>
  <c r="B27" i="82"/>
  <c r="G20" i="82"/>
  <c r="C28" i="83" l="1"/>
  <c r="F28" i="83"/>
  <c r="H28" i="83" s="1"/>
  <c r="G28" i="83" s="1"/>
  <c r="E28" i="83" s="1"/>
  <c r="F30" i="132"/>
  <c r="G30" i="132"/>
  <c r="N30" i="132"/>
  <c r="O29" i="132"/>
  <c r="O27" i="132"/>
  <c r="O28" i="132"/>
  <c r="L30" i="132"/>
  <c r="E30" i="132"/>
  <c r="I30" i="132"/>
  <c r="M30" i="132"/>
  <c r="K30" i="132"/>
  <c r="C30" i="132"/>
  <c r="J30" i="132"/>
  <c r="D30" i="132"/>
  <c r="H30" i="132"/>
  <c r="F39" i="116"/>
  <c r="C37" i="116"/>
  <c r="H38" i="116"/>
  <c r="M39" i="116"/>
  <c r="L39" i="116"/>
  <c r="G39" i="116"/>
  <c r="M38" i="116"/>
  <c r="L38" i="116"/>
  <c r="I38" i="116"/>
  <c r="K38" i="116"/>
  <c r="J39" i="116"/>
  <c r="G38" i="116"/>
  <c r="H39" i="116"/>
  <c r="N39" i="116"/>
  <c r="E38" i="116"/>
  <c r="C38" i="116"/>
  <c r="E39" i="116"/>
  <c r="J38" i="116"/>
  <c r="D38" i="116"/>
  <c r="D39" i="116"/>
  <c r="F38" i="116"/>
  <c r="I39" i="116"/>
  <c r="N38" i="116"/>
  <c r="C39" i="116"/>
  <c r="K39" i="116"/>
  <c r="E17" i="117"/>
  <c r="E40" i="108"/>
  <c r="E41" i="108"/>
  <c r="D29" i="83"/>
  <c r="B30" i="83"/>
  <c r="D27" i="82"/>
  <c r="C27" i="82" s="1"/>
  <c r="B28" i="82"/>
  <c r="E20" i="82"/>
  <c r="H21" i="82" s="1"/>
  <c r="C29" i="83" l="1"/>
  <c r="F29" i="83"/>
  <c r="H29" i="83" s="1"/>
  <c r="G29" i="83" s="1"/>
  <c r="E29" i="83" s="1"/>
  <c r="M17" i="114"/>
  <c r="F17" i="114"/>
  <c r="O30" i="132"/>
  <c r="O39" i="116"/>
  <c r="M13" i="117" s="1"/>
  <c r="C40" i="116"/>
  <c r="D37" i="116" s="1"/>
  <c r="D40" i="116" s="1"/>
  <c r="E37" i="116" s="1"/>
  <c r="E40" i="116" s="1"/>
  <c r="F37" i="116" s="1"/>
  <c r="F40" i="116" s="1"/>
  <c r="G37" i="116" s="1"/>
  <c r="G40" i="116" s="1"/>
  <c r="H37" i="116" s="1"/>
  <c r="H40" i="116" s="1"/>
  <c r="I37" i="116" s="1"/>
  <c r="I40" i="116" s="1"/>
  <c r="J37" i="116" s="1"/>
  <c r="J40" i="116" s="1"/>
  <c r="K37" i="116" s="1"/>
  <c r="K40" i="116" s="1"/>
  <c r="L37" i="116" s="1"/>
  <c r="L40" i="116" s="1"/>
  <c r="M37" i="116" s="1"/>
  <c r="M40" i="116" s="1"/>
  <c r="N37" i="116" s="1"/>
  <c r="N40" i="116" s="1"/>
  <c r="M17" i="117"/>
  <c r="F17" i="117"/>
  <c r="O38" i="116"/>
  <c r="F13" i="117"/>
  <c r="E15" i="117"/>
  <c r="B31" i="83"/>
  <c r="D30" i="83"/>
  <c r="G21" i="82"/>
  <c r="D28" i="82"/>
  <c r="C28" i="82" s="1"/>
  <c r="B29" i="82"/>
  <c r="C30" i="83" l="1"/>
  <c r="F30" i="83"/>
  <c r="H30" i="83" s="1"/>
  <c r="E19" i="117"/>
  <c r="F19" i="117" s="1"/>
  <c r="F15" i="117"/>
  <c r="M10" i="117"/>
  <c r="E37" i="117"/>
  <c r="E38" i="117" s="1"/>
  <c r="E40" i="117" s="1"/>
  <c r="D31" i="83"/>
  <c r="B32" i="83"/>
  <c r="D29" i="82"/>
  <c r="C29" i="82" s="1"/>
  <c r="B30" i="82"/>
  <c r="E21" i="82"/>
  <c r="H22" i="82" s="1"/>
  <c r="C31" i="83" l="1"/>
  <c r="F31" i="83"/>
  <c r="G30" i="83"/>
  <c r="E30" i="83" s="1"/>
  <c r="H31" i="83" s="1"/>
  <c r="M11" i="117"/>
  <c r="N10" i="117" s="1"/>
  <c r="D32" i="83"/>
  <c r="B33" i="83"/>
  <c r="G31" i="83"/>
  <c r="E31" i="83" s="1"/>
  <c r="G22" i="82"/>
  <c r="B31" i="82"/>
  <c r="D30" i="82"/>
  <c r="C30" i="82" s="1"/>
  <c r="C32" i="83" l="1"/>
  <c r="F32" i="83"/>
  <c r="H32" i="83" s="1"/>
  <c r="G32" i="83" s="1"/>
  <c r="E32" i="83" s="1"/>
  <c r="N9" i="117"/>
  <c r="N8" i="117"/>
  <c r="M15" i="117"/>
  <c r="N11" i="117"/>
  <c r="N13" i="117"/>
  <c r="N17" i="117"/>
  <c r="B34" i="83"/>
  <c r="D33" i="83"/>
  <c r="B32" i="82"/>
  <c r="D31" i="82"/>
  <c r="C31" i="82" s="1"/>
  <c r="E22" i="82"/>
  <c r="H23" i="82" s="1"/>
  <c r="C33" i="83" l="1"/>
  <c r="F33" i="83"/>
  <c r="H33" i="83" s="1"/>
  <c r="G33" i="83" s="1"/>
  <c r="E33" i="83" s="1"/>
  <c r="N15" i="117"/>
  <c r="M19" i="117"/>
  <c r="N19" i="117" s="1"/>
  <c r="B35" i="83"/>
  <c r="D34" i="83"/>
  <c r="G23" i="82"/>
  <c r="B33" i="82"/>
  <c r="D32" i="82"/>
  <c r="C32" i="82" s="1"/>
  <c r="C34" i="83" l="1"/>
  <c r="F34" i="83"/>
  <c r="H34" i="83" s="1"/>
  <c r="G34" i="83" s="1"/>
  <c r="E34" i="83" s="1"/>
  <c r="B36" i="83"/>
  <c r="D35" i="83"/>
  <c r="D33" i="82"/>
  <c r="C33" i="82" s="1"/>
  <c r="B34" i="82"/>
  <c r="E23" i="82"/>
  <c r="H24" i="82" s="1"/>
  <c r="C35" i="83" l="1"/>
  <c r="F35" i="83"/>
  <c r="H35" i="83" s="1"/>
  <c r="G35" i="83" s="1"/>
  <c r="E35" i="83" s="1"/>
  <c r="D36" i="83"/>
  <c r="B37" i="83"/>
  <c r="G24" i="82"/>
  <c r="E24" i="82" s="1"/>
  <c r="H25" i="82" s="1"/>
  <c r="D34" i="82"/>
  <c r="C34" i="82" s="1"/>
  <c r="B35" i="82"/>
  <c r="C36" i="83" l="1"/>
  <c r="F36" i="83"/>
  <c r="H36" i="83" s="1"/>
  <c r="B38" i="83"/>
  <c r="D37" i="83"/>
  <c r="G25" i="82"/>
  <c r="E25" i="82" s="1"/>
  <c r="H26" i="82" s="1"/>
  <c r="D35" i="82"/>
  <c r="C35" i="82" s="1"/>
  <c r="B36" i="82"/>
  <c r="C37" i="83" l="1"/>
  <c r="F37" i="83"/>
  <c r="G36" i="83"/>
  <c r="E36" i="83" s="1"/>
  <c r="D38" i="83"/>
  <c r="B39" i="83"/>
  <c r="B37" i="82"/>
  <c r="D36" i="82"/>
  <c r="C36" i="82" s="1"/>
  <c r="G26" i="82"/>
  <c r="C38" i="83" l="1"/>
  <c r="F38" i="83"/>
  <c r="H37" i="83"/>
  <c r="G37" i="83" s="1"/>
  <c r="E37" i="83" s="1"/>
  <c r="B40" i="83"/>
  <c r="D39" i="83"/>
  <c r="E26" i="82"/>
  <c r="H27" i="82" s="1"/>
  <c r="B38" i="82"/>
  <c r="D37" i="82"/>
  <c r="C37" i="82" s="1"/>
  <c r="C39" i="83" l="1"/>
  <c r="F39" i="83"/>
  <c r="H38" i="83"/>
  <c r="G38" i="83" s="1"/>
  <c r="E38" i="83" s="1"/>
  <c r="B41" i="83"/>
  <c r="D40" i="83"/>
  <c r="G27" i="82"/>
  <c r="E27" i="82" s="1"/>
  <c r="H28" i="82" s="1"/>
  <c r="B39" i="82"/>
  <c r="D38" i="82"/>
  <c r="C38" i="82" s="1"/>
  <c r="C40" i="83" l="1"/>
  <c r="F40" i="83"/>
  <c r="H39" i="83"/>
  <c r="G39" i="83" s="1"/>
  <c r="E39" i="83" s="1"/>
  <c r="H40" i="83" s="1"/>
  <c r="G40" i="83" s="1"/>
  <c r="E40" i="83" s="1"/>
  <c r="B42" i="83"/>
  <c r="D41" i="83"/>
  <c r="G28" i="82"/>
  <c r="B40" i="82"/>
  <c r="D39" i="82"/>
  <c r="C39" i="82" s="1"/>
  <c r="C41" i="83" l="1"/>
  <c r="F41" i="83"/>
  <c r="H41" i="83" s="1"/>
  <c r="B43" i="83"/>
  <c r="D42" i="83"/>
  <c r="B41" i="82"/>
  <c r="D40" i="82"/>
  <c r="C40" i="82" s="1"/>
  <c r="E28" i="82"/>
  <c r="H29" i="82" s="1"/>
  <c r="C42" i="83" l="1"/>
  <c r="F42" i="83"/>
  <c r="G41" i="83"/>
  <c r="E41" i="83" s="1"/>
  <c r="D43" i="83"/>
  <c r="B44" i="83"/>
  <c r="G29" i="82"/>
  <c r="D41" i="82"/>
  <c r="C41" i="82" s="1"/>
  <c r="B42" i="82"/>
  <c r="C43" i="83" l="1"/>
  <c r="F43" i="83"/>
  <c r="H42" i="83"/>
  <c r="G42" i="83" s="1"/>
  <c r="E42" i="83" s="1"/>
  <c r="H43" i="83" s="1"/>
  <c r="G43" i="83" s="1"/>
  <c r="E43" i="83" s="1"/>
  <c r="B45" i="83"/>
  <c r="D44" i="83"/>
  <c r="D42" i="82"/>
  <c r="C42" i="82" s="1"/>
  <c r="B43" i="82"/>
  <c r="E29" i="82"/>
  <c r="H30" i="82" s="1"/>
  <c r="C44" i="83" l="1"/>
  <c r="F44" i="83"/>
  <c r="H44" i="83" s="1"/>
  <c r="G44" i="83" s="1"/>
  <c r="E44" i="83" s="1"/>
  <c r="D45" i="83"/>
  <c r="B46" i="83"/>
  <c r="G30" i="82"/>
  <c r="E30" i="82" s="1"/>
  <c r="H31" i="82" s="1"/>
  <c r="D43" i="82"/>
  <c r="C43" i="82" s="1"/>
  <c r="B44" i="82"/>
  <c r="C45" i="83" l="1"/>
  <c r="F45" i="83"/>
  <c r="H45" i="83" s="1"/>
  <c r="G45" i="83" s="1"/>
  <c r="E45" i="83" s="1"/>
  <c r="B47" i="83"/>
  <c r="D46" i="83"/>
  <c r="D44" i="82"/>
  <c r="C44" i="82" s="1"/>
  <c r="B45" i="82"/>
  <c r="G31" i="82"/>
  <c r="E31" i="82" s="1"/>
  <c r="H32" i="82" s="1"/>
  <c r="C46" i="83" l="1"/>
  <c r="F46" i="83"/>
  <c r="H46" i="83" s="1"/>
  <c r="G46" i="83" s="1"/>
  <c r="E46" i="83" s="1"/>
  <c r="D47" i="83"/>
  <c r="B48" i="83"/>
  <c r="G32" i="82"/>
  <c r="B46" i="82"/>
  <c r="D45" i="82"/>
  <c r="C45" i="82" s="1"/>
  <c r="C47" i="83" l="1"/>
  <c r="F47" i="83"/>
  <c r="H47" i="83" s="1"/>
  <c r="D48" i="83"/>
  <c r="B49" i="83"/>
  <c r="E32" i="82"/>
  <c r="H33" i="82" s="1"/>
  <c r="G33" i="82" s="1"/>
  <c r="D46" i="82"/>
  <c r="C46" i="82" s="1"/>
  <c r="B47" i="82"/>
  <c r="C48" i="83" l="1"/>
  <c r="F48" i="83"/>
  <c r="G47" i="83"/>
  <c r="E47" i="83" s="1"/>
  <c r="H48" i="83" s="1"/>
  <c r="G48" i="83" s="1"/>
  <c r="E48" i="83" s="1"/>
  <c r="B50" i="83"/>
  <c r="D49" i="83"/>
  <c r="B48" i="82"/>
  <c r="D47" i="82"/>
  <c r="C47" i="82" s="1"/>
  <c r="E33" i="82"/>
  <c r="H34" i="82" s="1"/>
  <c r="C49" i="83" l="1"/>
  <c r="F49" i="83"/>
  <c r="H49" i="83" s="1"/>
  <c r="G49" i="83" s="1"/>
  <c r="E49" i="83" s="1"/>
  <c r="D50" i="83"/>
  <c r="B51" i="83"/>
  <c r="G34" i="82"/>
  <c r="D48" i="82"/>
  <c r="C48" i="82" s="1"/>
  <c r="B49" i="82"/>
  <c r="C50" i="83" l="1"/>
  <c r="F50" i="83"/>
  <c r="H50" i="83" s="1"/>
  <c r="G50" i="83" s="1"/>
  <c r="E50" i="83" s="1"/>
  <c r="B52" i="83"/>
  <c r="D51" i="83"/>
  <c r="D49" i="82"/>
  <c r="C49" i="82" s="1"/>
  <c r="B50" i="82"/>
  <c r="E34" i="82"/>
  <c r="H35" i="82" s="1"/>
  <c r="C51" i="83" l="1"/>
  <c r="F51" i="83"/>
  <c r="H51" i="83" s="1"/>
  <c r="G51" i="83" s="1"/>
  <c r="E51" i="83" s="1"/>
  <c r="D52" i="83"/>
  <c r="B53" i="83"/>
  <c r="G35" i="82"/>
  <c r="E35" i="82"/>
  <c r="H36" i="82" s="1"/>
  <c r="B51" i="82"/>
  <c r="D50" i="82"/>
  <c r="C50" i="82" s="1"/>
  <c r="C52" i="83" l="1"/>
  <c r="F52" i="83"/>
  <c r="H52" i="83" s="1"/>
  <c r="G52" i="83" s="1"/>
  <c r="E52" i="83" s="1"/>
  <c r="B54" i="83"/>
  <c r="D53" i="83"/>
  <c r="D51" i="82"/>
  <c r="C51" i="82" s="1"/>
  <c r="B52" i="82"/>
  <c r="G36" i="82"/>
  <c r="C53" i="83" l="1"/>
  <c r="F53" i="83"/>
  <c r="H53" i="83" s="1"/>
  <c r="D54" i="83"/>
  <c r="B55" i="83"/>
  <c r="E36" i="82"/>
  <c r="H37" i="82" s="1"/>
  <c r="G37" i="82" s="1"/>
  <c r="B53" i="82"/>
  <c r="D52" i="82"/>
  <c r="C52" i="82" s="1"/>
  <c r="C54" i="83" l="1"/>
  <c r="F54" i="83"/>
  <c r="G53" i="83"/>
  <c r="E53" i="83" s="1"/>
  <c r="B56" i="83"/>
  <c r="D55" i="83"/>
  <c r="E37" i="82"/>
  <c r="D53" i="82"/>
  <c r="C53" i="82" s="1"/>
  <c r="B54" i="82"/>
  <c r="C55" i="83" l="1"/>
  <c r="F55" i="83"/>
  <c r="H54" i="83"/>
  <c r="G54" i="83" s="1"/>
  <c r="E54" i="83" s="1"/>
  <c r="B57" i="83"/>
  <c r="D56" i="83"/>
  <c r="H38" i="82"/>
  <c r="G38" i="82" s="1"/>
  <c r="D54" i="82"/>
  <c r="C54" i="82" s="1"/>
  <c r="B55" i="82"/>
  <c r="C56" i="83" l="1"/>
  <c r="F56" i="83"/>
  <c r="H55" i="83"/>
  <c r="G55" i="83" s="1"/>
  <c r="E55" i="83" s="1"/>
  <c r="H56" i="83" s="1"/>
  <c r="G56" i="83"/>
  <c r="E56" i="83" s="1"/>
  <c r="B58" i="83"/>
  <c r="D57" i="83"/>
  <c r="E38" i="82"/>
  <c r="H39" i="82" s="1"/>
  <c r="B56" i="82"/>
  <c r="D55" i="82"/>
  <c r="C55" i="82" s="1"/>
  <c r="C57" i="83" l="1"/>
  <c r="F57" i="83"/>
  <c r="H57" i="83"/>
  <c r="B59" i="83"/>
  <c r="D58" i="83"/>
  <c r="G57" i="83"/>
  <c r="E57" i="83" s="1"/>
  <c r="G39" i="82"/>
  <c r="B57" i="82"/>
  <c r="D56" i="82"/>
  <c r="C56" i="82" s="1"/>
  <c r="C58" i="83" l="1"/>
  <c r="F58" i="83"/>
  <c r="H58" i="83" s="1"/>
  <c r="G58" i="83" s="1"/>
  <c r="E58" i="83" s="1"/>
  <c r="D59" i="83"/>
  <c r="B60" i="83"/>
  <c r="E39" i="82"/>
  <c r="H40" i="82" s="1"/>
  <c r="D57" i="82"/>
  <c r="C57" i="82" s="1"/>
  <c r="B58" i="82"/>
  <c r="C59" i="83" l="1"/>
  <c r="F59" i="83"/>
  <c r="H59" i="83" s="1"/>
  <c r="G59" i="83" s="1"/>
  <c r="E59" i="83" s="1"/>
  <c r="B61" i="83"/>
  <c r="D60" i="83"/>
  <c r="G40" i="82"/>
  <c r="D58" i="82"/>
  <c r="C58" i="82" s="1"/>
  <c r="B59" i="82"/>
  <c r="C60" i="83" l="1"/>
  <c r="F60" i="83"/>
  <c r="H60" i="83" s="1"/>
  <c r="G60" i="83" s="1"/>
  <c r="E60" i="83" s="1"/>
  <c r="D61" i="83"/>
  <c r="B62" i="83"/>
  <c r="E40" i="82"/>
  <c r="H41" i="82" s="1"/>
  <c r="G41" i="82" s="1"/>
  <c r="E41" i="82" s="1"/>
  <c r="H42" i="82" s="1"/>
  <c r="B60" i="82"/>
  <c r="D59" i="82"/>
  <c r="C59" i="82" s="1"/>
  <c r="C61" i="83" l="1"/>
  <c r="F61" i="83"/>
  <c r="H61" i="83" s="1"/>
  <c r="G61" i="83" s="1"/>
  <c r="E61" i="83" s="1"/>
  <c r="B63" i="83"/>
  <c r="D62" i="83"/>
  <c r="G42" i="82"/>
  <c r="D60" i="82"/>
  <c r="C60" i="82" s="1"/>
  <c r="B61" i="82"/>
  <c r="C62" i="83" l="1"/>
  <c r="F62" i="83"/>
  <c r="H62" i="83" s="1"/>
  <c r="D63" i="83"/>
  <c r="B64" i="83"/>
  <c r="E42" i="82"/>
  <c r="H43" i="82" s="1"/>
  <c r="B62" i="82"/>
  <c r="D61" i="82"/>
  <c r="C61" i="82" s="1"/>
  <c r="C63" i="83" l="1"/>
  <c r="F63" i="83"/>
  <c r="G62" i="83"/>
  <c r="E62" i="83" s="1"/>
  <c r="H63" i="83" s="1"/>
  <c r="G63" i="83"/>
  <c r="E63" i="83" s="1"/>
  <c r="D64" i="83"/>
  <c r="B65" i="83"/>
  <c r="G43" i="82"/>
  <c r="B63" i="82"/>
  <c r="D62" i="82"/>
  <c r="C62" i="82" s="1"/>
  <c r="C64" i="83" l="1"/>
  <c r="F64" i="83"/>
  <c r="H64" i="83"/>
  <c r="C15" i="75" s="1"/>
  <c r="B66" i="83"/>
  <c r="D65" i="83"/>
  <c r="E43" i="82"/>
  <c r="H44" i="82" s="1"/>
  <c r="D63" i="82"/>
  <c r="C63" i="82" s="1"/>
  <c r="B64" i="82"/>
  <c r="G64" i="83" l="1"/>
  <c r="C65" i="83"/>
  <c r="F65" i="83"/>
  <c r="E64" i="83"/>
  <c r="H65" i="83" s="1"/>
  <c r="D15" i="75" s="1"/>
  <c r="C11" i="75"/>
  <c r="B67" i="83"/>
  <c r="D66" i="83"/>
  <c r="G65" i="83"/>
  <c r="G44" i="82"/>
  <c r="B65" i="82"/>
  <c r="D64" i="82"/>
  <c r="C64" i="82" s="1"/>
  <c r="C66" i="83" l="1"/>
  <c r="F66" i="83"/>
  <c r="E65" i="83"/>
  <c r="D11" i="75"/>
  <c r="B68" i="83"/>
  <c r="D67" i="83"/>
  <c r="E44" i="82"/>
  <c r="H45" i="82" s="1"/>
  <c r="D65" i="82"/>
  <c r="C65" i="82" s="1"/>
  <c r="B66" i="82"/>
  <c r="C67" i="83" l="1"/>
  <c r="F67" i="83"/>
  <c r="H66" i="83"/>
  <c r="D68" i="83"/>
  <c r="B69" i="83"/>
  <c r="G45" i="82"/>
  <c r="D66" i="82"/>
  <c r="C66" i="82" s="1"/>
  <c r="B67" i="82"/>
  <c r="C68" i="83" l="1"/>
  <c r="F68" i="83"/>
  <c r="E15" i="75"/>
  <c r="G66" i="83"/>
  <c r="B70" i="83"/>
  <c r="D69" i="83"/>
  <c r="E45" i="82"/>
  <c r="H46" i="82" s="1"/>
  <c r="B68" i="82"/>
  <c r="D67" i="82"/>
  <c r="C67" i="82" s="1"/>
  <c r="E66" i="83" l="1"/>
  <c r="E11" i="75"/>
  <c r="C69" i="83"/>
  <c r="F69" i="83"/>
  <c r="D70" i="83"/>
  <c r="B71" i="83"/>
  <c r="G46" i="82"/>
  <c r="E46" i="82" s="1"/>
  <c r="H47" i="82" s="1"/>
  <c r="B69" i="82"/>
  <c r="D68" i="82"/>
  <c r="C68" i="82" s="1"/>
  <c r="C70" i="83" l="1"/>
  <c r="F70" i="83"/>
  <c r="H67" i="83"/>
  <c r="B72" i="83"/>
  <c r="D71" i="83"/>
  <c r="G47" i="82"/>
  <c r="E47" i="82" s="1"/>
  <c r="H48" i="82" s="1"/>
  <c r="D69" i="82"/>
  <c r="C69" i="82" s="1"/>
  <c r="B70" i="82"/>
  <c r="C71" i="83" l="1"/>
  <c r="F71" i="83"/>
  <c r="F15" i="75"/>
  <c r="G67" i="83"/>
  <c r="B73" i="83"/>
  <c r="D72" i="83"/>
  <c r="G48" i="82"/>
  <c r="B71" i="82"/>
  <c r="D70" i="82"/>
  <c r="C70" i="82" s="1"/>
  <c r="F11" i="75" l="1"/>
  <c r="E67" i="83"/>
  <c r="C72" i="83"/>
  <c r="F72" i="83"/>
  <c r="H72" i="83" s="1"/>
  <c r="K15" i="75" s="1"/>
  <c r="G72" i="83"/>
  <c r="D73" i="83"/>
  <c r="B74" i="83"/>
  <c r="E48" i="82"/>
  <c r="H49" i="82" s="1"/>
  <c r="D71" i="82"/>
  <c r="C71" i="82" s="1"/>
  <c r="B72" i="82"/>
  <c r="H68" i="83" l="1"/>
  <c r="C73" i="83"/>
  <c r="F73" i="83"/>
  <c r="H73" i="83" s="1"/>
  <c r="L15" i="75" s="1"/>
  <c r="K11" i="75"/>
  <c r="B75" i="83"/>
  <c r="D74" i="83"/>
  <c r="G49" i="82"/>
  <c r="E49" i="82" s="1"/>
  <c r="H50" i="82" s="1"/>
  <c r="B73" i="82"/>
  <c r="D72" i="82"/>
  <c r="C72" i="82" s="1"/>
  <c r="C74" i="83" l="1"/>
  <c r="F74" i="83"/>
  <c r="H74" i="83" s="1"/>
  <c r="M15" i="75" s="1"/>
  <c r="G73" i="83"/>
  <c r="G15" i="75"/>
  <c r="G68" i="83"/>
  <c r="L11" i="75"/>
  <c r="D75" i="83"/>
  <c r="B76" i="83"/>
  <c r="G50" i="82"/>
  <c r="E50" i="82" s="1"/>
  <c r="H51" i="82" s="1"/>
  <c r="B74" i="82"/>
  <c r="D73" i="82"/>
  <c r="C73" i="82" s="1"/>
  <c r="G11" i="75" l="1"/>
  <c r="E68" i="83"/>
  <c r="C75" i="83"/>
  <c r="F75" i="83"/>
  <c r="H75" i="83" s="1"/>
  <c r="N15" i="75" s="1"/>
  <c r="G74" i="83"/>
  <c r="M11" i="75"/>
  <c r="B77" i="83"/>
  <c r="D76" i="83"/>
  <c r="G51" i="82"/>
  <c r="D74" i="82"/>
  <c r="C74" i="82" s="1"/>
  <c r="B75" i="82"/>
  <c r="G75" i="83" l="1"/>
  <c r="H69" i="83"/>
  <c r="C76" i="83"/>
  <c r="F76" i="83"/>
  <c r="H76" i="83" s="1"/>
  <c r="N11" i="75"/>
  <c r="D77" i="83"/>
  <c r="B78" i="83"/>
  <c r="E51" i="82"/>
  <c r="H52" i="82" s="1"/>
  <c r="B76" i="82"/>
  <c r="D75" i="82"/>
  <c r="C75" i="82" s="1"/>
  <c r="G76" i="83" l="1"/>
  <c r="H15" i="75"/>
  <c r="G69" i="83"/>
  <c r="C77" i="83"/>
  <c r="F77" i="83"/>
  <c r="H77" i="83" s="1"/>
  <c r="B79" i="83"/>
  <c r="D78" i="83"/>
  <c r="G52" i="82"/>
  <c r="D76" i="82"/>
  <c r="C76" i="82" s="1"/>
  <c r="B77" i="82"/>
  <c r="G77" i="83" l="1"/>
  <c r="H11" i="75"/>
  <c r="E69" i="83"/>
  <c r="C78" i="83"/>
  <c r="F78" i="83"/>
  <c r="H78" i="83" s="1"/>
  <c r="G78" i="83"/>
  <c r="D79" i="83"/>
  <c r="B80" i="83"/>
  <c r="E52" i="82"/>
  <c r="H53" i="82" s="1"/>
  <c r="B78" i="82"/>
  <c r="D77" i="82"/>
  <c r="C77" i="82" s="1"/>
  <c r="C79" i="83" l="1"/>
  <c r="F79" i="83"/>
  <c r="H79" i="83" s="1"/>
  <c r="H70" i="83"/>
  <c r="G79" i="83"/>
  <c r="B81" i="83"/>
  <c r="D80" i="83"/>
  <c r="G53" i="82"/>
  <c r="B79" i="82"/>
  <c r="D78" i="82"/>
  <c r="C78" i="82" s="1"/>
  <c r="C80" i="83" l="1"/>
  <c r="F80" i="83"/>
  <c r="H80" i="83" s="1"/>
  <c r="I15" i="75"/>
  <c r="G70" i="83"/>
  <c r="G80" i="83"/>
  <c r="B82" i="83"/>
  <c r="D81" i="83"/>
  <c r="E53" i="82"/>
  <c r="H54" i="82" s="1"/>
  <c r="B80" i="82"/>
  <c r="D79" i="82"/>
  <c r="C79" i="82" s="1"/>
  <c r="I11" i="75" l="1"/>
  <c r="E70" i="83"/>
  <c r="C81" i="83"/>
  <c r="F81" i="83"/>
  <c r="H81" i="83" s="1"/>
  <c r="D82" i="83"/>
  <c r="B83" i="83"/>
  <c r="G54" i="82"/>
  <c r="D80" i="82"/>
  <c r="C80" i="82" s="1"/>
  <c r="B81" i="82"/>
  <c r="C82" i="83" l="1"/>
  <c r="F82" i="83"/>
  <c r="H82" i="83" s="1"/>
  <c r="H71" i="83"/>
  <c r="G81" i="83"/>
  <c r="B84" i="83"/>
  <c r="D83" i="83"/>
  <c r="E54" i="82"/>
  <c r="H55" i="82" s="1"/>
  <c r="B82" i="82"/>
  <c r="D81" i="82"/>
  <c r="C81" i="82" s="1"/>
  <c r="C83" i="83" l="1"/>
  <c r="F83" i="83"/>
  <c r="H83" i="83" s="1"/>
  <c r="J15" i="75"/>
  <c r="G71" i="83"/>
  <c r="G82" i="83"/>
  <c r="G83" i="83"/>
  <c r="D84" i="83"/>
  <c r="B85" i="83"/>
  <c r="G55" i="82"/>
  <c r="D82" i="82"/>
  <c r="C82" i="82" s="1"/>
  <c r="B83" i="82"/>
  <c r="C84" i="83" l="1"/>
  <c r="F84" i="83"/>
  <c r="H84" i="83" s="1"/>
  <c r="J11" i="75"/>
  <c r="E71" i="83"/>
  <c r="E72" i="83" s="1"/>
  <c r="E73" i="83" s="1"/>
  <c r="E74" i="83" s="1"/>
  <c r="E75" i="83" s="1"/>
  <c r="E76" i="83" s="1"/>
  <c r="E77" i="83" s="1"/>
  <c r="E78" i="83" s="1"/>
  <c r="E79" i="83" s="1"/>
  <c r="E80" i="83" s="1"/>
  <c r="E81" i="83" s="1"/>
  <c r="E82" i="83" s="1"/>
  <c r="E83" i="83" s="1"/>
  <c r="B86" i="83"/>
  <c r="D85" i="83"/>
  <c r="E55" i="82"/>
  <c r="H56" i="82" s="1"/>
  <c r="B84" i="82"/>
  <c r="D83" i="82"/>
  <c r="C83" i="82" s="1"/>
  <c r="C85" i="83" l="1"/>
  <c r="F85" i="83"/>
  <c r="H85" i="83" s="1"/>
  <c r="G84" i="83"/>
  <c r="E84" i="83" s="1"/>
  <c r="G85" i="83"/>
  <c r="D86" i="83"/>
  <c r="B87" i="83"/>
  <c r="G56" i="82"/>
  <c r="E56" i="82"/>
  <c r="H57" i="82" s="1"/>
  <c r="B85" i="82"/>
  <c r="D84" i="82"/>
  <c r="C84" i="82" s="1"/>
  <c r="C86" i="83" l="1"/>
  <c r="F86" i="83"/>
  <c r="H86" i="83" s="1"/>
  <c r="E85" i="83"/>
  <c r="B88" i="83"/>
  <c r="D87" i="83"/>
  <c r="G86" i="83"/>
  <c r="E86" i="83" s="1"/>
  <c r="G57" i="82"/>
  <c r="D85" i="82"/>
  <c r="C85" i="82" s="1"/>
  <c r="B86" i="82"/>
  <c r="C87" i="83" l="1"/>
  <c r="F87" i="83"/>
  <c r="H87" i="83" s="1"/>
  <c r="B89" i="83"/>
  <c r="D88" i="83"/>
  <c r="E57" i="82"/>
  <c r="H58" i="82" s="1"/>
  <c r="B87" i="82"/>
  <c r="D86" i="82"/>
  <c r="C86" i="82" s="1"/>
  <c r="C88" i="83" l="1"/>
  <c r="F88" i="83"/>
  <c r="H88" i="83" s="1"/>
  <c r="G87" i="83"/>
  <c r="E87" i="83" s="1"/>
  <c r="B90" i="83"/>
  <c r="D89" i="83"/>
  <c r="G58" i="82"/>
  <c r="D87" i="82"/>
  <c r="C87" i="82" s="1"/>
  <c r="B88" i="82"/>
  <c r="G88" i="83" l="1"/>
  <c r="C89" i="83"/>
  <c r="F89" i="83"/>
  <c r="H89" i="83" s="1"/>
  <c r="G89" i="83" s="1"/>
  <c r="E88" i="83"/>
  <c r="B91" i="83"/>
  <c r="D90" i="83"/>
  <c r="E58" i="82"/>
  <c r="H59" i="82" s="1"/>
  <c r="B89" i="82"/>
  <c r="D88" i="82"/>
  <c r="C88" i="82" s="1"/>
  <c r="E89" i="83" l="1"/>
  <c r="C90" i="83"/>
  <c r="F90" i="83"/>
  <c r="H90" i="83" s="1"/>
  <c r="G90" i="83"/>
  <c r="E90" i="83" s="1"/>
  <c r="D91" i="83"/>
  <c r="B92" i="83"/>
  <c r="G59" i="82"/>
  <c r="D89" i="82"/>
  <c r="C89" i="82" s="1"/>
  <c r="B90" i="82"/>
  <c r="C91" i="83" l="1"/>
  <c r="F91" i="83"/>
  <c r="H91" i="83" s="1"/>
  <c r="B93" i="83"/>
  <c r="D92" i="83"/>
  <c r="G91" i="83"/>
  <c r="E91" i="83" s="1"/>
  <c r="E59" i="82"/>
  <c r="H60" i="82" s="1"/>
  <c r="D90" i="82"/>
  <c r="C90" i="82" s="1"/>
  <c r="B91" i="82"/>
  <c r="C92" i="83" l="1"/>
  <c r="F92" i="83"/>
  <c r="H92" i="83" s="1"/>
  <c r="G92" i="83"/>
  <c r="E92" i="83" s="1"/>
  <c r="D93" i="83"/>
  <c r="B94" i="83"/>
  <c r="G60" i="82"/>
  <c r="D91" i="82"/>
  <c r="C91" i="82" s="1"/>
  <c r="B92" i="82"/>
  <c r="C93" i="83" l="1"/>
  <c r="F93" i="83"/>
  <c r="H93" i="83" s="1"/>
  <c r="B95" i="83"/>
  <c r="D94" i="83"/>
  <c r="G93" i="83"/>
  <c r="E93" i="83" s="1"/>
  <c r="E60" i="82"/>
  <c r="H61" i="82" s="1"/>
  <c r="B93" i="82"/>
  <c r="D92" i="82"/>
  <c r="C92" i="82" s="1"/>
  <c r="C94" i="83" l="1"/>
  <c r="F94" i="83"/>
  <c r="H94" i="83" s="1"/>
  <c r="G94" i="83"/>
  <c r="E94" i="83" s="1"/>
  <c r="D95" i="83"/>
  <c r="B96" i="83"/>
  <c r="G61" i="82"/>
  <c r="B94" i="82"/>
  <c r="D93" i="82"/>
  <c r="C93" i="82" s="1"/>
  <c r="C95" i="83" l="1"/>
  <c r="F95" i="83"/>
  <c r="H95" i="83" s="1"/>
  <c r="B97" i="83"/>
  <c r="D96" i="83"/>
  <c r="G95" i="83"/>
  <c r="E95" i="83" s="1"/>
  <c r="E61" i="82"/>
  <c r="H62" i="82" s="1"/>
  <c r="B95" i="82"/>
  <c r="D94" i="82"/>
  <c r="C94" i="82" s="1"/>
  <c r="C96" i="83" l="1"/>
  <c r="F96" i="83"/>
  <c r="H96" i="83" s="1"/>
  <c r="B98" i="83"/>
  <c r="D97" i="83"/>
  <c r="G62" i="82"/>
  <c r="B96" i="82"/>
  <c r="D95" i="82"/>
  <c r="C95" i="82" s="1"/>
  <c r="C97" i="83" l="1"/>
  <c r="F97" i="83"/>
  <c r="H97" i="83" s="1"/>
  <c r="G96" i="83"/>
  <c r="E96" i="83" s="1"/>
  <c r="B99" i="83"/>
  <c r="D98" i="83"/>
  <c r="G97" i="83"/>
  <c r="E62" i="82"/>
  <c r="H63" i="82" s="1"/>
  <c r="B97" i="82"/>
  <c r="D96" i="82"/>
  <c r="C96" i="82" s="1"/>
  <c r="E97" i="83" l="1"/>
  <c r="C98" i="83"/>
  <c r="F98" i="83"/>
  <c r="H98" i="83" s="1"/>
  <c r="G98" i="83"/>
  <c r="E98" i="83" s="1"/>
  <c r="B100" i="83"/>
  <c r="D99" i="83"/>
  <c r="G63" i="82"/>
  <c r="B98" i="82"/>
  <c r="D97" i="82"/>
  <c r="C97" i="82" s="1"/>
  <c r="C99" i="83" l="1"/>
  <c r="F99" i="83"/>
  <c r="H99" i="83" s="1"/>
  <c r="G99" i="83" s="1"/>
  <c r="E99" i="83" s="1"/>
  <c r="D100" i="83"/>
  <c r="B101" i="83"/>
  <c r="E63" i="82"/>
  <c r="H64" i="82" s="1"/>
  <c r="D98" i="82"/>
  <c r="C98" i="82" s="1"/>
  <c r="B99" i="82"/>
  <c r="C100" i="83" l="1"/>
  <c r="F100" i="83"/>
  <c r="H100" i="83" s="1"/>
  <c r="B102" i="83"/>
  <c r="D101" i="83"/>
  <c r="G100" i="83"/>
  <c r="E100" i="83" s="1"/>
  <c r="G64" i="82"/>
  <c r="E64" i="82" s="1"/>
  <c r="H65" i="82" s="1"/>
  <c r="B100" i="82"/>
  <c r="D99" i="82"/>
  <c r="C99" i="82" s="1"/>
  <c r="C101" i="83" l="1"/>
  <c r="F101" i="83"/>
  <c r="H101" i="83" s="1"/>
  <c r="D102" i="83"/>
  <c r="B103" i="83"/>
  <c r="G65" i="82"/>
  <c r="D100" i="82"/>
  <c r="C100" i="82" s="1"/>
  <c r="B101" i="82"/>
  <c r="G101" i="83" l="1"/>
  <c r="E101" i="83" s="1"/>
  <c r="C102" i="83"/>
  <c r="F102" i="83"/>
  <c r="H102" i="83" s="1"/>
  <c r="B104" i="83"/>
  <c r="D103" i="83"/>
  <c r="G102" i="83"/>
  <c r="E102" i="83" s="1"/>
  <c r="E65" i="82"/>
  <c r="H66" i="82" s="1"/>
  <c r="G66" i="82" s="1"/>
  <c r="B102" i="82"/>
  <c r="D101" i="82"/>
  <c r="C101" i="82" s="1"/>
  <c r="C103" i="83" l="1"/>
  <c r="F103" i="83"/>
  <c r="H103" i="83" s="1"/>
  <c r="B105" i="83"/>
  <c r="D104" i="83"/>
  <c r="E66" i="82"/>
  <c r="H67" i="82" s="1"/>
  <c r="B103" i="82"/>
  <c r="D102" i="82"/>
  <c r="C102" i="82" s="1"/>
  <c r="C104" i="83" l="1"/>
  <c r="F104" i="83"/>
  <c r="H104" i="83" s="1"/>
  <c r="G103" i="83"/>
  <c r="E103" i="83" s="1"/>
  <c r="B106" i="83"/>
  <c r="D105" i="83"/>
  <c r="G104" i="83"/>
  <c r="E104" i="83" s="1"/>
  <c r="G67" i="82"/>
  <c r="B104" i="82"/>
  <c r="D103" i="82"/>
  <c r="C103" i="82" s="1"/>
  <c r="C105" i="83" l="1"/>
  <c r="F105" i="83"/>
  <c r="H105" i="83" s="1"/>
  <c r="B107" i="83"/>
  <c r="D106" i="83"/>
  <c r="E67" i="82"/>
  <c r="H68" i="82" s="1"/>
  <c r="B105" i="82"/>
  <c r="D104" i="82"/>
  <c r="C104" i="82" s="1"/>
  <c r="C106" i="83" l="1"/>
  <c r="F106" i="83"/>
  <c r="H106" i="83" s="1"/>
  <c r="G105" i="83"/>
  <c r="E105" i="83" s="1"/>
  <c r="G106" i="83"/>
  <c r="D107" i="83"/>
  <c r="B108" i="83"/>
  <c r="G68" i="82"/>
  <c r="D105" i="82"/>
  <c r="C105" i="82" s="1"/>
  <c r="B106" i="82"/>
  <c r="E106" i="83" l="1"/>
  <c r="C107" i="83"/>
  <c r="F107" i="83"/>
  <c r="H107" i="83" s="1"/>
  <c r="B109" i="83"/>
  <c r="D108" i="83"/>
  <c r="G107" i="83"/>
  <c r="E107" i="83" s="1"/>
  <c r="E68" i="82"/>
  <c r="H69" i="82" s="1"/>
  <c r="D106" i="82"/>
  <c r="C106" i="82" s="1"/>
  <c r="B107" i="82"/>
  <c r="C108" i="83" l="1"/>
  <c r="F108" i="83"/>
  <c r="H108" i="83" s="1"/>
  <c r="G108" i="83"/>
  <c r="E108" i="83" s="1"/>
  <c r="D109" i="83"/>
  <c r="B110" i="83"/>
  <c r="G69" i="82"/>
  <c r="D107" i="82"/>
  <c r="C107" i="82" s="1"/>
  <c r="B108" i="82"/>
  <c r="C109" i="83" l="1"/>
  <c r="F109" i="83"/>
  <c r="H109" i="83" s="1"/>
  <c r="B111" i="83"/>
  <c r="D110" i="83"/>
  <c r="G109" i="83"/>
  <c r="E109" i="83" s="1"/>
  <c r="E69" i="82"/>
  <c r="H70" i="82" s="1"/>
  <c r="B109" i="82"/>
  <c r="D108" i="82"/>
  <c r="C108" i="82" s="1"/>
  <c r="C110" i="83" l="1"/>
  <c r="F110" i="83"/>
  <c r="H110" i="83" s="1"/>
  <c r="D111" i="83"/>
  <c r="B112" i="83"/>
  <c r="G70" i="82"/>
  <c r="D109" i="82"/>
  <c r="C109" i="82" s="1"/>
  <c r="B110" i="82"/>
  <c r="C111" i="83" l="1"/>
  <c r="F111" i="83"/>
  <c r="H111" i="83" s="1"/>
  <c r="G110" i="83"/>
  <c r="E110" i="83" s="1"/>
  <c r="B113" i="83"/>
  <c r="D112" i="83"/>
  <c r="G111" i="83"/>
  <c r="E111" i="83" s="1"/>
  <c r="E70" i="82"/>
  <c r="H71" i="82" s="1"/>
  <c r="B111" i="82"/>
  <c r="D110" i="82"/>
  <c r="C110" i="82" s="1"/>
  <c r="C112" i="83" l="1"/>
  <c r="F112" i="83"/>
  <c r="H112" i="83" s="1"/>
  <c r="G112" i="83"/>
  <c r="E112" i="83" s="1"/>
  <c r="B114" i="83"/>
  <c r="D113" i="83"/>
  <c r="G71" i="82"/>
  <c r="D111" i="82"/>
  <c r="C111" i="82" s="1"/>
  <c r="B112" i="82"/>
  <c r="C113" i="83" l="1"/>
  <c r="F113" i="83"/>
  <c r="H113" i="83" s="1"/>
  <c r="D114" i="83"/>
  <c r="B115" i="83"/>
  <c r="E71" i="82"/>
  <c r="H72" i="82" s="1"/>
  <c r="B113" i="82"/>
  <c r="D112" i="82"/>
  <c r="C112" i="82" s="1"/>
  <c r="C114" i="83" l="1"/>
  <c r="F114" i="83"/>
  <c r="H114" i="83" s="1"/>
  <c r="G113" i="83"/>
  <c r="E113" i="83" s="1"/>
  <c r="G114" i="83"/>
  <c r="E114" i="83" s="1"/>
  <c r="B116" i="83"/>
  <c r="D115" i="83"/>
  <c r="G72" i="82"/>
  <c r="E72" i="82" s="1"/>
  <c r="H73" i="82" s="1"/>
  <c r="B114" i="82"/>
  <c r="D113" i="82"/>
  <c r="C113" i="82" s="1"/>
  <c r="C115" i="83" l="1"/>
  <c r="F115" i="83"/>
  <c r="H115" i="83" s="1"/>
  <c r="G115" i="83"/>
  <c r="E115" i="83" s="1"/>
  <c r="D116" i="83"/>
  <c r="B117" i="83"/>
  <c r="G73" i="82"/>
  <c r="D114" i="82"/>
  <c r="C114" i="82" s="1"/>
  <c r="B115" i="82"/>
  <c r="C116" i="83" l="1"/>
  <c r="F116" i="83"/>
  <c r="H116" i="83" s="1"/>
  <c r="B118" i="83"/>
  <c r="D117" i="83"/>
  <c r="G116" i="83"/>
  <c r="E116" i="83" s="1"/>
  <c r="E73" i="82"/>
  <c r="H74" i="82" s="1"/>
  <c r="B116" i="82"/>
  <c r="D115" i="82"/>
  <c r="C115" i="82" s="1"/>
  <c r="C117" i="83" l="1"/>
  <c r="F117" i="83"/>
  <c r="H117" i="83" s="1"/>
  <c r="D118" i="83"/>
  <c r="B119" i="83"/>
  <c r="G74" i="82"/>
  <c r="D116" i="82"/>
  <c r="C116" i="82" s="1"/>
  <c r="B117" i="82"/>
  <c r="G117" i="83" l="1"/>
  <c r="E117" i="83" s="1"/>
  <c r="C118" i="83"/>
  <c r="F118" i="83"/>
  <c r="H118" i="83" s="1"/>
  <c r="B120" i="83"/>
  <c r="D119" i="83"/>
  <c r="G118" i="83"/>
  <c r="E118" i="83" s="1"/>
  <c r="E74" i="82"/>
  <c r="H75" i="82" s="1"/>
  <c r="B118" i="82"/>
  <c r="D117" i="82"/>
  <c r="C117" i="82" s="1"/>
  <c r="C119" i="83" l="1"/>
  <c r="F119" i="83"/>
  <c r="H119" i="83" s="1"/>
  <c r="B121" i="83"/>
  <c r="D120" i="83"/>
  <c r="G75" i="82"/>
  <c r="B119" i="82"/>
  <c r="D118" i="82"/>
  <c r="C118" i="82" s="1"/>
  <c r="C120" i="83" l="1"/>
  <c r="F120" i="83"/>
  <c r="H120" i="83" s="1"/>
  <c r="G119" i="83"/>
  <c r="E119" i="83" s="1"/>
  <c r="B122" i="83"/>
  <c r="D121" i="83"/>
  <c r="G120" i="83"/>
  <c r="E120" i="83" s="1"/>
  <c r="E75" i="82"/>
  <c r="H76" i="82" s="1"/>
  <c r="D119" i="82"/>
  <c r="C119" i="82" s="1"/>
  <c r="B120" i="82"/>
  <c r="C121" i="83" l="1"/>
  <c r="F121" i="83"/>
  <c r="H121" i="83" s="1"/>
  <c r="B123" i="83"/>
  <c r="D122" i="83"/>
  <c r="G76" i="82"/>
  <c r="E76" i="82" s="1"/>
  <c r="H77" i="82" s="1"/>
  <c r="D120" i="82"/>
  <c r="C120" i="82" s="1"/>
  <c r="B121" i="82"/>
  <c r="C122" i="83" l="1"/>
  <c r="F122" i="83"/>
  <c r="H122" i="83" s="1"/>
  <c r="G121" i="83"/>
  <c r="E121" i="83" s="1"/>
  <c r="G122" i="83"/>
  <c r="E122" i="83" s="1"/>
  <c r="D123" i="83"/>
  <c r="B124" i="83"/>
  <c r="G77" i="82"/>
  <c r="B122" i="82"/>
  <c r="D121" i="82"/>
  <c r="C121" i="82" s="1"/>
  <c r="C123" i="83" l="1"/>
  <c r="F123" i="83"/>
  <c r="H123" i="83" s="1"/>
  <c r="B125" i="83"/>
  <c r="D124" i="83"/>
  <c r="G123" i="83"/>
  <c r="E123" i="83" s="1"/>
  <c r="E77" i="82"/>
  <c r="H78" i="82" s="1"/>
  <c r="D122" i="82"/>
  <c r="C122" i="82" s="1"/>
  <c r="B123" i="82"/>
  <c r="C124" i="83" l="1"/>
  <c r="F124" i="83"/>
  <c r="H124" i="83" s="1"/>
  <c r="G124" i="83"/>
  <c r="E124" i="83" s="1"/>
  <c r="D125" i="83"/>
  <c r="B126" i="83"/>
  <c r="G78" i="82"/>
  <c r="B124" i="82"/>
  <c r="D123" i="82"/>
  <c r="C123" i="82" s="1"/>
  <c r="C125" i="83" l="1"/>
  <c r="F125" i="83"/>
  <c r="H125" i="83" s="1"/>
  <c r="B127" i="83"/>
  <c r="D126" i="83"/>
  <c r="G125" i="83"/>
  <c r="E125" i="83" s="1"/>
  <c r="E78" i="82"/>
  <c r="H79" i="82" s="1"/>
  <c r="D124" i="82"/>
  <c r="C124" i="82" s="1"/>
  <c r="B125" i="82"/>
  <c r="C126" i="83" l="1"/>
  <c r="F126" i="83"/>
  <c r="H126" i="83" s="1"/>
  <c r="D127" i="83"/>
  <c r="B128" i="83"/>
  <c r="G79" i="82"/>
  <c r="E79" i="82" s="1"/>
  <c r="H80" i="82" s="1"/>
  <c r="G80" i="82" s="1"/>
  <c r="E80" i="82" s="1"/>
  <c r="H81" i="82" s="1"/>
  <c r="B126" i="82"/>
  <c r="D125" i="82"/>
  <c r="C125" i="82" s="1"/>
  <c r="C127" i="83" l="1"/>
  <c r="F127" i="83"/>
  <c r="H127" i="83" s="1"/>
  <c r="G126" i="83"/>
  <c r="E126" i="83" s="1"/>
  <c r="D128" i="83"/>
  <c r="B129" i="83"/>
  <c r="G127" i="83"/>
  <c r="G81" i="82"/>
  <c r="E81" i="82" s="1"/>
  <c r="H82" i="82" s="1"/>
  <c r="B127" i="82"/>
  <c r="D126" i="82"/>
  <c r="C126" i="82" s="1"/>
  <c r="E127" i="83" l="1"/>
  <c r="C128" i="83"/>
  <c r="F128" i="83"/>
  <c r="H128" i="83" s="1"/>
  <c r="B130" i="83"/>
  <c r="D129" i="83"/>
  <c r="G82" i="82"/>
  <c r="D127" i="82"/>
  <c r="C127" i="82" s="1"/>
  <c r="B128" i="82"/>
  <c r="C129" i="83" l="1"/>
  <c r="F129" i="83"/>
  <c r="H129" i="83" s="1"/>
  <c r="G128" i="83"/>
  <c r="E128" i="83" s="1"/>
  <c r="G129" i="83"/>
  <c r="E129" i="83" s="1"/>
  <c r="B131" i="83"/>
  <c r="D130" i="83"/>
  <c r="B129" i="82"/>
  <c r="D128" i="82"/>
  <c r="C128" i="82" s="1"/>
  <c r="E82" i="82"/>
  <c r="H83" i="82" s="1"/>
  <c r="C130" i="83" l="1"/>
  <c r="F130" i="83"/>
  <c r="H130" i="83" s="1"/>
  <c r="B132" i="83"/>
  <c r="D131" i="83"/>
  <c r="G130" i="83"/>
  <c r="E130" i="83" s="1"/>
  <c r="G83" i="82"/>
  <c r="D129" i="82"/>
  <c r="C129" i="82" s="1"/>
  <c r="B130" i="82"/>
  <c r="C131" i="83" l="1"/>
  <c r="F131" i="83"/>
  <c r="H131" i="83" s="1"/>
  <c r="D132" i="83"/>
  <c r="B133" i="83"/>
  <c r="D130" i="82"/>
  <c r="C130" i="82" s="1"/>
  <c r="B131" i="82"/>
  <c r="E83" i="82"/>
  <c r="H84" i="82" s="1"/>
  <c r="C132" i="83" l="1"/>
  <c r="F132" i="83"/>
  <c r="H132" i="83" s="1"/>
  <c r="G131" i="83"/>
  <c r="E131" i="83" s="1"/>
  <c r="G132" i="83"/>
  <c r="E132" i="83" s="1"/>
  <c r="B134" i="83"/>
  <c r="D133" i="83"/>
  <c r="G84" i="82"/>
  <c r="B132" i="82"/>
  <c r="D131" i="82"/>
  <c r="C131" i="82" s="1"/>
  <c r="C133" i="83" l="1"/>
  <c r="F133" i="83"/>
  <c r="H133" i="83" s="1"/>
  <c r="G133" i="83" s="1"/>
  <c r="E133" i="83" s="1"/>
  <c r="D134" i="83"/>
  <c r="B135" i="83"/>
  <c r="B133" i="82"/>
  <c r="D132" i="82"/>
  <c r="C132" i="82" s="1"/>
  <c r="E84" i="82"/>
  <c r="H85" i="82" s="1"/>
  <c r="C134" i="83" l="1"/>
  <c r="F134" i="83"/>
  <c r="H134" i="83" s="1"/>
  <c r="B136" i="83"/>
  <c r="D135" i="83"/>
  <c r="G134" i="83"/>
  <c r="E134" i="83" s="1"/>
  <c r="G85" i="82"/>
  <c r="B134" i="82"/>
  <c r="D133" i="82"/>
  <c r="C133" i="82" s="1"/>
  <c r="C135" i="83" l="1"/>
  <c r="F135" i="83"/>
  <c r="H135" i="83" s="1"/>
  <c r="B137" i="83"/>
  <c r="D136" i="83"/>
  <c r="E85" i="82"/>
  <c r="H86" i="82" s="1"/>
  <c r="G86" i="82" s="1"/>
  <c r="B135" i="82"/>
  <c r="D134" i="82"/>
  <c r="C134" i="82" s="1"/>
  <c r="G135" i="83" l="1"/>
  <c r="E135" i="83" s="1"/>
  <c r="C136" i="83"/>
  <c r="F136" i="83"/>
  <c r="H136" i="83" s="1"/>
  <c r="D137" i="83"/>
  <c r="B138" i="83"/>
  <c r="E86" i="82"/>
  <c r="H87" i="82" s="1"/>
  <c r="B136" i="82"/>
  <c r="D135" i="82"/>
  <c r="C135" i="82" s="1"/>
  <c r="C137" i="83" l="1"/>
  <c r="F137" i="83"/>
  <c r="H137" i="83" s="1"/>
  <c r="G136" i="83"/>
  <c r="E136" i="83" s="1"/>
  <c r="B139" i="83"/>
  <c r="D138" i="83"/>
  <c r="G137" i="83"/>
  <c r="E137" i="83" s="1"/>
  <c r="D136" i="82"/>
  <c r="C136" i="82" s="1"/>
  <c r="B137" i="82"/>
  <c r="G87" i="82"/>
  <c r="C138" i="83" l="1"/>
  <c r="F138" i="83"/>
  <c r="H138" i="83" s="1"/>
  <c r="G138" i="83"/>
  <c r="E138" i="83" s="1"/>
  <c r="D139" i="83"/>
  <c r="B140" i="83"/>
  <c r="B138" i="82"/>
  <c r="D137" i="82"/>
  <c r="C137" i="82" s="1"/>
  <c r="E87" i="82"/>
  <c r="H88" i="82" s="1"/>
  <c r="C139" i="83" l="1"/>
  <c r="F139" i="83"/>
  <c r="H139" i="83" s="1"/>
  <c r="B141" i="83"/>
  <c r="D140" i="83"/>
  <c r="G88" i="82"/>
  <c r="E88" i="82" s="1"/>
  <c r="H89" i="82" s="1"/>
  <c r="D138" i="82"/>
  <c r="C138" i="82" s="1"/>
  <c r="B139" i="82"/>
  <c r="C140" i="83" l="1"/>
  <c r="F140" i="83"/>
  <c r="H140" i="83" s="1"/>
  <c r="G139" i="83"/>
  <c r="E139" i="83" s="1"/>
  <c r="D141" i="83"/>
  <c r="B142" i="83"/>
  <c r="G140" i="83"/>
  <c r="E140" i="83" s="1"/>
  <c r="D139" i="82"/>
  <c r="C139" i="82" s="1"/>
  <c r="B140" i="82"/>
  <c r="G89" i="82"/>
  <c r="C141" i="83" l="1"/>
  <c r="F141" i="83"/>
  <c r="H141" i="83" s="1"/>
  <c r="G141" i="83"/>
  <c r="E141" i="83" s="1"/>
  <c r="B143" i="83"/>
  <c r="D142" i="83"/>
  <c r="E89" i="82"/>
  <c r="H90" i="82" s="1"/>
  <c r="B141" i="82"/>
  <c r="D140" i="82"/>
  <c r="C140" i="82" s="1"/>
  <c r="C142" i="83" l="1"/>
  <c r="F142" i="83"/>
  <c r="H142" i="83" s="1"/>
  <c r="D143" i="83"/>
  <c r="B144" i="83"/>
  <c r="D141" i="82"/>
  <c r="C141" i="82" s="1"/>
  <c r="B142" i="82"/>
  <c r="G90" i="82"/>
  <c r="C143" i="83" l="1"/>
  <c r="F143" i="83"/>
  <c r="H143" i="83" s="1"/>
  <c r="G142" i="83"/>
  <c r="E142" i="83" s="1"/>
  <c r="B145" i="83"/>
  <c r="D144" i="83"/>
  <c r="G143" i="83"/>
  <c r="E143" i="83" s="1"/>
  <c r="E90" i="82"/>
  <c r="H91" i="82" s="1"/>
  <c r="B143" i="82"/>
  <c r="D142" i="82"/>
  <c r="C142" i="82" s="1"/>
  <c r="C144" i="83" l="1"/>
  <c r="F144" i="83"/>
  <c r="H144" i="83" s="1"/>
  <c r="B146" i="83"/>
  <c r="D145" i="83"/>
  <c r="B144" i="82"/>
  <c r="D143" i="82"/>
  <c r="C143" i="82" s="1"/>
  <c r="G91" i="82"/>
  <c r="E91" i="82" s="1"/>
  <c r="H92" i="82" s="1"/>
  <c r="C145" i="83" l="1"/>
  <c r="F145" i="83"/>
  <c r="H145" i="83" s="1"/>
  <c r="G144" i="83"/>
  <c r="E144" i="83" s="1"/>
  <c r="G145" i="83"/>
  <c r="B147" i="83"/>
  <c r="D146" i="83"/>
  <c r="D144" i="82"/>
  <c r="C144" i="82" s="1"/>
  <c r="B145" i="82"/>
  <c r="G92" i="82"/>
  <c r="E92" i="82" s="1"/>
  <c r="H93" i="82" s="1"/>
  <c r="E145" i="83" l="1"/>
  <c r="C146" i="83"/>
  <c r="F146" i="83"/>
  <c r="H146" i="83" s="1"/>
  <c r="B148" i="83"/>
  <c r="D147" i="83"/>
  <c r="G146" i="83"/>
  <c r="E146" i="83" s="1"/>
  <c r="G93" i="82"/>
  <c r="E93" i="82" s="1"/>
  <c r="H94" i="82" s="1"/>
  <c r="B146" i="82"/>
  <c r="D145" i="82"/>
  <c r="C145" i="82" s="1"/>
  <c r="C147" i="83" l="1"/>
  <c r="F147" i="83"/>
  <c r="H147" i="83" s="1"/>
  <c r="G147" i="83"/>
  <c r="E147" i="83" s="1"/>
  <c r="D148" i="83"/>
  <c r="B149" i="83"/>
  <c r="G94" i="82"/>
  <c r="D146" i="82"/>
  <c r="C146" i="82" s="1"/>
  <c r="B147" i="82"/>
  <c r="C148" i="83" l="1"/>
  <c r="F148" i="83"/>
  <c r="H148" i="83" s="1"/>
  <c r="B150" i="83"/>
  <c r="D149" i="83"/>
  <c r="G148" i="83"/>
  <c r="E148" i="83" s="1"/>
  <c r="B148" i="82"/>
  <c r="D147" i="82"/>
  <c r="C147" i="82" s="1"/>
  <c r="E94" i="82"/>
  <c r="H95" i="82" s="1"/>
  <c r="C149" i="83" l="1"/>
  <c r="F149" i="83"/>
  <c r="H149" i="83" s="1"/>
  <c r="D150" i="83"/>
  <c r="B151" i="83"/>
  <c r="G95" i="82"/>
  <c r="D148" i="82"/>
  <c r="C148" i="82" s="1"/>
  <c r="B149" i="82"/>
  <c r="C150" i="83" l="1"/>
  <c r="F150" i="83"/>
  <c r="H150" i="83" s="1"/>
  <c r="G149" i="83"/>
  <c r="E149" i="83" s="1"/>
  <c r="B152" i="83"/>
  <c r="D151" i="83"/>
  <c r="G150" i="83"/>
  <c r="E150" i="83" s="1"/>
  <c r="D149" i="82"/>
  <c r="C149" i="82" s="1"/>
  <c r="B150" i="82"/>
  <c r="E95" i="82"/>
  <c r="H96" i="82" s="1"/>
  <c r="C151" i="83" l="1"/>
  <c r="F151" i="83"/>
  <c r="H151" i="83" s="1"/>
  <c r="B153" i="83"/>
  <c r="D152" i="83"/>
  <c r="B151" i="82"/>
  <c r="D150" i="82"/>
  <c r="C150" i="82" s="1"/>
  <c r="G96" i="82"/>
  <c r="E96" i="82" s="1"/>
  <c r="H97" i="82" s="1"/>
  <c r="C152" i="83" l="1"/>
  <c r="F152" i="83"/>
  <c r="H152" i="83" s="1"/>
  <c r="G151" i="83"/>
  <c r="E151" i="83" s="1"/>
  <c r="G152" i="83"/>
  <c r="E152" i="83" s="1"/>
  <c r="D153" i="83"/>
  <c r="B154" i="83"/>
  <c r="G97" i="82"/>
  <c r="D151" i="82"/>
  <c r="C151" i="82" s="1"/>
  <c r="B152" i="82"/>
  <c r="C153" i="83" l="1"/>
  <c r="F153" i="83"/>
  <c r="H153" i="83" s="1"/>
  <c r="B155" i="83"/>
  <c r="D154" i="83"/>
  <c r="G153" i="83"/>
  <c r="E153" i="83" s="1"/>
  <c r="B153" i="82"/>
  <c r="D152" i="82"/>
  <c r="C152" i="82" s="1"/>
  <c r="E97" i="82"/>
  <c r="H98" i="82" s="1"/>
  <c r="C154" i="83" l="1"/>
  <c r="F154" i="83"/>
  <c r="H154" i="83" s="1"/>
  <c r="D155" i="83"/>
  <c r="B156" i="83"/>
  <c r="G98" i="82"/>
  <c r="D153" i="82"/>
  <c r="C153" i="82" s="1"/>
  <c r="B154" i="82"/>
  <c r="C155" i="83" l="1"/>
  <c r="F155" i="83"/>
  <c r="H155" i="83" s="1"/>
  <c r="G154" i="83"/>
  <c r="E154" i="83" s="1"/>
  <c r="B157" i="83"/>
  <c r="D156" i="83"/>
  <c r="G155" i="83"/>
  <c r="E155" i="83" s="1"/>
  <c r="E98" i="82"/>
  <c r="H99" i="82" s="1"/>
  <c r="D154" i="82"/>
  <c r="C154" i="82" s="1"/>
  <c r="B155" i="82"/>
  <c r="C156" i="83" l="1"/>
  <c r="F156" i="83"/>
  <c r="H156" i="83" s="1"/>
  <c r="D157" i="83"/>
  <c r="B158" i="83"/>
  <c r="B156" i="82"/>
  <c r="D155" i="82"/>
  <c r="C155" i="82" s="1"/>
  <c r="G99" i="82"/>
  <c r="C157" i="83" l="1"/>
  <c r="F157" i="83"/>
  <c r="H157" i="83" s="1"/>
  <c r="G156" i="83"/>
  <c r="E156" i="83" s="1"/>
  <c r="B159" i="83"/>
  <c r="D158" i="83"/>
  <c r="G157" i="83"/>
  <c r="E157" i="83" s="1"/>
  <c r="E99" i="82"/>
  <c r="H100" i="82" s="1"/>
  <c r="D156" i="82"/>
  <c r="C156" i="82" s="1"/>
  <c r="B157" i="82"/>
  <c r="C158" i="83" l="1"/>
  <c r="F158" i="83"/>
  <c r="H158" i="83" s="1"/>
  <c r="D159" i="83"/>
  <c r="B160" i="83"/>
  <c r="B158" i="82"/>
  <c r="D157" i="82"/>
  <c r="C157" i="82" s="1"/>
  <c r="G100" i="82"/>
  <c r="G158" i="83" l="1"/>
  <c r="E158" i="83" s="1"/>
  <c r="C159" i="83"/>
  <c r="F159" i="83"/>
  <c r="H159" i="83" s="1"/>
  <c r="D160" i="83"/>
  <c r="B161" i="83"/>
  <c r="E100" i="82"/>
  <c r="H101" i="82" s="1"/>
  <c r="B159" i="82"/>
  <c r="D158" i="82"/>
  <c r="C158" i="82" s="1"/>
  <c r="C160" i="83" l="1"/>
  <c r="F160" i="83"/>
  <c r="H160" i="83" s="1"/>
  <c r="G159" i="83"/>
  <c r="E159" i="83" s="1"/>
  <c r="B162" i="83"/>
  <c r="D161" i="83"/>
  <c r="G160" i="83"/>
  <c r="E160" i="83" s="1"/>
  <c r="B160" i="82"/>
  <c r="D159" i="82"/>
  <c r="C159" i="82" s="1"/>
  <c r="G101" i="82"/>
  <c r="C161" i="83" l="1"/>
  <c r="F161" i="83"/>
  <c r="H161" i="83" s="1"/>
  <c r="B163" i="83"/>
  <c r="D162" i="83"/>
  <c r="E101" i="82"/>
  <c r="H102" i="82" s="1"/>
  <c r="B161" i="82"/>
  <c r="D160" i="82"/>
  <c r="C160" i="82" s="1"/>
  <c r="C162" i="83" l="1"/>
  <c r="F162" i="83"/>
  <c r="H162" i="83" s="1"/>
  <c r="G161" i="83"/>
  <c r="E161" i="83" s="1"/>
  <c r="G162" i="83"/>
  <c r="E162" i="83" s="1"/>
  <c r="B164" i="83"/>
  <c r="D163" i="83"/>
  <c r="D161" i="82"/>
  <c r="C161" i="82" s="1"/>
  <c r="B162" i="82"/>
  <c r="G102" i="82"/>
  <c r="C163" i="83" l="1"/>
  <c r="F163" i="83"/>
  <c r="H163" i="83" s="1"/>
  <c r="D164" i="83"/>
  <c r="B165" i="83"/>
  <c r="D162" i="82"/>
  <c r="B163" i="82"/>
  <c r="C162" i="82"/>
  <c r="E102" i="82"/>
  <c r="C164" i="83" l="1"/>
  <c r="F164" i="83"/>
  <c r="H164" i="83" s="1"/>
  <c r="G163" i="83"/>
  <c r="E163" i="83" s="1"/>
  <c r="H103" i="82"/>
  <c r="C14" i="75" s="1"/>
  <c r="C22" i="75"/>
  <c r="B166" i="83"/>
  <c r="D165" i="83"/>
  <c r="D163" i="82"/>
  <c r="C163" i="82" s="1"/>
  <c r="B164" i="82"/>
  <c r="G103" i="82"/>
  <c r="G164" i="83" l="1"/>
  <c r="C165" i="83"/>
  <c r="F165" i="83"/>
  <c r="H165" i="83" s="1"/>
  <c r="E164" i="83"/>
  <c r="E103" i="82"/>
  <c r="H104" i="82" s="1"/>
  <c r="D14" i="75" s="1"/>
  <c r="C10" i="75"/>
  <c r="G165" i="83"/>
  <c r="E165" i="83" s="1"/>
  <c r="D166" i="83"/>
  <c r="B167" i="83"/>
  <c r="G104" i="82"/>
  <c r="B165" i="82"/>
  <c r="D164" i="82"/>
  <c r="C164" i="82" s="1"/>
  <c r="C166" i="83" l="1"/>
  <c r="F166" i="83"/>
  <c r="H166" i="83" s="1"/>
  <c r="E104" i="82"/>
  <c r="H105" i="82" s="1"/>
  <c r="E14" i="75" s="1"/>
  <c r="D10" i="75"/>
  <c r="B168" i="83"/>
  <c r="D167" i="83"/>
  <c r="G166" i="83"/>
  <c r="E166" i="83" s="1"/>
  <c r="G105" i="82"/>
  <c r="E10" i="75" s="1"/>
  <c r="D165" i="82"/>
  <c r="C165" i="82" s="1"/>
  <c r="B166" i="82"/>
  <c r="C167" i="83" l="1"/>
  <c r="F167" i="83"/>
  <c r="H167" i="83" s="1"/>
  <c r="B169" i="83"/>
  <c r="D168" i="83"/>
  <c r="B167" i="82"/>
  <c r="D166" i="82"/>
  <c r="C166" i="82" s="1"/>
  <c r="E105" i="82"/>
  <c r="H106" i="82" s="1"/>
  <c r="F14" i="75" s="1"/>
  <c r="C168" i="83" l="1"/>
  <c r="F168" i="83"/>
  <c r="H168" i="83" s="1"/>
  <c r="G167" i="83"/>
  <c r="E167" i="83" s="1"/>
  <c r="D169" i="83"/>
  <c r="B170" i="83"/>
  <c r="G168" i="83"/>
  <c r="E168" i="83" s="1"/>
  <c r="G106" i="82"/>
  <c r="F10" i="75" s="1"/>
  <c r="B168" i="82"/>
  <c r="D167" i="82"/>
  <c r="C167" i="82" s="1"/>
  <c r="C169" i="83" l="1"/>
  <c r="F169" i="83"/>
  <c r="H169" i="83" s="1"/>
  <c r="B171" i="83"/>
  <c r="D170" i="83"/>
  <c r="E106" i="82"/>
  <c r="H107" i="82" s="1"/>
  <c r="G14" i="75" s="1"/>
  <c r="D168" i="82"/>
  <c r="C168" i="82" s="1"/>
  <c r="B169" i="82"/>
  <c r="C170" i="83" l="1"/>
  <c r="F170" i="83"/>
  <c r="H170" i="83" s="1"/>
  <c r="G169" i="83"/>
  <c r="E169" i="83" s="1"/>
  <c r="G170" i="83"/>
  <c r="D171" i="83"/>
  <c r="B172" i="83"/>
  <c r="B170" i="82"/>
  <c r="D169" i="82"/>
  <c r="C169" i="82" s="1"/>
  <c r="G107" i="82"/>
  <c r="G10" i="75" s="1"/>
  <c r="E170" i="83" l="1"/>
  <c r="C171" i="83"/>
  <c r="F171" i="83"/>
  <c r="H171" i="83" s="1"/>
  <c r="B173" i="83"/>
  <c r="D172" i="83"/>
  <c r="G171" i="83"/>
  <c r="E171" i="83" s="1"/>
  <c r="E107" i="82"/>
  <c r="H108" i="82" s="1"/>
  <c r="H14" i="75" s="1"/>
  <c r="D170" i="82"/>
  <c r="C170" i="82" s="1"/>
  <c r="B171" i="82"/>
  <c r="C172" i="83" l="1"/>
  <c r="F172" i="83"/>
  <c r="H172" i="83" s="1"/>
  <c r="D173" i="83"/>
  <c r="B174" i="83"/>
  <c r="B172" i="82"/>
  <c r="D171" i="82"/>
  <c r="C171" i="82" s="1"/>
  <c r="G108" i="82"/>
  <c r="H10" i="75" s="1"/>
  <c r="C173" i="83" l="1"/>
  <c r="F173" i="83"/>
  <c r="H173" i="83" s="1"/>
  <c r="G172" i="83"/>
  <c r="E172" i="83" s="1"/>
  <c r="B175" i="83"/>
  <c r="D174" i="83"/>
  <c r="G173" i="83"/>
  <c r="E173" i="83" s="1"/>
  <c r="E108" i="82"/>
  <c r="H109" i="82" s="1"/>
  <c r="I14" i="75" s="1"/>
  <c r="B173" i="82"/>
  <c r="D172" i="82"/>
  <c r="C172" i="82" s="1"/>
  <c r="C174" i="83" l="1"/>
  <c r="F174" i="83"/>
  <c r="H174" i="83" s="1"/>
  <c r="D175" i="83"/>
  <c r="B176" i="83"/>
  <c r="G109" i="82"/>
  <c r="I10" i="75" s="1"/>
  <c r="D173" i="82"/>
  <c r="C173" i="82" s="1"/>
  <c r="B174" i="82"/>
  <c r="C175" i="83" l="1"/>
  <c r="F175" i="83"/>
  <c r="H175" i="83" s="1"/>
  <c r="G174" i="83"/>
  <c r="E174" i="83" s="1"/>
  <c r="B177" i="83"/>
  <c r="D176" i="83"/>
  <c r="G175" i="83"/>
  <c r="E175" i="83" s="1"/>
  <c r="B175" i="82"/>
  <c r="D174" i="82"/>
  <c r="C174" i="82" s="1"/>
  <c r="E109" i="82"/>
  <c r="H110" i="82" s="1"/>
  <c r="J14" i="75" s="1"/>
  <c r="C176" i="83" l="1"/>
  <c r="F176" i="83"/>
  <c r="H176" i="83" s="1"/>
  <c r="G176" i="83"/>
  <c r="E176" i="83" s="1"/>
  <c r="B178" i="83"/>
  <c r="D177" i="83"/>
  <c r="G110" i="82"/>
  <c r="D175" i="82"/>
  <c r="C175" i="82" s="1"/>
  <c r="B176" i="82"/>
  <c r="C177" i="83" l="1"/>
  <c r="F177" i="83"/>
  <c r="H177" i="83" s="1"/>
  <c r="E110" i="82"/>
  <c r="H111" i="82" s="1"/>
  <c r="K14" i="75" s="1"/>
  <c r="J10" i="75"/>
  <c r="D178" i="83"/>
  <c r="B179" i="83"/>
  <c r="G177" i="83"/>
  <c r="E177" i="83" s="1"/>
  <c r="B177" i="82"/>
  <c r="D176" i="82"/>
  <c r="C176" i="82" s="1"/>
  <c r="G111" i="82"/>
  <c r="K10" i="75" s="1"/>
  <c r="C178" i="83" l="1"/>
  <c r="F178" i="83"/>
  <c r="H178" i="83" s="1"/>
  <c r="B180" i="83"/>
  <c r="D179" i="83"/>
  <c r="E111" i="82"/>
  <c r="H112" i="82" s="1"/>
  <c r="L14" i="75" s="1"/>
  <c r="D177" i="82"/>
  <c r="C177" i="82" s="1"/>
  <c r="B178" i="82"/>
  <c r="C179" i="83" l="1"/>
  <c r="F179" i="83"/>
  <c r="H179" i="83" s="1"/>
  <c r="G178" i="83"/>
  <c r="E178" i="83" s="1"/>
  <c r="G179" i="83"/>
  <c r="D180" i="83"/>
  <c r="B181" i="83"/>
  <c r="D178" i="82"/>
  <c r="C178" i="82" s="1"/>
  <c r="B179" i="82"/>
  <c r="G112" i="82"/>
  <c r="L10" i="75" s="1"/>
  <c r="C180" i="83" l="1"/>
  <c r="F180" i="83"/>
  <c r="H180" i="83" s="1"/>
  <c r="E179" i="83"/>
  <c r="B182" i="83"/>
  <c r="D181" i="83"/>
  <c r="G180" i="83"/>
  <c r="E180" i="83" s="1"/>
  <c r="B180" i="82"/>
  <c r="D179" i="82"/>
  <c r="C179" i="82" s="1"/>
  <c r="E112" i="82"/>
  <c r="H113" i="82" s="1"/>
  <c r="M14" i="75" s="1"/>
  <c r="C181" i="83" l="1"/>
  <c r="F181" i="83"/>
  <c r="H181" i="83" s="1"/>
  <c r="G181" i="83"/>
  <c r="E181" i="83" s="1"/>
  <c r="D182" i="83"/>
  <c r="B183" i="83"/>
  <c r="G113" i="82"/>
  <c r="M10" i="75" s="1"/>
  <c r="D180" i="82"/>
  <c r="C180" i="82" s="1"/>
  <c r="B181" i="82"/>
  <c r="C182" i="83" l="1"/>
  <c r="F182" i="83"/>
  <c r="H182" i="83" s="1"/>
  <c r="B184" i="83"/>
  <c r="D183" i="83"/>
  <c r="G182" i="83"/>
  <c r="E182" i="83" s="1"/>
  <c r="B182" i="82"/>
  <c r="D181" i="82"/>
  <c r="C181" i="82" s="1"/>
  <c r="E113" i="82"/>
  <c r="H114" i="82" s="1"/>
  <c r="N14" i="75" s="1"/>
  <c r="C183" i="83" l="1"/>
  <c r="F183" i="83"/>
  <c r="H183" i="83" s="1"/>
  <c r="B185" i="83"/>
  <c r="D184" i="83"/>
  <c r="G114" i="82"/>
  <c r="N10" i="75" s="1"/>
  <c r="B183" i="82"/>
  <c r="D182" i="82"/>
  <c r="C182" i="82" s="1"/>
  <c r="C184" i="83" l="1"/>
  <c r="F184" i="83"/>
  <c r="H184" i="83" s="1"/>
  <c r="G183" i="83"/>
  <c r="E183" i="83" s="1"/>
  <c r="G184" i="83"/>
  <c r="B186" i="83"/>
  <c r="D185" i="83"/>
  <c r="B184" i="82"/>
  <c r="D183" i="82"/>
  <c r="C183" i="82" s="1"/>
  <c r="E114" i="82"/>
  <c r="H115" i="82" s="1"/>
  <c r="E184" i="83" l="1"/>
  <c r="C185" i="83"/>
  <c r="F185" i="83"/>
  <c r="H185" i="83" s="1"/>
  <c r="G185" i="83"/>
  <c r="E185" i="83" s="1"/>
  <c r="B187" i="83"/>
  <c r="D186" i="83"/>
  <c r="D184" i="82"/>
  <c r="C184" i="82" s="1"/>
  <c r="B185" i="82"/>
  <c r="G115" i="82"/>
  <c r="C186" i="83" l="1"/>
  <c r="F186" i="83"/>
  <c r="H186" i="83" s="1"/>
  <c r="D187" i="83"/>
  <c r="B188" i="83"/>
  <c r="B186" i="82"/>
  <c r="D185" i="82"/>
  <c r="C185" i="82" s="1"/>
  <c r="E115" i="82"/>
  <c r="H116" i="82" s="1"/>
  <c r="C187" i="83" l="1"/>
  <c r="F187" i="83"/>
  <c r="H187" i="83" s="1"/>
  <c r="G186" i="83"/>
  <c r="E186" i="83" s="1"/>
  <c r="G187" i="83"/>
  <c r="B189" i="83"/>
  <c r="D188" i="83"/>
  <c r="G116" i="82"/>
  <c r="D186" i="82"/>
  <c r="C186" i="82" s="1"/>
  <c r="B187" i="82"/>
  <c r="C188" i="83" l="1"/>
  <c r="F188" i="83"/>
  <c r="H188" i="83" s="1"/>
  <c r="E187" i="83"/>
  <c r="G188" i="83"/>
  <c r="D189" i="83"/>
  <c r="B190" i="83"/>
  <c r="B188" i="82"/>
  <c r="D187" i="82"/>
  <c r="C187" i="82" s="1"/>
  <c r="E116" i="82"/>
  <c r="H117" i="82" s="1"/>
  <c r="E188" i="83" l="1"/>
  <c r="C189" i="83"/>
  <c r="F189" i="83"/>
  <c r="H189" i="83" s="1"/>
  <c r="B191" i="83"/>
  <c r="D190" i="83"/>
  <c r="G117" i="82"/>
  <c r="D188" i="82"/>
  <c r="C188" i="82" s="1"/>
  <c r="B189" i="82"/>
  <c r="C190" i="83" l="1"/>
  <c r="F190" i="83"/>
  <c r="H190" i="83" s="1"/>
  <c r="G189" i="83"/>
  <c r="E189" i="83" s="1"/>
  <c r="D191" i="83"/>
  <c r="F191" i="83" s="1"/>
  <c r="H191" i="83" s="1"/>
  <c r="B190" i="82"/>
  <c r="D189" i="82"/>
  <c r="C189" i="82" s="1"/>
  <c r="E117" i="82"/>
  <c r="H118" i="82" s="1"/>
  <c r="G190" i="83" l="1"/>
  <c r="E190" i="83" s="1"/>
  <c r="C191" i="83"/>
  <c r="G118" i="82"/>
  <c r="D190" i="82"/>
  <c r="C190" i="82" s="1"/>
  <c r="G19" i="75" l="1"/>
  <c r="H19" i="75"/>
  <c r="F19" i="75"/>
  <c r="I19" i="75"/>
  <c r="L19" i="75"/>
  <c r="E19" i="75"/>
  <c r="C19" i="75"/>
  <c r="G191" i="83"/>
  <c r="K19" i="75"/>
  <c r="N19" i="75"/>
  <c r="D19" i="75"/>
  <c r="J19" i="75"/>
  <c r="E118" i="82"/>
  <c r="H119" i="82" s="1"/>
  <c r="O11" i="75" l="1"/>
  <c r="E191" i="83"/>
  <c r="O15" i="75"/>
  <c r="G119" i="82"/>
  <c r="M19" i="75" l="1"/>
  <c r="O19" i="75" s="1"/>
  <c r="E119" i="82"/>
  <c r="H120" i="82" s="1"/>
  <c r="G120" i="82"/>
  <c r="E120" i="82" l="1"/>
  <c r="H121" i="82" s="1"/>
  <c r="G121" i="82" l="1"/>
  <c r="E121" i="82" l="1"/>
  <c r="H122" i="82" s="1"/>
  <c r="G122" i="82"/>
  <c r="E122" i="82" s="1"/>
  <c r="H123" i="82" s="1"/>
  <c r="G123" i="82" l="1"/>
  <c r="E123" i="82" l="1"/>
  <c r="H124" i="82" s="1"/>
  <c r="G124" i="82" s="1"/>
  <c r="E124" i="82" l="1"/>
  <c r="H125" i="82" s="1"/>
  <c r="G125" i="82" l="1"/>
  <c r="E125" i="82" s="1"/>
  <c r="H126" i="82" s="1"/>
  <c r="G126" i="82" l="1"/>
  <c r="E126" i="82" l="1"/>
  <c r="H127" i="82" s="1"/>
  <c r="G127" i="82" l="1"/>
  <c r="E127" i="82" l="1"/>
  <c r="H128" i="82" s="1"/>
  <c r="G128" i="82" l="1"/>
  <c r="E128" i="82"/>
  <c r="H129" i="82" s="1"/>
  <c r="G129" i="82" l="1"/>
  <c r="E129" i="82" l="1"/>
  <c r="H130" i="82" s="1"/>
  <c r="G130" i="82" l="1"/>
  <c r="E130" i="82" s="1"/>
  <c r="H131" i="82" s="1"/>
  <c r="G131" i="82" l="1"/>
  <c r="E131" i="82" l="1"/>
  <c r="H132" i="82" s="1"/>
  <c r="G132" i="82"/>
  <c r="E132" i="82" l="1"/>
  <c r="H133" i="82" s="1"/>
  <c r="G133" i="82" l="1"/>
  <c r="E133" i="82" l="1"/>
  <c r="H134" i="82" s="1"/>
  <c r="G134" i="82" l="1"/>
  <c r="E134" i="82" l="1"/>
  <c r="H135" i="82" s="1"/>
  <c r="G135" i="82" l="1"/>
  <c r="E135" i="82" l="1"/>
  <c r="H136" i="82" s="1"/>
  <c r="G136" i="82" l="1"/>
  <c r="E136" i="82" l="1"/>
  <c r="H137" i="82" s="1"/>
  <c r="G137" i="82" l="1"/>
  <c r="E137" i="82" s="1"/>
  <c r="H138" i="82" s="1"/>
  <c r="G138" i="82" l="1"/>
  <c r="E138" i="82" l="1"/>
  <c r="H139" i="82" s="1"/>
  <c r="G139" i="82" l="1"/>
  <c r="E139" i="82" s="1"/>
  <c r="H140" i="82" s="1"/>
  <c r="G140" i="82" l="1"/>
  <c r="E140" i="82" l="1"/>
  <c r="H141" i="82" s="1"/>
  <c r="G141" i="82" l="1"/>
  <c r="E141" i="82" l="1"/>
  <c r="H142" i="82" s="1"/>
  <c r="G142" i="82" l="1"/>
  <c r="E142" i="82" l="1"/>
  <c r="H143" i="82" s="1"/>
  <c r="G143" i="82"/>
  <c r="E143" i="82" l="1"/>
  <c r="H144" i="82" s="1"/>
  <c r="G144" i="82" l="1"/>
  <c r="E144" i="82" s="1"/>
  <c r="H145" i="82" s="1"/>
  <c r="G145" i="82" l="1"/>
  <c r="E145" i="82" l="1"/>
  <c r="H146" i="82" s="1"/>
  <c r="G146" i="82" l="1"/>
  <c r="E146" i="82" l="1"/>
  <c r="H147" i="82" s="1"/>
  <c r="G147" i="82" l="1"/>
  <c r="E147" i="82" l="1"/>
  <c r="H148" i="82" s="1"/>
  <c r="G148" i="82" l="1"/>
  <c r="E148" i="82" l="1"/>
  <c r="H149" i="82" s="1"/>
  <c r="G149" i="82" l="1"/>
  <c r="E149" i="82" l="1"/>
  <c r="H150" i="82" s="1"/>
  <c r="G150" i="82" l="1"/>
  <c r="E150" i="82" s="1"/>
  <c r="H151" i="82" s="1"/>
  <c r="G151" i="82" l="1"/>
  <c r="E151" i="82" s="1"/>
  <c r="H152" i="82" s="1"/>
  <c r="G152" i="82" l="1"/>
  <c r="E152" i="82"/>
  <c r="H153" i="82" l="1"/>
  <c r="G153" i="82"/>
  <c r="C12" i="75" s="1"/>
  <c r="C31" i="72" s="1"/>
  <c r="C16" i="75" l="1"/>
  <c r="C24" i="75"/>
  <c r="C18" i="75"/>
  <c r="E153" i="82"/>
  <c r="H154" i="82" s="1"/>
  <c r="C32" i="72" l="1"/>
  <c r="D16" i="75"/>
  <c r="C20" i="75"/>
  <c r="G154" i="82"/>
  <c r="D12" i="75" s="1"/>
  <c r="D31" i="72" s="1"/>
  <c r="D32" i="72" l="1"/>
  <c r="D33" i="72" s="1"/>
  <c r="C33" i="72"/>
  <c r="D24" i="75"/>
  <c r="D18" i="75"/>
  <c r="E154" i="82"/>
  <c r="H155" i="82" s="1"/>
  <c r="D20" i="75" l="1"/>
  <c r="E16" i="75"/>
  <c r="G155" i="82"/>
  <c r="E12" i="75" s="1"/>
  <c r="E31" i="72" s="1"/>
  <c r="E32" i="72" l="1"/>
  <c r="E155" i="82"/>
  <c r="H156" i="82" s="1"/>
  <c r="F16" i="75" s="1"/>
  <c r="E24" i="75"/>
  <c r="E18" i="75"/>
  <c r="G156" i="82"/>
  <c r="F32" i="72" l="1"/>
  <c r="E33" i="72"/>
  <c r="E20" i="75"/>
  <c r="F12" i="75"/>
  <c r="F18" i="75"/>
  <c r="E156" i="82"/>
  <c r="H157" i="82" s="1"/>
  <c r="F24" i="75" l="1"/>
  <c r="F31" i="72"/>
  <c r="F20" i="75"/>
  <c r="G16" i="75"/>
  <c r="G157" i="82"/>
  <c r="G12" i="75" s="1"/>
  <c r="G31" i="72" s="1"/>
  <c r="G32" i="72" l="1"/>
  <c r="G33" i="72" s="1"/>
  <c r="F33" i="72"/>
  <c r="G24" i="75"/>
  <c r="G18" i="75"/>
  <c r="E157" i="82"/>
  <c r="H158" i="82" s="1"/>
  <c r="G20" i="75" l="1"/>
  <c r="H16" i="75"/>
  <c r="G158" i="82"/>
  <c r="H32" i="72" l="1"/>
  <c r="H12" i="75"/>
  <c r="H18" i="75"/>
  <c r="E158" i="82"/>
  <c r="H159" i="82" s="1"/>
  <c r="H24" i="75" l="1"/>
  <c r="H31" i="72"/>
  <c r="H20" i="75"/>
  <c r="I16" i="75"/>
  <c r="G159" i="82"/>
  <c r="I32" i="72" l="1"/>
  <c r="H33" i="72"/>
  <c r="I12" i="75"/>
  <c r="I18" i="75"/>
  <c r="E159" i="82"/>
  <c r="H160" i="82" s="1"/>
  <c r="G160" i="82" s="1"/>
  <c r="I24" i="75" l="1"/>
  <c r="I31" i="72"/>
  <c r="I33" i="72" s="1"/>
  <c r="J16" i="75"/>
  <c r="I20" i="75"/>
  <c r="E160" i="82"/>
  <c r="H161" i="82" s="1"/>
  <c r="G161" i="82" s="1"/>
  <c r="J32" i="72" l="1"/>
  <c r="K16" i="75"/>
  <c r="K12" i="75"/>
  <c r="J12" i="75"/>
  <c r="J18" i="75"/>
  <c r="K18" i="75"/>
  <c r="E161" i="82"/>
  <c r="H162" i="82" s="1"/>
  <c r="K24" i="75" l="1"/>
  <c r="K31" i="72"/>
  <c r="J24" i="75"/>
  <c r="J31" i="72"/>
  <c r="J33" i="72" s="1"/>
  <c r="K32" i="72"/>
  <c r="L16" i="75"/>
  <c r="K20" i="75"/>
  <c r="J20" i="75"/>
  <c r="G162" i="82"/>
  <c r="L32" i="72" l="1"/>
  <c r="K33" i="72"/>
  <c r="E162" i="82"/>
  <c r="H163" i="82" s="1"/>
  <c r="G163" i="82"/>
  <c r="M16" i="75" l="1"/>
  <c r="M12" i="75"/>
  <c r="L12" i="75"/>
  <c r="M18" i="75"/>
  <c r="L18" i="75"/>
  <c r="E163" i="82"/>
  <c r="H164" i="82" s="1"/>
  <c r="N16" i="75" s="1"/>
  <c r="N32" i="72" s="1"/>
  <c r="L24" i="75" l="1"/>
  <c r="L31" i="72"/>
  <c r="L33" i="72" s="1"/>
  <c r="M24" i="75"/>
  <c r="M31" i="72"/>
  <c r="M32" i="72"/>
  <c r="O32" i="72" s="1"/>
  <c r="M20" i="75"/>
  <c r="L20" i="75"/>
  <c r="O16" i="75"/>
  <c r="G164" i="82"/>
  <c r="N12" i="75" s="1"/>
  <c r="N31" i="72" s="1"/>
  <c r="N33" i="72" l="1"/>
  <c r="O31" i="72"/>
  <c r="O33" i="72" s="1"/>
  <c r="M33" i="72"/>
  <c r="N24" i="75"/>
  <c r="O24" i="75" s="1"/>
  <c r="O12" i="75"/>
  <c r="N18" i="75"/>
  <c r="N20" i="75" s="1"/>
  <c r="E164" i="82"/>
  <c r="H165" i="82" s="1"/>
  <c r="O20" i="75" l="1"/>
  <c r="G165" i="82"/>
  <c r="E165" i="82" s="1"/>
  <c r="H166" i="82" s="1"/>
  <c r="G166" i="82" l="1"/>
  <c r="E166" i="82" l="1"/>
  <c r="H167" i="82" s="1"/>
  <c r="G167" i="82" l="1"/>
  <c r="E167" i="82" s="1"/>
  <c r="H168" i="82" s="1"/>
  <c r="G168" i="82" l="1"/>
  <c r="E168" i="82" s="1"/>
  <c r="H169" i="82" s="1"/>
  <c r="G169" i="82" l="1"/>
  <c r="E169" i="82" l="1"/>
  <c r="H170" i="82" s="1"/>
  <c r="G170" i="82" l="1"/>
  <c r="E170" i="82" l="1"/>
  <c r="H171" i="82" s="1"/>
  <c r="G171" i="82" l="1"/>
  <c r="E171" i="82" l="1"/>
  <c r="H172" i="82" s="1"/>
  <c r="G172" i="82" l="1"/>
  <c r="E172" i="82" l="1"/>
  <c r="H173" i="82" s="1"/>
  <c r="G173" i="82" l="1"/>
  <c r="E173" i="82" l="1"/>
  <c r="H174" i="82" s="1"/>
  <c r="G174" i="82" l="1"/>
  <c r="E174" i="82" l="1"/>
  <c r="H175" i="82" s="1"/>
  <c r="G175" i="82" l="1"/>
  <c r="E175" i="82" l="1"/>
  <c r="H176" i="82" s="1"/>
  <c r="G176" i="82" l="1"/>
  <c r="E176" i="82" s="1"/>
  <c r="H177" i="82" s="1"/>
  <c r="G177" i="82" l="1"/>
  <c r="E177" i="82" l="1"/>
  <c r="H178" i="82" s="1"/>
  <c r="G178" i="82" l="1"/>
  <c r="E178" i="82" s="1"/>
  <c r="H179" i="82" s="1"/>
  <c r="G179" i="82" l="1"/>
  <c r="E179" i="82" l="1"/>
  <c r="H180" i="82" s="1"/>
  <c r="G180" i="82" l="1"/>
  <c r="E180" i="82" l="1"/>
  <c r="H181" i="82" s="1"/>
  <c r="G181" i="82" l="1"/>
  <c r="E181" i="82" l="1"/>
  <c r="H182" i="82" s="1"/>
  <c r="G182" i="82" l="1"/>
  <c r="E182" i="82" s="1"/>
  <c r="H183" i="82" s="1"/>
  <c r="G183" i="82" l="1"/>
  <c r="E183" i="82" l="1"/>
  <c r="H184" i="82" s="1"/>
  <c r="G184" i="82" s="1"/>
  <c r="E184" i="82" s="1"/>
  <c r="H185" i="82" s="1"/>
  <c r="G185" i="82" l="1"/>
  <c r="E185" i="82" l="1"/>
  <c r="H186" i="82" s="1"/>
  <c r="G186" i="82" l="1"/>
  <c r="E186" i="82" l="1"/>
  <c r="H187" i="82" s="1"/>
  <c r="G187" i="82" l="1"/>
  <c r="E187" i="82" s="1"/>
  <c r="H188" i="82" s="1"/>
  <c r="G188" i="82" l="1"/>
  <c r="E188" i="82" l="1"/>
  <c r="H189" i="82" s="1"/>
  <c r="G189" i="82" l="1"/>
  <c r="E189" i="82" l="1"/>
  <c r="H190" i="82" s="1"/>
  <c r="G190" i="82" l="1"/>
  <c r="E190" i="82" l="1"/>
  <c r="D55" i="73" l="1"/>
  <c r="E55" i="73" s="1"/>
  <c r="F55" i="73" s="1"/>
  <c r="G55" i="73" s="1"/>
  <c r="H55" i="73" s="1"/>
  <c r="I55" i="73" s="1"/>
  <c r="J55" i="73" s="1"/>
  <c r="K55" i="73" s="1"/>
  <c r="L55" i="73" s="1"/>
  <c r="M55" i="73" s="1"/>
  <c r="N55" i="73" s="1"/>
  <c r="O55" i="73" s="1"/>
  <c r="C57" i="73"/>
  <c r="D54" i="73"/>
  <c r="E54" i="73" s="1"/>
  <c r="F54" i="73" l="1"/>
  <c r="G54" i="73" l="1"/>
  <c r="O27" i="72" l="1"/>
  <c r="O26" i="72"/>
  <c r="O13" i="70"/>
  <c r="C7" i="73"/>
  <c r="H54" i="73"/>
  <c r="I54" i="73" l="1"/>
  <c r="J54" i="73" l="1"/>
  <c r="K54" i="73" l="1"/>
  <c r="L54" i="73" l="1"/>
  <c r="M54" i="73" l="1"/>
  <c r="N54" i="73" l="1"/>
  <c r="O54" i="73" l="1"/>
  <c r="J80" i="54" l="1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C15" i="93" s="1"/>
  <c r="F15" i="51"/>
  <c r="F15" i="93" s="1"/>
  <c r="I15" i="51"/>
  <c r="I15" i="93" s="1"/>
  <c r="L15" i="51"/>
  <c r="L15" i="93" s="1"/>
  <c r="M15" i="51"/>
  <c r="O15" i="51"/>
  <c r="O15" i="93" s="1"/>
  <c r="R15" i="51"/>
  <c r="R15" i="93" s="1"/>
  <c r="S15" i="51"/>
  <c r="C39" i="51"/>
  <c r="C39" i="93" s="1"/>
  <c r="D39" i="51"/>
  <c r="F39" i="51"/>
  <c r="F39" i="93" s="1"/>
  <c r="G39" i="51"/>
  <c r="I39" i="51"/>
  <c r="I39" i="93" s="1"/>
  <c r="J39" i="51"/>
  <c r="L39" i="51"/>
  <c r="L39" i="93" s="1"/>
  <c r="O39" i="51"/>
  <c r="O39" i="93" s="1"/>
  <c r="R39" i="51"/>
  <c r="R39" i="93" s="1"/>
  <c r="C16" i="51"/>
  <c r="C16" i="93" s="1"/>
  <c r="F16" i="51"/>
  <c r="F16" i="93" s="1"/>
  <c r="H16" i="93" s="1"/>
  <c r="I16" i="51"/>
  <c r="I16" i="93" s="1"/>
  <c r="K16" i="93" s="1"/>
  <c r="L16" i="51"/>
  <c r="L16" i="93" s="1"/>
  <c r="N16" i="93" s="1"/>
  <c r="M16" i="51"/>
  <c r="O16" i="51"/>
  <c r="O16" i="93" s="1"/>
  <c r="Q16" i="93" s="1"/>
  <c r="P16" i="51"/>
  <c r="R16" i="51"/>
  <c r="R16" i="93" s="1"/>
  <c r="T16" i="93" s="1"/>
  <c r="S16" i="51"/>
  <c r="C40" i="51"/>
  <c r="C40" i="93" s="1"/>
  <c r="F40" i="51"/>
  <c r="F40" i="93" s="1"/>
  <c r="H40" i="93" s="1"/>
  <c r="G40" i="51"/>
  <c r="I40" i="51"/>
  <c r="I40" i="93" s="1"/>
  <c r="K40" i="93" s="1"/>
  <c r="L40" i="51"/>
  <c r="L40" i="93" s="1"/>
  <c r="N40" i="93" s="1"/>
  <c r="M40" i="51"/>
  <c r="O40" i="51"/>
  <c r="O40" i="93" s="1"/>
  <c r="Q40" i="93" s="1"/>
  <c r="P40" i="51"/>
  <c r="R40" i="51"/>
  <c r="R40" i="93" s="1"/>
  <c r="T40" i="93" s="1"/>
  <c r="S40" i="51"/>
  <c r="C17" i="51"/>
  <c r="C17" i="93" s="1"/>
  <c r="D17" i="51"/>
  <c r="F17" i="51"/>
  <c r="F17" i="93" s="1"/>
  <c r="H17" i="93" s="1"/>
  <c r="I17" i="51"/>
  <c r="I17" i="93" s="1"/>
  <c r="K17" i="93" s="1"/>
  <c r="L17" i="51"/>
  <c r="L17" i="93" s="1"/>
  <c r="N17" i="93" s="1"/>
  <c r="O17" i="51"/>
  <c r="O17" i="93" s="1"/>
  <c r="Q17" i="93" s="1"/>
  <c r="R17" i="51"/>
  <c r="R17" i="93" s="1"/>
  <c r="T17" i="93" s="1"/>
  <c r="C41" i="51"/>
  <c r="C41" i="93" s="1"/>
  <c r="F41" i="51"/>
  <c r="F41" i="93" s="1"/>
  <c r="H41" i="93" s="1"/>
  <c r="G41" i="51"/>
  <c r="I41" i="51"/>
  <c r="I41" i="93" s="1"/>
  <c r="K41" i="93" s="1"/>
  <c r="J41" i="51"/>
  <c r="L41" i="51"/>
  <c r="L41" i="93" s="1"/>
  <c r="N41" i="93" s="1"/>
  <c r="M41" i="51"/>
  <c r="O41" i="51"/>
  <c r="O41" i="93" s="1"/>
  <c r="Q41" i="93" s="1"/>
  <c r="P41" i="51"/>
  <c r="R41" i="51"/>
  <c r="R41" i="93" s="1"/>
  <c r="T41" i="93" s="1"/>
  <c r="S41" i="51"/>
  <c r="C9" i="51"/>
  <c r="F9" i="51"/>
  <c r="G9" i="51"/>
  <c r="I9" i="51"/>
  <c r="I9" i="93" s="1"/>
  <c r="J9" i="51"/>
  <c r="L9" i="51"/>
  <c r="L9" i="93" s="1"/>
  <c r="M9" i="51"/>
  <c r="O9" i="51"/>
  <c r="O9" i="93" s="1"/>
  <c r="P9" i="51"/>
  <c r="R9" i="51"/>
  <c r="R9" i="93" s="1"/>
  <c r="S9" i="51"/>
  <c r="C33" i="51"/>
  <c r="C33" i="93" s="1"/>
  <c r="D33" i="51"/>
  <c r="F33" i="51"/>
  <c r="G33" i="51"/>
  <c r="I33" i="51"/>
  <c r="L33" i="51"/>
  <c r="M33" i="51"/>
  <c r="O33" i="51"/>
  <c r="P33" i="51"/>
  <c r="R33" i="51"/>
  <c r="R33" i="93" s="1"/>
  <c r="S33" i="51"/>
  <c r="C10" i="51"/>
  <c r="C10" i="93" s="1"/>
  <c r="D10" i="51"/>
  <c r="F10" i="51"/>
  <c r="F10" i="93" s="1"/>
  <c r="I10" i="51"/>
  <c r="I10" i="93" s="1"/>
  <c r="L10" i="51"/>
  <c r="L10" i="93" s="1"/>
  <c r="O10" i="51"/>
  <c r="O10" i="93" s="1"/>
  <c r="R10" i="51"/>
  <c r="R10" i="93" s="1"/>
  <c r="C34" i="51"/>
  <c r="D34" i="51"/>
  <c r="F34" i="51"/>
  <c r="G34" i="51"/>
  <c r="I34" i="51"/>
  <c r="J34" i="51"/>
  <c r="L34" i="51"/>
  <c r="L34" i="93" s="1"/>
  <c r="M34" i="51"/>
  <c r="O34" i="51"/>
  <c r="O34" i="93" s="1"/>
  <c r="P34" i="51"/>
  <c r="R34" i="51"/>
  <c r="R34" i="93" s="1"/>
  <c r="S34" i="51"/>
  <c r="C11" i="51"/>
  <c r="C11" i="93" s="1"/>
  <c r="F11" i="51"/>
  <c r="F11" i="93" s="1"/>
  <c r="G11" i="51"/>
  <c r="I11" i="51"/>
  <c r="I11" i="93" s="1"/>
  <c r="J11" i="51"/>
  <c r="L11" i="51"/>
  <c r="L11" i="93" s="1"/>
  <c r="M11" i="51"/>
  <c r="O11" i="51"/>
  <c r="P11" i="51"/>
  <c r="R11" i="51"/>
  <c r="S11" i="51"/>
  <c r="C35" i="51"/>
  <c r="F35" i="51"/>
  <c r="I35" i="51"/>
  <c r="I35" i="93" s="1"/>
  <c r="L35" i="51"/>
  <c r="L35" i="93" s="1"/>
  <c r="O35" i="51"/>
  <c r="O35" i="93" s="1"/>
  <c r="R35" i="51"/>
  <c r="R35" i="93" s="1"/>
  <c r="S35" i="51"/>
  <c r="M18" i="52"/>
  <c r="N26" i="89" s="1"/>
  <c r="L18" i="52"/>
  <c r="M26" i="89" s="1"/>
  <c r="K18" i="52"/>
  <c r="L26" i="89" s="1"/>
  <c r="J18" i="52"/>
  <c r="K26" i="89" s="1"/>
  <c r="I18" i="52"/>
  <c r="J26" i="89" s="1"/>
  <c r="H18" i="52"/>
  <c r="I26" i="89" s="1"/>
  <c r="G18" i="52"/>
  <c r="H26" i="89" s="1"/>
  <c r="F18" i="52"/>
  <c r="G26" i="89" s="1"/>
  <c r="E18" i="52"/>
  <c r="F26" i="89" s="1"/>
  <c r="D18" i="52"/>
  <c r="E26" i="89" s="1"/>
  <c r="C18" i="52"/>
  <c r="D26" i="89" s="1"/>
  <c r="B18" i="52"/>
  <c r="C26" i="89" s="1"/>
  <c r="C11" i="52"/>
  <c r="D13" i="89" s="1"/>
  <c r="D11" i="52"/>
  <c r="E13" i="89" s="1"/>
  <c r="E11" i="52"/>
  <c r="F13" i="89" s="1"/>
  <c r="F11" i="52"/>
  <c r="G13" i="89" s="1"/>
  <c r="G11" i="52"/>
  <c r="H13" i="89" s="1"/>
  <c r="H11" i="52"/>
  <c r="I13" i="89" s="1"/>
  <c r="I11" i="52"/>
  <c r="J13" i="89" s="1"/>
  <c r="J11" i="52"/>
  <c r="K13" i="89" s="1"/>
  <c r="K11" i="52"/>
  <c r="L13" i="89" s="1"/>
  <c r="L11" i="52"/>
  <c r="M13" i="89" s="1"/>
  <c r="M11" i="52"/>
  <c r="N13" i="89" s="1"/>
  <c r="N8" i="52"/>
  <c r="N9" i="52"/>
  <c r="B11" i="52"/>
  <c r="C13" i="89" s="1"/>
  <c r="C14" i="89" s="1"/>
  <c r="E33" i="51" l="1"/>
  <c r="C27" i="89"/>
  <c r="D25" i="89" s="1"/>
  <c r="D27" i="89" s="1"/>
  <c r="E25" i="89" s="1"/>
  <c r="E27" i="89" s="1"/>
  <c r="F25" i="89" s="1"/>
  <c r="F27" i="89" s="1"/>
  <c r="G25" i="89" s="1"/>
  <c r="G27" i="89" s="1"/>
  <c r="H25" i="89" s="1"/>
  <c r="H27" i="89" s="1"/>
  <c r="I25" i="89" s="1"/>
  <c r="I27" i="89" s="1"/>
  <c r="J25" i="89" s="1"/>
  <c r="J27" i="89" s="1"/>
  <c r="K25" i="89" s="1"/>
  <c r="K27" i="89" s="1"/>
  <c r="L25" i="89" s="1"/>
  <c r="L27" i="89" s="1"/>
  <c r="M25" i="89" s="1"/>
  <c r="M27" i="89" s="1"/>
  <c r="N25" i="89" s="1"/>
  <c r="N27" i="89" s="1"/>
  <c r="Q25" i="89" s="1"/>
  <c r="Q28" i="89" s="1"/>
  <c r="O26" i="89"/>
  <c r="H39" i="93"/>
  <c r="H42" i="93" s="1"/>
  <c r="F42" i="93"/>
  <c r="L12" i="93"/>
  <c r="N9" i="93"/>
  <c r="L21" i="93"/>
  <c r="C22" i="93"/>
  <c r="U10" i="93"/>
  <c r="E10" i="93"/>
  <c r="F47" i="51"/>
  <c r="F35" i="93"/>
  <c r="K9" i="93"/>
  <c r="I12" i="93"/>
  <c r="I21" i="93"/>
  <c r="I42" i="93"/>
  <c r="K39" i="93"/>
  <c r="K42" i="93" s="1"/>
  <c r="R23" i="51"/>
  <c r="R11" i="93"/>
  <c r="O18" i="93"/>
  <c r="Q15" i="93"/>
  <c r="Q18" i="93" s="1"/>
  <c r="P18" i="93" s="1"/>
  <c r="R45" i="93"/>
  <c r="R36" i="93"/>
  <c r="T33" i="93"/>
  <c r="E39" i="93"/>
  <c r="U39" i="93"/>
  <c r="C42" i="93"/>
  <c r="O23" i="51"/>
  <c r="O11" i="93"/>
  <c r="N11" i="93"/>
  <c r="N23" i="93" s="1"/>
  <c r="L23" i="93"/>
  <c r="L24" i="93" s="1"/>
  <c r="U17" i="93"/>
  <c r="E17" i="93"/>
  <c r="W17" i="93" s="1"/>
  <c r="O46" i="93"/>
  <c r="Q34" i="93"/>
  <c r="Q46" i="93" s="1"/>
  <c r="C47" i="51"/>
  <c r="C35" i="93"/>
  <c r="O45" i="51"/>
  <c r="O33" i="93"/>
  <c r="F21" i="51"/>
  <c r="F9" i="93"/>
  <c r="C46" i="51"/>
  <c r="C34" i="93"/>
  <c r="C36" i="93" s="1"/>
  <c r="N15" i="93"/>
  <c r="N18" i="93" s="1"/>
  <c r="L18" i="93"/>
  <c r="F46" i="51"/>
  <c r="F48" i="51" s="1"/>
  <c r="F34" i="93"/>
  <c r="K15" i="93"/>
  <c r="K18" i="93" s="1"/>
  <c r="I18" i="93"/>
  <c r="K35" i="93"/>
  <c r="K47" i="93" s="1"/>
  <c r="I47" i="93"/>
  <c r="E41" i="93"/>
  <c r="W41" i="93" s="1"/>
  <c r="U41" i="93"/>
  <c r="T15" i="93"/>
  <c r="T18" i="93" s="1"/>
  <c r="R18" i="93"/>
  <c r="I45" i="51"/>
  <c r="I33" i="93"/>
  <c r="O22" i="93"/>
  <c r="Q10" i="93"/>
  <c r="Q22" i="93" s="1"/>
  <c r="E33" i="93"/>
  <c r="C45" i="93"/>
  <c r="U16" i="93"/>
  <c r="Y40" i="93" s="1"/>
  <c r="E16" i="93"/>
  <c r="W16" i="93" s="1"/>
  <c r="H15" i="93"/>
  <c r="H18" i="93" s="1"/>
  <c r="F18" i="93"/>
  <c r="I46" i="51"/>
  <c r="I34" i="93"/>
  <c r="C21" i="51"/>
  <c r="C9" i="93"/>
  <c r="F45" i="51"/>
  <c r="F33" i="93"/>
  <c r="I23" i="93"/>
  <c r="K11" i="93"/>
  <c r="K23" i="93" s="1"/>
  <c r="N10" i="93"/>
  <c r="N22" i="93" s="1"/>
  <c r="L22" i="93"/>
  <c r="R42" i="93"/>
  <c r="T39" i="93"/>
  <c r="T42" i="93" s="1"/>
  <c r="E15" i="93"/>
  <c r="U15" i="93"/>
  <c r="C18" i="93"/>
  <c r="N34" i="93"/>
  <c r="N46" i="93" s="1"/>
  <c r="L46" i="93"/>
  <c r="R47" i="93"/>
  <c r="T35" i="93"/>
  <c r="T47" i="93" s="1"/>
  <c r="S47" i="93" s="1"/>
  <c r="C23" i="93"/>
  <c r="E11" i="93"/>
  <c r="I22" i="93"/>
  <c r="K10" i="93"/>
  <c r="K22" i="93" s="1"/>
  <c r="J22" i="93" s="1"/>
  <c r="R21" i="93"/>
  <c r="T9" i="93"/>
  <c r="R12" i="93"/>
  <c r="Q39" i="93"/>
  <c r="Q42" i="93" s="1"/>
  <c r="O42" i="93"/>
  <c r="L45" i="51"/>
  <c r="L33" i="93"/>
  <c r="U33" i="93" s="1"/>
  <c r="Q35" i="93"/>
  <c r="Q47" i="93" s="1"/>
  <c r="O47" i="93"/>
  <c r="L42" i="93"/>
  <c r="N39" i="93"/>
  <c r="N42" i="93" s="1"/>
  <c r="M42" i="93" s="1"/>
  <c r="U40" i="93"/>
  <c r="E40" i="93"/>
  <c r="R22" i="93"/>
  <c r="T10" i="93"/>
  <c r="T22" i="93" s="1"/>
  <c r="S22" i="93" s="1"/>
  <c r="H11" i="93"/>
  <c r="H23" i="93" s="1"/>
  <c r="F23" i="93"/>
  <c r="F22" i="93"/>
  <c r="H10" i="93"/>
  <c r="H22" i="93" s="1"/>
  <c r="G22" i="93" s="1"/>
  <c r="N35" i="93"/>
  <c r="N47" i="93" s="1"/>
  <c r="L47" i="93"/>
  <c r="R46" i="93"/>
  <c r="T34" i="93"/>
  <c r="T46" i="93" s="1"/>
  <c r="O21" i="93"/>
  <c r="Q9" i="93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I48" i="51" s="1"/>
  <c r="C22" i="51"/>
  <c r="R21" i="51"/>
  <c r="O46" i="51"/>
  <c r="L21" i="51"/>
  <c r="C4" i="53"/>
  <c r="L23" i="51"/>
  <c r="I23" i="51"/>
  <c r="O22" i="51"/>
  <c r="R45" i="51"/>
  <c r="R47" i="51"/>
  <c r="F22" i="5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T16" i="51"/>
  <c r="N18" i="52"/>
  <c r="L31" i="53"/>
  <c r="C21" i="7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Q21" i="51" s="1"/>
  <c r="O12" i="51"/>
  <c r="N54" i="54"/>
  <c r="I56" i="54"/>
  <c r="L42" i="51"/>
  <c r="L12" i="51"/>
  <c r="T40" i="51"/>
  <c r="O18" i="51"/>
  <c r="I36" i="51"/>
  <c r="K11" i="51"/>
  <c r="N11" i="52"/>
  <c r="H10" i="51"/>
  <c r="H22" i="51" s="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Y41" i="93" l="1"/>
  <c r="F24" i="51"/>
  <c r="H45" i="51"/>
  <c r="G45" i="51" s="1"/>
  <c r="I24" i="93"/>
  <c r="J23" i="93"/>
  <c r="P22" i="93"/>
  <c r="U18" i="93"/>
  <c r="J42" i="93"/>
  <c r="V16" i="93"/>
  <c r="W15" i="93"/>
  <c r="E18" i="93"/>
  <c r="D18" i="93" s="1"/>
  <c r="J18" i="93"/>
  <c r="V17" i="93"/>
  <c r="AA41" i="93"/>
  <c r="Z41" i="93" s="1"/>
  <c r="M47" i="93"/>
  <c r="P42" i="93"/>
  <c r="S42" i="93"/>
  <c r="F46" i="93"/>
  <c r="H34" i="93"/>
  <c r="H46" i="93" s="1"/>
  <c r="T21" i="93"/>
  <c r="M23" i="93"/>
  <c r="M22" i="93"/>
  <c r="E45" i="93"/>
  <c r="M18" i="93"/>
  <c r="Q11" i="93"/>
  <c r="Q23" i="93" s="1"/>
  <c r="O23" i="93"/>
  <c r="O24" i="93" s="1"/>
  <c r="K21" i="93"/>
  <c r="K12" i="93"/>
  <c r="J12" i="93" s="1"/>
  <c r="G23" i="93"/>
  <c r="F47" i="93"/>
  <c r="H35" i="93"/>
  <c r="C46" i="93"/>
  <c r="E34" i="93"/>
  <c r="U34" i="93"/>
  <c r="Y34" i="93" s="1"/>
  <c r="E23" i="93"/>
  <c r="F45" i="93"/>
  <c r="F36" i="93"/>
  <c r="H33" i="93"/>
  <c r="I36" i="93"/>
  <c r="K33" i="93"/>
  <c r="I45" i="93"/>
  <c r="Y39" i="93"/>
  <c r="Y42" i="93" s="1"/>
  <c r="E12" i="93"/>
  <c r="W10" i="93"/>
  <c r="E22" i="93"/>
  <c r="E42" i="93"/>
  <c r="D42" i="93" s="1"/>
  <c r="W40" i="93"/>
  <c r="V40" i="93" s="1"/>
  <c r="U11" i="93"/>
  <c r="F12" i="93"/>
  <c r="F21" i="93"/>
  <c r="F24" i="93" s="1"/>
  <c r="H9" i="93"/>
  <c r="W39" i="93"/>
  <c r="C12" i="93"/>
  <c r="E9" i="93"/>
  <c r="U9" i="93"/>
  <c r="C21" i="93"/>
  <c r="T36" i="93"/>
  <c r="S36" i="93" s="1"/>
  <c r="T45" i="93"/>
  <c r="U22" i="93"/>
  <c r="Q23" i="51"/>
  <c r="P23" i="51" s="1"/>
  <c r="K46" i="51"/>
  <c r="J46" i="51" s="1"/>
  <c r="S18" i="93"/>
  <c r="O45" i="93"/>
  <c r="O48" i="93" s="1"/>
  <c r="Q33" i="93"/>
  <c r="O36" i="93"/>
  <c r="K21" i="51"/>
  <c r="J21" i="51" s="1"/>
  <c r="O12" i="93"/>
  <c r="K34" i="93"/>
  <c r="K46" i="93" s="1"/>
  <c r="I46" i="93"/>
  <c r="U42" i="93"/>
  <c r="R48" i="93"/>
  <c r="N21" i="93"/>
  <c r="N12" i="93"/>
  <c r="M12" i="93" s="1"/>
  <c r="Q21" i="93"/>
  <c r="Q12" i="93"/>
  <c r="V41" i="93"/>
  <c r="C47" i="93"/>
  <c r="E35" i="93"/>
  <c r="E47" i="93" s="1"/>
  <c r="U35" i="93"/>
  <c r="E21" i="51"/>
  <c r="P47" i="93"/>
  <c r="M46" i="93"/>
  <c r="S46" i="93"/>
  <c r="N33" i="93"/>
  <c r="L36" i="93"/>
  <c r="L45" i="93"/>
  <c r="L48" i="93" s="1"/>
  <c r="G18" i="93"/>
  <c r="J47" i="93"/>
  <c r="P46" i="93"/>
  <c r="T11" i="93"/>
  <c r="T23" i="93" s="1"/>
  <c r="R23" i="93"/>
  <c r="R24" i="93" s="1"/>
  <c r="G42" i="93"/>
  <c r="T22" i="51"/>
  <c r="S22" i="51" s="1"/>
  <c r="H46" i="51"/>
  <c r="G46" i="51" s="1"/>
  <c r="N22" i="51"/>
  <c r="M22" i="51" s="1"/>
  <c r="Q22" i="51"/>
  <c r="Q24" i="51" s="1"/>
  <c r="H47" i="51"/>
  <c r="G47" i="51" s="1"/>
  <c r="E47" i="51"/>
  <c r="D47" i="51" s="1"/>
  <c r="K22" i="51"/>
  <c r="J22" i="51" s="1"/>
  <c r="R24" i="51"/>
  <c r="T21" i="51"/>
  <c r="S21" i="51" s="1"/>
  <c r="J7" i="88"/>
  <c r="J11" i="88" s="1"/>
  <c r="G7" i="88"/>
  <c r="E23" i="51"/>
  <c r="C6" i="88"/>
  <c r="B6" i="53"/>
  <c r="L48" i="51"/>
  <c r="L6" i="88"/>
  <c r="K6" i="53"/>
  <c r="C7" i="88"/>
  <c r="N45" i="51"/>
  <c r="I7" i="88"/>
  <c r="I11" i="88" s="1"/>
  <c r="H23" i="51"/>
  <c r="G23" i="51" s="1"/>
  <c r="L24" i="51"/>
  <c r="H8" i="88"/>
  <c r="H12" i="88" s="1"/>
  <c r="G6" i="88"/>
  <c r="G10" i="88" s="1"/>
  <c r="F6" i="53"/>
  <c r="Q47" i="51"/>
  <c r="P47" i="51" s="1"/>
  <c r="I6" i="88"/>
  <c r="I10" i="88" s="1"/>
  <c r="H6" i="53"/>
  <c r="K47" i="51"/>
  <c r="J47" i="51" s="1"/>
  <c r="M7" i="88"/>
  <c r="M11" i="88" s="1"/>
  <c r="L6" i="53"/>
  <c r="M6" i="88"/>
  <c r="I24" i="51"/>
  <c r="J6" i="88"/>
  <c r="J10" i="88" s="1"/>
  <c r="I6" i="53"/>
  <c r="G8" i="88"/>
  <c r="G12" i="88" s="1"/>
  <c r="F8" i="88"/>
  <c r="F12" i="88" s="1"/>
  <c r="P21" i="51"/>
  <c r="O24" i="51"/>
  <c r="C6" i="53"/>
  <c r="D6" i="88"/>
  <c r="D10" i="88" s="1"/>
  <c r="N21" i="51"/>
  <c r="M21" i="51" s="1"/>
  <c r="H21" i="51"/>
  <c r="E8" i="88"/>
  <c r="E12" i="88" s="1"/>
  <c r="F6" i="88"/>
  <c r="F10" i="88" s="1"/>
  <c r="E6" i="53"/>
  <c r="D45" i="51"/>
  <c r="C48" i="51"/>
  <c r="N47" i="51"/>
  <c r="M47" i="51" s="1"/>
  <c r="G22" i="51"/>
  <c r="J8" i="88"/>
  <c r="N8" i="88"/>
  <c r="N12" i="88" s="1"/>
  <c r="M6" i="53"/>
  <c r="N6" i="88"/>
  <c r="K23" i="51"/>
  <c r="J23" i="51" s="1"/>
  <c r="T46" i="51"/>
  <c r="T48" i="51" s="1"/>
  <c r="I8" i="88"/>
  <c r="D6" i="53"/>
  <c r="E6" i="88"/>
  <c r="L8" i="88"/>
  <c r="L12" i="88" s="1"/>
  <c r="H6" i="88"/>
  <c r="H10" i="88" s="1"/>
  <c r="G6" i="53"/>
  <c r="E46" i="51"/>
  <c r="D46" i="51" s="1"/>
  <c r="S47" i="51"/>
  <c r="H7" i="88"/>
  <c r="K8" i="88"/>
  <c r="N46" i="51"/>
  <c r="M46" i="51" s="1"/>
  <c r="L7" i="88"/>
  <c r="L11" i="88" s="1"/>
  <c r="M8" i="88"/>
  <c r="M12" i="88" s="1"/>
  <c r="S45" i="51"/>
  <c r="R48" i="51"/>
  <c r="N7" i="88"/>
  <c r="N11" i="88" s="1"/>
  <c r="N23" i="51"/>
  <c r="M23" i="51" s="1"/>
  <c r="D8" i="88"/>
  <c r="D12" i="88" s="1"/>
  <c r="T23" i="51"/>
  <c r="S23" i="51" s="1"/>
  <c r="Q45" i="51"/>
  <c r="K6" i="88"/>
  <c r="K10" i="88" s="1"/>
  <c r="J6" i="53"/>
  <c r="E7" i="88"/>
  <c r="E11" i="88" s="1"/>
  <c r="Q46" i="51"/>
  <c r="P46" i="51" s="1"/>
  <c r="K45" i="51"/>
  <c r="D7" i="88"/>
  <c r="F7" i="88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H48" i="51" l="1"/>
  <c r="G48" i="51" s="1"/>
  <c r="P22" i="51"/>
  <c r="U47" i="93"/>
  <c r="G46" i="93"/>
  <c r="Y35" i="93"/>
  <c r="P12" i="93"/>
  <c r="D12" i="93"/>
  <c r="U46" i="93"/>
  <c r="Y46" i="93" s="1"/>
  <c r="W9" i="93"/>
  <c r="V9" i="93" s="1"/>
  <c r="S21" i="93"/>
  <c r="T24" i="93"/>
  <c r="S24" i="93" s="1"/>
  <c r="E36" i="93"/>
  <c r="D36" i="93" s="1"/>
  <c r="W34" i="93"/>
  <c r="V34" i="93" s="1"/>
  <c r="E46" i="93"/>
  <c r="T12" i="93"/>
  <c r="S12" i="93" s="1"/>
  <c r="S23" i="93"/>
  <c r="P21" i="93"/>
  <c r="Q24" i="93"/>
  <c r="P24" i="93" s="1"/>
  <c r="W35" i="93"/>
  <c r="V35" i="93" s="1"/>
  <c r="H47" i="93"/>
  <c r="G47" i="93" s="1"/>
  <c r="W22" i="93"/>
  <c r="D22" i="93"/>
  <c r="U36" i="93"/>
  <c r="M21" i="93"/>
  <c r="N24" i="93"/>
  <c r="M24" i="93" s="1"/>
  <c r="S45" i="93"/>
  <c r="T48" i="93"/>
  <c r="S48" i="93" s="1"/>
  <c r="V10" i="93"/>
  <c r="C24" i="93"/>
  <c r="U21" i="93"/>
  <c r="J21" i="93"/>
  <c r="K24" i="93"/>
  <c r="J24" i="93" s="1"/>
  <c r="Y33" i="93"/>
  <c r="Y36" i="93" s="1"/>
  <c r="U12" i="93"/>
  <c r="I48" i="93"/>
  <c r="N45" i="93"/>
  <c r="N36" i="93"/>
  <c r="M36" i="93" s="1"/>
  <c r="J46" i="93"/>
  <c r="K45" i="93"/>
  <c r="K36" i="93"/>
  <c r="J36" i="93" s="1"/>
  <c r="P23" i="93"/>
  <c r="U23" i="93"/>
  <c r="Y47" i="93" s="1"/>
  <c r="H36" i="93"/>
  <c r="G36" i="93" s="1"/>
  <c r="H45" i="93"/>
  <c r="W33" i="93"/>
  <c r="U45" i="93"/>
  <c r="D45" i="93"/>
  <c r="E48" i="93"/>
  <c r="V15" i="93"/>
  <c r="AA39" i="93"/>
  <c r="W18" i="93"/>
  <c r="V18" i="93" s="1"/>
  <c r="C48" i="93"/>
  <c r="V39" i="93"/>
  <c r="W42" i="93"/>
  <c r="V42" i="93" s="1"/>
  <c r="F48" i="93"/>
  <c r="E21" i="93"/>
  <c r="H12" i="93"/>
  <c r="G12" i="93" s="1"/>
  <c r="H21" i="93"/>
  <c r="W11" i="93"/>
  <c r="D47" i="93"/>
  <c r="Q45" i="93"/>
  <c r="Q36" i="93"/>
  <c r="P36" i="93" s="1"/>
  <c r="W23" i="93"/>
  <c r="D23" i="93"/>
  <c r="AA40" i="93"/>
  <c r="Z40" i="93" s="1"/>
  <c r="E48" i="51"/>
  <c r="D48" i="51" s="1"/>
  <c r="S46" i="51"/>
  <c r="K24" i="51"/>
  <c r="J24" i="51" s="1"/>
  <c r="P24" i="51"/>
  <c r="K48" i="51"/>
  <c r="J48" i="51" s="1"/>
  <c r="J45" i="51"/>
  <c r="K12" i="88"/>
  <c r="E9" i="88"/>
  <c r="E10" i="88"/>
  <c r="E13" i="88" s="1"/>
  <c r="J9" i="88"/>
  <c r="J12" i="88"/>
  <c r="J13" i="88" s="1"/>
  <c r="T24" i="51"/>
  <c r="S24" i="51" s="1"/>
  <c r="C10" i="88"/>
  <c r="O6" i="88"/>
  <c r="H9" i="88"/>
  <c r="H11" i="88"/>
  <c r="H13" i="88" s="1"/>
  <c r="I9" i="88"/>
  <c r="I12" i="88"/>
  <c r="I13" i="88" s="1"/>
  <c r="G9" i="88"/>
  <c r="G11" i="88"/>
  <c r="G13" i="88" s="1"/>
  <c r="S48" i="51"/>
  <c r="F9" i="88"/>
  <c r="F11" i="88"/>
  <c r="F13" i="88" s="1"/>
  <c r="N48" i="51"/>
  <c r="M48" i="51" s="1"/>
  <c r="M45" i="51"/>
  <c r="N10" i="88"/>
  <c r="N13" i="88" s="1"/>
  <c r="N9" i="88"/>
  <c r="C8" i="88"/>
  <c r="H24" i="51"/>
  <c r="G24" i="51" s="1"/>
  <c r="G21" i="51"/>
  <c r="C11" i="88"/>
  <c r="N24" i="51"/>
  <c r="M24" i="51" s="1"/>
  <c r="M10" i="88"/>
  <c r="M13" i="88" s="1"/>
  <c r="M9" i="88"/>
  <c r="D9" i="88"/>
  <c r="D11" i="88"/>
  <c r="D13" i="88" s="1"/>
  <c r="N56" i="54"/>
  <c r="N55" i="54" s="1"/>
  <c r="K7" i="88"/>
  <c r="K11" i="88" s="1"/>
  <c r="Q48" i="51"/>
  <c r="P48" i="51" s="1"/>
  <c r="P45" i="51"/>
  <c r="L10" i="88"/>
  <c r="L13" i="88" s="1"/>
  <c r="L9" i="88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9" i="72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O18" i="75"/>
  <c r="W45" i="51"/>
  <c r="V45" i="51" s="1"/>
  <c r="I5" i="54"/>
  <c r="W22" i="51"/>
  <c r="V22" i="51" s="1"/>
  <c r="D22" i="51"/>
  <c r="W45" i="93" l="1"/>
  <c r="K13" i="88"/>
  <c r="D48" i="93"/>
  <c r="W47" i="93"/>
  <c r="V47" i="93" s="1"/>
  <c r="U48" i="93"/>
  <c r="AA34" i="93"/>
  <c r="Z34" i="93" s="1"/>
  <c r="AA42" i="93"/>
  <c r="Z42" i="93" s="1"/>
  <c r="Z39" i="93"/>
  <c r="V23" i="93"/>
  <c r="V45" i="93"/>
  <c r="M45" i="93"/>
  <c r="N48" i="93"/>
  <c r="M48" i="93" s="1"/>
  <c r="V22" i="93"/>
  <c r="P45" i="93"/>
  <c r="Q48" i="93"/>
  <c r="P48" i="93" s="1"/>
  <c r="V33" i="93"/>
  <c r="W36" i="93"/>
  <c r="V36" i="93" s="1"/>
  <c r="V11" i="93"/>
  <c r="AA35" i="93"/>
  <c r="Z35" i="93" s="1"/>
  <c r="G45" i="93"/>
  <c r="H48" i="93"/>
  <c r="G48" i="93" s="1"/>
  <c r="H24" i="93"/>
  <c r="G24" i="93" s="1"/>
  <c r="G21" i="93"/>
  <c r="Y45" i="93"/>
  <c r="Y48" i="93" s="1"/>
  <c r="U24" i="93"/>
  <c r="D21" i="93"/>
  <c r="W21" i="93"/>
  <c r="E24" i="93"/>
  <c r="D24" i="93" s="1"/>
  <c r="D46" i="93"/>
  <c r="W46" i="93"/>
  <c r="V46" i="93" s="1"/>
  <c r="J45" i="93"/>
  <c r="K48" i="93"/>
  <c r="J48" i="93" s="1"/>
  <c r="W12" i="93"/>
  <c r="V12" i="93" s="1"/>
  <c r="AA33" i="93"/>
  <c r="C12" i="88"/>
  <c r="O12" i="88" s="1"/>
  <c r="O8" i="88"/>
  <c r="C9" i="88"/>
  <c r="K9" i="88"/>
  <c r="O10" i="88"/>
  <c r="O7" i="88"/>
  <c r="O11" i="88"/>
  <c r="B5" i="54"/>
  <c r="N5" i="53"/>
  <c r="J5" i="54"/>
  <c r="N6" i="54"/>
  <c r="N9" i="72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AA47" i="93" l="1"/>
  <c r="Z47" i="93" s="1"/>
  <c r="W48" i="93"/>
  <c r="V48" i="93" s="1"/>
  <c r="V21" i="93"/>
  <c r="W24" i="93"/>
  <c r="V24" i="93" s="1"/>
  <c r="AA45" i="93"/>
  <c r="Z33" i="93"/>
  <c r="AA36" i="93"/>
  <c r="Z36" i="93" s="1"/>
  <c r="AA46" i="93"/>
  <c r="Z46" i="93" s="1"/>
  <c r="C13" i="88"/>
  <c r="P6" i="53"/>
  <c r="O9" i="88"/>
  <c r="O13" i="88"/>
  <c r="K9" i="72"/>
  <c r="G9" i="72"/>
  <c r="J9" i="72"/>
  <c r="N5" i="54"/>
  <c r="P6" i="54"/>
  <c r="AA48" i="51"/>
  <c r="AA48" i="93" l="1"/>
  <c r="Z45" i="93"/>
  <c r="Z48" i="51"/>
  <c r="AA50" i="51"/>
  <c r="M9" i="72"/>
  <c r="I9" i="72"/>
  <c r="L9" i="72"/>
  <c r="Z48" i="93" l="1"/>
  <c r="E9" i="72"/>
  <c r="H9" i="72"/>
  <c r="O6" i="72"/>
  <c r="C72" i="72" l="1"/>
  <c r="D9" i="72"/>
  <c r="F9" i="72"/>
  <c r="D72" i="72" l="1"/>
  <c r="O7" i="72"/>
  <c r="E72" i="72" l="1"/>
  <c r="F72" i="72" l="1"/>
  <c r="G72" i="72" l="1"/>
  <c r="H72" i="72" l="1"/>
  <c r="I72" i="72" l="1"/>
  <c r="J72" i="72" l="1"/>
  <c r="K72" i="72"/>
  <c r="L72" i="72" l="1"/>
  <c r="M72" i="72"/>
  <c r="N72" i="72" l="1"/>
  <c r="O14" i="75" l="1"/>
  <c r="O10" i="75" l="1"/>
  <c r="C71" i="72" l="1"/>
  <c r="C74" i="72" l="1"/>
  <c r="C76" i="72" l="1"/>
  <c r="E71" i="72" l="1"/>
  <c r="H71" i="72"/>
  <c r="M71" i="72"/>
  <c r="G71" i="72"/>
  <c r="J71" i="72"/>
  <c r="F71" i="72"/>
  <c r="I71" i="72"/>
  <c r="L71" i="72"/>
  <c r="I74" i="72" l="1"/>
  <c r="I76" i="72" s="1"/>
  <c r="M74" i="72"/>
  <c r="M76" i="72" s="1"/>
  <c r="H74" i="72"/>
  <c r="H76" i="72" s="1"/>
  <c r="L74" i="72"/>
  <c r="L76" i="72" s="1"/>
  <c r="F74" i="72"/>
  <c r="F76" i="72" s="1"/>
  <c r="J74" i="72"/>
  <c r="J76" i="72" s="1"/>
  <c r="G74" i="72"/>
  <c r="G76" i="72" s="1"/>
  <c r="E74" i="72"/>
  <c r="E76" i="72" s="1"/>
  <c r="K71" i="72"/>
  <c r="N71" i="72"/>
  <c r="D71" i="72"/>
  <c r="O7" i="70"/>
  <c r="D74" i="72" l="1"/>
  <c r="D76" i="72" s="1"/>
  <c r="N74" i="72"/>
  <c r="N76" i="72" s="1"/>
  <c r="K74" i="72"/>
  <c r="K76" i="72" s="1"/>
  <c r="O8" i="72"/>
  <c r="O9" i="72"/>
  <c r="Q9" i="72" s="1"/>
  <c r="D12" i="89" l="1"/>
  <c r="D14" i="89" s="1"/>
  <c r="E12" i="89"/>
  <c r="E14" i="89" s="1"/>
  <c r="F12" i="89" s="1"/>
  <c r="E14" i="90" l="1"/>
  <c r="F14" i="89"/>
  <c r="G12" i="89" s="1"/>
  <c r="M14" i="90"/>
  <c r="N12" i="90" s="1"/>
  <c r="G14" i="90"/>
  <c r="F12" i="90"/>
  <c r="D14" i="90"/>
  <c r="C14" i="90"/>
  <c r="C15" i="90" s="1"/>
  <c r="C12" i="92" s="1"/>
  <c r="C13" i="92" s="1"/>
  <c r="O13" i="90"/>
  <c r="O15" i="89"/>
  <c r="C32" i="114" l="1"/>
  <c r="C34" i="114" s="1"/>
  <c r="C32" i="118"/>
  <c r="C34" i="118" s="1"/>
  <c r="C32" i="117"/>
  <c r="C34" i="117" s="1"/>
  <c r="F14" i="90"/>
  <c r="G12" i="90" s="1"/>
  <c r="G14" i="89"/>
  <c r="H12" i="89" s="1"/>
  <c r="H14" i="89" s="1"/>
  <c r="I12" i="89" s="1"/>
  <c r="D10" i="92"/>
  <c r="C60" i="92"/>
  <c r="D12" i="90"/>
  <c r="D15" i="90" s="1"/>
  <c r="D12" i="92" s="1"/>
  <c r="D60" i="92" s="1"/>
  <c r="G15" i="90"/>
  <c r="G12" i="92" s="1"/>
  <c r="G60" i="92" s="1"/>
  <c r="H12" i="90"/>
  <c r="E12" i="90"/>
  <c r="E15" i="90" s="1"/>
  <c r="E12" i="92" s="1"/>
  <c r="E60" i="92" s="1"/>
  <c r="J10" i="124" l="1"/>
  <c r="J9" i="124"/>
  <c r="D13" i="121"/>
  <c r="J11" i="124"/>
  <c r="D13" i="120"/>
  <c r="D13" i="119"/>
  <c r="M10" i="124"/>
  <c r="G13" i="121"/>
  <c r="M9" i="124"/>
  <c r="G13" i="120"/>
  <c r="M11" i="124"/>
  <c r="G13" i="119"/>
  <c r="D13" i="92"/>
  <c r="K10" i="124"/>
  <c r="E13" i="120"/>
  <c r="K9" i="124"/>
  <c r="E13" i="121"/>
  <c r="E13" i="119"/>
  <c r="K11" i="124"/>
  <c r="I10" i="124"/>
  <c r="I11" i="124"/>
  <c r="I9" i="124"/>
  <c r="C13" i="121"/>
  <c r="C13" i="120"/>
  <c r="C13" i="119"/>
  <c r="C61" i="92"/>
  <c r="F15" i="90"/>
  <c r="F12" i="92" s="1"/>
  <c r="F60" i="92" s="1"/>
  <c r="H14" i="90"/>
  <c r="I12" i="90" s="1"/>
  <c r="I14" i="89"/>
  <c r="J12" i="89" s="1"/>
  <c r="D58" i="92"/>
  <c r="E10" i="92"/>
  <c r="N25" i="124" l="1"/>
  <c r="K24" i="124"/>
  <c r="N32" i="124"/>
  <c r="J31" i="124"/>
  <c r="Q32" i="124"/>
  <c r="M31" i="124"/>
  <c r="O32" i="124"/>
  <c r="K31" i="124"/>
  <c r="D79" i="72"/>
  <c r="M18" i="124"/>
  <c r="K17" i="124"/>
  <c r="K12" i="124"/>
  <c r="D61" i="92"/>
  <c r="L10" i="124"/>
  <c r="F13" i="121"/>
  <c r="L9" i="124"/>
  <c r="F13" i="120"/>
  <c r="F13" i="119"/>
  <c r="L11" i="124"/>
  <c r="C79" i="72"/>
  <c r="C15" i="121"/>
  <c r="P25" i="124"/>
  <c r="M24" i="124"/>
  <c r="I31" i="124"/>
  <c r="I33" i="124" s="1"/>
  <c r="J30" i="124" s="1"/>
  <c r="M32" i="124"/>
  <c r="L25" i="124"/>
  <c r="I24" i="124"/>
  <c r="I26" i="124" s="1"/>
  <c r="J23" i="124" s="1"/>
  <c r="L18" i="124"/>
  <c r="L37" i="124" s="1"/>
  <c r="F11" i="72" s="1"/>
  <c r="J12" i="124"/>
  <c r="J17" i="124"/>
  <c r="D27" i="73"/>
  <c r="C14" i="120"/>
  <c r="C63" i="92"/>
  <c r="C14" i="121"/>
  <c r="C14" i="119"/>
  <c r="M17" i="124"/>
  <c r="M12" i="124"/>
  <c r="O18" i="124"/>
  <c r="G79" i="72"/>
  <c r="K18" i="124"/>
  <c r="I12" i="124"/>
  <c r="E79" i="72"/>
  <c r="M25" i="124"/>
  <c r="J24" i="124"/>
  <c r="E13" i="92"/>
  <c r="F10" i="92" s="1"/>
  <c r="H15" i="90"/>
  <c r="H12" i="92" s="1"/>
  <c r="H60" i="92" s="1"/>
  <c r="I14" i="90"/>
  <c r="J14" i="89"/>
  <c r="K12" i="89" s="1"/>
  <c r="C74" i="96"/>
  <c r="D74" i="96"/>
  <c r="Q66" i="96"/>
  <c r="C77" i="96"/>
  <c r="C80" i="96"/>
  <c r="C97" i="96" s="1"/>
  <c r="C78" i="96"/>
  <c r="C95" i="96" s="1"/>
  <c r="C79" i="96"/>
  <c r="C96" i="96" s="1"/>
  <c r="D78" i="96"/>
  <c r="D95" i="96" s="1"/>
  <c r="D79" i="96"/>
  <c r="D96" i="96" s="1"/>
  <c r="D75" i="96"/>
  <c r="D92" i="96" s="1"/>
  <c r="D73" i="96"/>
  <c r="D76" i="96"/>
  <c r="D93" i="96" s="1"/>
  <c r="D80" i="96"/>
  <c r="D97" i="96" s="1"/>
  <c r="C75" i="96"/>
  <c r="C92" i="96" s="1"/>
  <c r="C76" i="96"/>
  <c r="C93" i="96" s="1"/>
  <c r="C73" i="96"/>
  <c r="D77" i="96"/>
  <c r="M36" i="124" l="1"/>
  <c r="M40" i="124" s="1"/>
  <c r="C15" i="119"/>
  <c r="C66" i="92" s="1"/>
  <c r="J36" i="124"/>
  <c r="J40" i="124" s="1"/>
  <c r="O25" i="124"/>
  <c r="O37" i="124" s="1"/>
  <c r="I11" i="72" s="1"/>
  <c r="L24" i="124"/>
  <c r="F79" i="72"/>
  <c r="E27" i="73"/>
  <c r="D14" i="120"/>
  <c r="D15" i="120" s="1"/>
  <c r="D63" i="92"/>
  <c r="D14" i="121"/>
  <c r="D15" i="121" s="1"/>
  <c r="D14" i="119"/>
  <c r="D15" i="119" s="1"/>
  <c r="D66" i="92" s="1"/>
  <c r="C15" i="120"/>
  <c r="L31" i="124"/>
  <c r="P32" i="124"/>
  <c r="I36" i="124"/>
  <c r="I19" i="124"/>
  <c r="J16" i="124" s="1"/>
  <c r="J19" i="124" s="1"/>
  <c r="K16" i="124" s="1"/>
  <c r="K19" i="124" s="1"/>
  <c r="L16" i="124" s="1"/>
  <c r="L19" i="124" s="1"/>
  <c r="M16" i="124" s="1"/>
  <c r="M19" i="124" s="1"/>
  <c r="N16" i="124" s="1"/>
  <c r="M37" i="124"/>
  <c r="G11" i="72" s="1"/>
  <c r="E58" i="92"/>
  <c r="E61" i="92" s="1"/>
  <c r="G80" i="72"/>
  <c r="G9" i="70"/>
  <c r="J26" i="124"/>
  <c r="K23" i="124" s="1"/>
  <c r="K26" i="124" s="1"/>
  <c r="L23" i="124" s="1"/>
  <c r="J33" i="124"/>
  <c r="K30" i="124" s="1"/>
  <c r="K33" i="124" s="1"/>
  <c r="L30" i="124" s="1"/>
  <c r="N18" i="124"/>
  <c r="N37" i="124" s="1"/>
  <c r="H11" i="72" s="1"/>
  <c r="L17" i="124"/>
  <c r="L12" i="124"/>
  <c r="K37" i="124"/>
  <c r="N11" i="124"/>
  <c r="H13" i="121"/>
  <c r="N10" i="124"/>
  <c r="H13" i="120"/>
  <c r="N9" i="124"/>
  <c r="H13" i="119"/>
  <c r="K36" i="124"/>
  <c r="K40" i="124" s="1"/>
  <c r="D12" i="127"/>
  <c r="D13" i="127"/>
  <c r="D75" i="127" s="1"/>
  <c r="D8" i="127"/>
  <c r="C12" i="127"/>
  <c r="C11" i="127"/>
  <c r="D9" i="127"/>
  <c r="D11" i="127"/>
  <c r="D61" i="127" s="1"/>
  <c r="C9" i="127"/>
  <c r="C8" i="127"/>
  <c r="D68" i="127"/>
  <c r="C13" i="127"/>
  <c r="F13" i="92"/>
  <c r="G10" i="92" s="1"/>
  <c r="J12" i="90"/>
  <c r="I15" i="90"/>
  <c r="I12" i="92" s="1"/>
  <c r="I60" i="92" s="1"/>
  <c r="J14" i="90"/>
  <c r="K12" i="90" s="1"/>
  <c r="K14" i="89"/>
  <c r="L12" i="89" s="1"/>
  <c r="O74" i="96"/>
  <c r="Q74" i="96" s="1"/>
  <c r="Q91" i="96" s="1"/>
  <c r="C81" i="96"/>
  <c r="C22" i="115" s="1"/>
  <c r="D81" i="96"/>
  <c r="D22" i="115" s="1"/>
  <c r="D24" i="115" s="1"/>
  <c r="E76" i="96"/>
  <c r="E93" i="96" s="1"/>
  <c r="E80" i="96"/>
  <c r="E97" i="96" s="1"/>
  <c r="E78" i="96"/>
  <c r="E95" i="96" s="1"/>
  <c r="E77" i="96"/>
  <c r="E79" i="96"/>
  <c r="E96" i="96" s="1"/>
  <c r="G77" i="96"/>
  <c r="K75" i="96"/>
  <c r="K92" i="96" s="1"/>
  <c r="M77" i="96"/>
  <c r="I80" i="96"/>
  <c r="I97" i="96" s="1"/>
  <c r="J77" i="96"/>
  <c r="I77" i="96"/>
  <c r="F77" i="96"/>
  <c r="M75" i="96"/>
  <c r="M92" i="96" s="1"/>
  <c r="I76" i="96"/>
  <c r="I93" i="96" s="1"/>
  <c r="H78" i="96"/>
  <c r="H95" i="96" s="1"/>
  <c r="L80" i="96"/>
  <c r="L97" i="96" s="1"/>
  <c r="H75" i="96"/>
  <c r="H92" i="96" s="1"/>
  <c r="M78" i="96"/>
  <c r="M95" i="96" s="1"/>
  <c r="K76" i="96"/>
  <c r="K93" i="96" s="1"/>
  <c r="H73" i="96"/>
  <c r="J80" i="96"/>
  <c r="J97" i="96" s="1"/>
  <c r="F79" i="96"/>
  <c r="F96" i="96" s="1"/>
  <c r="M80" i="96"/>
  <c r="M97" i="96" s="1"/>
  <c r="K77" i="96"/>
  <c r="G76" i="96"/>
  <c r="G93" i="96" s="1"/>
  <c r="I78" i="96"/>
  <c r="I95" i="96" s="1"/>
  <c r="J78" i="96"/>
  <c r="J95" i="96" s="1"/>
  <c r="G79" i="96"/>
  <c r="G96" i="96" s="1"/>
  <c r="N76" i="96"/>
  <c r="N93" i="96" s="1"/>
  <c r="K73" i="96"/>
  <c r="K78" i="96"/>
  <c r="K95" i="96" s="1"/>
  <c r="H77" i="96"/>
  <c r="L79" i="96"/>
  <c r="L96" i="96" s="1"/>
  <c r="N80" i="96"/>
  <c r="N97" i="96" s="1"/>
  <c r="H79" i="96"/>
  <c r="H96" i="96" s="1"/>
  <c r="J73" i="96"/>
  <c r="H76" i="96"/>
  <c r="H93" i="96" s="1"/>
  <c r="F73" i="96"/>
  <c r="N73" i="96"/>
  <c r="K80" i="96"/>
  <c r="K97" i="96" s="1"/>
  <c r="F80" i="96"/>
  <c r="F97" i="96" s="1"/>
  <c r="J76" i="96"/>
  <c r="J93" i="96" s="1"/>
  <c r="M73" i="96"/>
  <c r="G73" i="96"/>
  <c r="N78" i="96"/>
  <c r="N95" i="96" s="1"/>
  <c r="L76" i="96"/>
  <c r="L93" i="96" s="1"/>
  <c r="F75" i="96"/>
  <c r="F92" i="96" s="1"/>
  <c r="I79" i="96"/>
  <c r="I96" i="96" s="1"/>
  <c r="N75" i="96"/>
  <c r="N92" i="96" s="1"/>
  <c r="L78" i="96"/>
  <c r="L95" i="96" s="1"/>
  <c r="H80" i="96"/>
  <c r="H97" i="96" s="1"/>
  <c r="N79" i="96"/>
  <c r="N96" i="96" s="1"/>
  <c r="J75" i="96"/>
  <c r="J92" i="96" s="1"/>
  <c r="M76" i="96"/>
  <c r="M93" i="96" s="1"/>
  <c r="F78" i="96"/>
  <c r="F95" i="96" s="1"/>
  <c r="G75" i="96"/>
  <c r="G92" i="96" s="1"/>
  <c r="E75" i="96"/>
  <c r="E92" i="96" s="1"/>
  <c r="L77" i="96"/>
  <c r="I73" i="96"/>
  <c r="E73" i="96"/>
  <c r="J79" i="96"/>
  <c r="J96" i="96" s="1"/>
  <c r="L73" i="96"/>
  <c r="M79" i="96"/>
  <c r="M96" i="96" s="1"/>
  <c r="I75" i="96"/>
  <c r="I92" i="96" s="1"/>
  <c r="Q70" i="96"/>
  <c r="G78" i="96"/>
  <c r="G95" i="96" s="1"/>
  <c r="Q68" i="96"/>
  <c r="F76" i="96"/>
  <c r="F93" i="96" s="1"/>
  <c r="Q67" i="96"/>
  <c r="L75" i="96"/>
  <c r="L92" i="96" s="1"/>
  <c r="Q69" i="96"/>
  <c r="N77" i="96"/>
  <c r="Q71" i="96"/>
  <c r="K79" i="96"/>
  <c r="K96" i="96" s="1"/>
  <c r="Q72" i="96"/>
  <c r="G80" i="96"/>
  <c r="G97" i="96" s="1"/>
  <c r="L33" i="124" l="1"/>
  <c r="M30" i="124" s="1"/>
  <c r="M33" i="124" s="1"/>
  <c r="N30" i="124" s="1"/>
  <c r="E9" i="70"/>
  <c r="E80" i="72"/>
  <c r="N17" i="124"/>
  <c r="N12" i="124"/>
  <c r="P18" i="124"/>
  <c r="F27" i="73"/>
  <c r="E14" i="121"/>
  <c r="E14" i="119"/>
  <c r="E15" i="119" s="1"/>
  <c r="E66" i="92" s="1"/>
  <c r="E14" i="120"/>
  <c r="E15" i="120" s="1"/>
  <c r="F58" i="92"/>
  <c r="F61" i="92" s="1"/>
  <c r="E63" i="92"/>
  <c r="R32" i="124"/>
  <c r="N31" i="124"/>
  <c r="N33" i="124" s="1"/>
  <c r="O30" i="124" s="1"/>
  <c r="I40" i="124"/>
  <c r="I38" i="124"/>
  <c r="E11" i="72"/>
  <c r="H79" i="72"/>
  <c r="D9" i="70"/>
  <c r="D80" i="72"/>
  <c r="I13" i="119"/>
  <c r="O9" i="124"/>
  <c r="O11" i="124"/>
  <c r="I13" i="121"/>
  <c r="O10" i="124"/>
  <c r="I13" i="120"/>
  <c r="N19" i="124"/>
  <c r="O16" i="124" s="1"/>
  <c r="Q25" i="124"/>
  <c r="N24" i="124"/>
  <c r="L36" i="124"/>
  <c r="L40" i="124" s="1"/>
  <c r="L26" i="124"/>
  <c r="M23" i="124" s="1"/>
  <c r="M26" i="124" s="1"/>
  <c r="N23" i="124" s="1"/>
  <c r="N12" i="127"/>
  <c r="J13" i="127"/>
  <c r="J75" i="127" s="1"/>
  <c r="H12" i="127"/>
  <c r="G12" i="127"/>
  <c r="J9" i="127"/>
  <c r="F13" i="127"/>
  <c r="F75" i="127" s="1"/>
  <c r="L8" i="127"/>
  <c r="E11" i="127"/>
  <c r="O86" i="96"/>
  <c r="Q86" i="96" s="1"/>
  <c r="E8" i="127"/>
  <c r="K13" i="127"/>
  <c r="K75" i="127" s="1"/>
  <c r="E13" i="127"/>
  <c r="E75" i="127" s="1"/>
  <c r="O88" i="96"/>
  <c r="Q88" i="96" s="1"/>
  <c r="H8" i="127"/>
  <c r="J8" i="127"/>
  <c r="F9" i="127"/>
  <c r="O84" i="96"/>
  <c r="Q84" i="96" s="1"/>
  <c r="H13" i="127"/>
  <c r="H75" i="127" s="1"/>
  <c r="K9" i="127"/>
  <c r="N13" i="127"/>
  <c r="N75" i="127" s="1"/>
  <c r="L13" i="127"/>
  <c r="L75" i="127" s="1"/>
  <c r="I11" i="127"/>
  <c r="G9" i="127"/>
  <c r="G8" i="127"/>
  <c r="K8" i="127"/>
  <c r="K61" i="127" s="1"/>
  <c r="L11" i="127"/>
  <c r="M11" i="127"/>
  <c r="E9" i="127"/>
  <c r="E68" i="127" s="1"/>
  <c r="F8" i="127"/>
  <c r="H11" i="127"/>
  <c r="G13" i="127"/>
  <c r="G75" i="127" s="1"/>
  <c r="M13" i="127"/>
  <c r="M75" i="127" s="1"/>
  <c r="M9" i="127"/>
  <c r="E12" i="127"/>
  <c r="L12" i="127"/>
  <c r="I12" i="127"/>
  <c r="M12" i="127"/>
  <c r="L9" i="127"/>
  <c r="I9" i="127"/>
  <c r="J11" i="127"/>
  <c r="K12" i="127"/>
  <c r="I13" i="127"/>
  <c r="I75" i="127" s="1"/>
  <c r="F11" i="127"/>
  <c r="F12" i="127"/>
  <c r="O87" i="96"/>
  <c r="Q87" i="96" s="1"/>
  <c r="H9" i="127"/>
  <c r="G11" i="127"/>
  <c r="N8" i="127"/>
  <c r="I8" i="127"/>
  <c r="K11" i="127"/>
  <c r="J12" i="127"/>
  <c r="N11" i="127"/>
  <c r="N9" i="127"/>
  <c r="M8" i="127"/>
  <c r="D38" i="115"/>
  <c r="D34" i="119" s="1"/>
  <c r="D81" i="121"/>
  <c r="L68" i="127"/>
  <c r="C68" i="127"/>
  <c r="C61" i="127"/>
  <c r="C75" i="127"/>
  <c r="C77" i="127" s="1"/>
  <c r="D34" i="120"/>
  <c r="C24" i="115"/>
  <c r="C81" i="121" s="1"/>
  <c r="G13" i="92"/>
  <c r="H10" i="92" s="1"/>
  <c r="H13" i="92" s="1"/>
  <c r="I10" i="92" s="1"/>
  <c r="J15" i="90"/>
  <c r="J12" i="92" s="1"/>
  <c r="J60" i="92" s="1"/>
  <c r="K14" i="90"/>
  <c r="L14" i="89"/>
  <c r="M12" i="89" s="1"/>
  <c r="Q73" i="96"/>
  <c r="F81" i="96"/>
  <c r="F22" i="115" s="1"/>
  <c r="F24" i="115" s="1"/>
  <c r="O79" i="96"/>
  <c r="Q79" i="96" s="1"/>
  <c r="Q96" i="96" s="1"/>
  <c r="O78" i="96"/>
  <c r="Q78" i="96" s="1"/>
  <c r="Q95" i="96" s="1"/>
  <c r="M81" i="96"/>
  <c r="M22" i="115" s="1"/>
  <c r="M24" i="115" s="1"/>
  <c r="J81" i="96"/>
  <c r="J22" i="115" s="1"/>
  <c r="J24" i="115" s="1"/>
  <c r="O80" i="96"/>
  <c r="Q80" i="96" s="1"/>
  <c r="Q97" i="96" s="1"/>
  <c r="K81" i="96"/>
  <c r="K22" i="115" s="1"/>
  <c r="K24" i="115" s="1"/>
  <c r="O76" i="96"/>
  <c r="Q76" i="96" s="1"/>
  <c r="Q93" i="96" s="1"/>
  <c r="L81" i="96"/>
  <c r="L22" i="115" s="1"/>
  <c r="L24" i="115" s="1"/>
  <c r="N81" i="96"/>
  <c r="N22" i="115" s="1"/>
  <c r="N24" i="115" s="1"/>
  <c r="H81" i="96"/>
  <c r="H22" i="115" s="1"/>
  <c r="H24" i="115" s="1"/>
  <c r="I81" i="96"/>
  <c r="I22" i="115" s="1"/>
  <c r="I24" i="115" s="1"/>
  <c r="G81" i="96"/>
  <c r="G22" i="115" s="1"/>
  <c r="G24" i="115" s="1"/>
  <c r="O75" i="96"/>
  <c r="Q75" i="96" s="1"/>
  <c r="Q92" i="96" s="1"/>
  <c r="O73" i="96"/>
  <c r="E81" i="96"/>
  <c r="E22" i="115" s="1"/>
  <c r="E24" i="115" s="1"/>
  <c r="O77" i="96"/>
  <c r="Q77" i="96" s="1"/>
  <c r="Q94" i="96" s="1"/>
  <c r="O12" i="127" l="1"/>
  <c r="I61" i="127"/>
  <c r="K68" i="127"/>
  <c r="O8" i="127"/>
  <c r="J68" i="127"/>
  <c r="N26" i="124"/>
  <c r="O23" i="124" s="1"/>
  <c r="G27" i="73"/>
  <c r="F14" i="119"/>
  <c r="F15" i="119" s="1"/>
  <c r="F66" i="92" s="1"/>
  <c r="F14" i="121"/>
  <c r="F15" i="121" s="1"/>
  <c r="F14" i="120"/>
  <c r="F15" i="120" s="1"/>
  <c r="F63" i="92"/>
  <c r="G58" i="92"/>
  <c r="G61" i="92" s="1"/>
  <c r="P37" i="124"/>
  <c r="I79" i="72"/>
  <c r="O31" i="124"/>
  <c r="O33" i="124" s="1"/>
  <c r="P30" i="124" s="1"/>
  <c r="S32" i="124"/>
  <c r="N36" i="124"/>
  <c r="N40" i="124" s="1"/>
  <c r="E15" i="121"/>
  <c r="O17" i="124"/>
  <c r="O19" i="124" s="1"/>
  <c r="P16" i="124" s="1"/>
  <c r="Q18" i="124"/>
  <c r="Q37" i="124" s="1"/>
  <c r="K11" i="72" s="1"/>
  <c r="O12" i="124"/>
  <c r="F80" i="72"/>
  <c r="F9" i="70"/>
  <c r="J13" i="119"/>
  <c r="P11" i="124"/>
  <c r="J13" i="121"/>
  <c r="J13" i="120"/>
  <c r="P10" i="124"/>
  <c r="P9" i="124"/>
  <c r="C9" i="70"/>
  <c r="C80" i="72"/>
  <c r="O24" i="124"/>
  <c r="O26" i="124" s="1"/>
  <c r="P23" i="124" s="1"/>
  <c r="R25" i="124"/>
  <c r="D31" i="73"/>
  <c r="J35" i="124"/>
  <c r="J38" i="124" s="1"/>
  <c r="E61" i="127"/>
  <c r="O11" i="127"/>
  <c r="J61" i="127"/>
  <c r="N22" i="127"/>
  <c r="N23" i="127" s="1"/>
  <c r="F68" i="127"/>
  <c r="N61" i="127"/>
  <c r="G68" i="127"/>
  <c r="H68" i="127"/>
  <c r="I68" i="127"/>
  <c r="O13" i="127"/>
  <c r="O93" i="96"/>
  <c r="C22" i="128" s="1"/>
  <c r="C26" i="128" s="1"/>
  <c r="C67" i="127" s="1"/>
  <c r="C72" i="127" s="1"/>
  <c r="D67" i="127" s="1"/>
  <c r="O97" i="96"/>
  <c r="O9" i="127"/>
  <c r="O95" i="96"/>
  <c r="H61" i="127"/>
  <c r="O83" i="96"/>
  <c r="Q83" i="96" s="1"/>
  <c r="N68" i="127"/>
  <c r="O96" i="96"/>
  <c r="G61" i="127"/>
  <c r="L61" i="127"/>
  <c r="M61" i="127"/>
  <c r="D31" i="121"/>
  <c r="F61" i="127"/>
  <c r="O92" i="96"/>
  <c r="C13" i="128" s="1"/>
  <c r="C14" i="128" s="1"/>
  <c r="M68" i="127"/>
  <c r="J38" i="115"/>
  <c r="J31" i="121" s="1"/>
  <c r="J81" i="121"/>
  <c r="G38" i="115"/>
  <c r="G34" i="119" s="1"/>
  <c r="G81" i="121"/>
  <c r="E38" i="115"/>
  <c r="E34" i="120" s="1"/>
  <c r="E81" i="121"/>
  <c r="N38" i="115"/>
  <c r="N34" i="119" s="1"/>
  <c r="N81" i="121"/>
  <c r="K38" i="115"/>
  <c r="K34" i="119" s="1"/>
  <c r="K81" i="121"/>
  <c r="M38" i="115"/>
  <c r="M31" i="121" s="1"/>
  <c r="M81" i="121"/>
  <c r="I38" i="115"/>
  <c r="I31" i="121" s="1"/>
  <c r="I81" i="121"/>
  <c r="H38" i="115"/>
  <c r="H31" i="121" s="1"/>
  <c r="H81" i="121"/>
  <c r="L38" i="115"/>
  <c r="L31" i="121" s="1"/>
  <c r="L81" i="121"/>
  <c r="D93" i="121"/>
  <c r="D83" i="121"/>
  <c r="F38" i="115"/>
  <c r="F31" i="121" s="1"/>
  <c r="F81" i="121"/>
  <c r="C93" i="121"/>
  <c r="C83" i="121"/>
  <c r="D74" i="127"/>
  <c r="D77" i="127" s="1"/>
  <c r="C86" i="127"/>
  <c r="D43" i="73"/>
  <c r="C97" i="72" s="1"/>
  <c r="N26" i="127"/>
  <c r="J34" i="120"/>
  <c r="J34" i="119"/>
  <c r="F34" i="120"/>
  <c r="G31" i="121"/>
  <c r="C38" i="115"/>
  <c r="O24" i="115"/>
  <c r="O38" i="115" s="1"/>
  <c r="O22" i="115"/>
  <c r="I13" i="92"/>
  <c r="J10" i="92" s="1"/>
  <c r="J13" i="92" s="1"/>
  <c r="K10" i="92" s="1"/>
  <c r="L12" i="90"/>
  <c r="K15" i="90"/>
  <c r="K12" i="92" s="1"/>
  <c r="K60" i="92" s="1"/>
  <c r="L14" i="90"/>
  <c r="M12" i="90" s="1"/>
  <c r="M15" i="90" s="1"/>
  <c r="M12" i="92" s="1"/>
  <c r="M60" i="92" s="1"/>
  <c r="M14" i="89"/>
  <c r="N12" i="89" s="1"/>
  <c r="N14" i="89" s="1"/>
  <c r="Q12" i="89" s="1"/>
  <c r="Q15" i="89" s="1"/>
  <c r="Q81" i="96"/>
  <c r="O81" i="96"/>
  <c r="H28" i="127" l="1"/>
  <c r="C23" i="128"/>
  <c r="H29" i="127" s="1"/>
  <c r="C24" i="128"/>
  <c r="H30" i="127" s="1"/>
  <c r="L34" i="120"/>
  <c r="L34" i="119"/>
  <c r="G34" i="120"/>
  <c r="F34" i="119"/>
  <c r="N31" i="121"/>
  <c r="M13" i="120"/>
  <c r="M13" i="119"/>
  <c r="S11" i="124"/>
  <c r="S31" i="124" s="1"/>
  <c r="S10" i="124"/>
  <c r="S24" i="124" s="1"/>
  <c r="M13" i="121"/>
  <c r="S9" i="124"/>
  <c r="C82" i="72"/>
  <c r="C84" i="72" s="1"/>
  <c r="R18" i="124"/>
  <c r="P17" i="124"/>
  <c r="P12" i="124"/>
  <c r="E31" i="73"/>
  <c r="D81" i="72" s="1"/>
  <c r="D82" i="72" s="1"/>
  <c r="D84" i="72" s="1"/>
  <c r="K35" i="124"/>
  <c r="K38" i="124" s="1"/>
  <c r="J11" i="72"/>
  <c r="P24" i="124"/>
  <c r="P26" i="124" s="1"/>
  <c r="Q23" i="124" s="1"/>
  <c r="S25" i="124"/>
  <c r="J79" i="72"/>
  <c r="K13" i="121"/>
  <c r="K13" i="119"/>
  <c r="Q11" i="124"/>
  <c r="Q31" i="124" s="1"/>
  <c r="K13" i="120"/>
  <c r="Q10" i="124"/>
  <c r="Q9" i="124"/>
  <c r="O36" i="124"/>
  <c r="O40" i="124" s="1"/>
  <c r="T32" i="124"/>
  <c r="U32" i="124" s="1"/>
  <c r="P31" i="124"/>
  <c r="P33" i="124" s="1"/>
  <c r="Q30" i="124" s="1"/>
  <c r="Q33" i="124" s="1"/>
  <c r="R30" i="124" s="1"/>
  <c r="H80" i="72"/>
  <c r="H9" i="70"/>
  <c r="H27" i="73"/>
  <c r="G14" i="119"/>
  <c r="G14" i="121"/>
  <c r="G14" i="120"/>
  <c r="G63" i="92"/>
  <c r="H58" i="92"/>
  <c r="H61" i="92" s="1"/>
  <c r="C81" i="72"/>
  <c r="C17" i="128"/>
  <c r="C40" i="127" s="1"/>
  <c r="C15" i="128"/>
  <c r="C64" i="127" s="1"/>
  <c r="M34" i="119"/>
  <c r="M34" i="120"/>
  <c r="E31" i="121"/>
  <c r="E34" i="119"/>
  <c r="K31" i="121"/>
  <c r="N93" i="121"/>
  <c r="N83" i="121"/>
  <c r="H34" i="119"/>
  <c r="K83" i="121"/>
  <c r="K93" i="121"/>
  <c r="H34" i="120"/>
  <c r="F93" i="121"/>
  <c r="F83" i="121"/>
  <c r="E93" i="121"/>
  <c r="E83" i="121"/>
  <c r="M93" i="121"/>
  <c r="M83" i="121"/>
  <c r="K34" i="120"/>
  <c r="G93" i="121"/>
  <c r="G83" i="121"/>
  <c r="D121" i="121"/>
  <c r="D122" i="121" s="1"/>
  <c r="D94" i="121"/>
  <c r="H93" i="121"/>
  <c r="H83" i="121"/>
  <c r="I93" i="121"/>
  <c r="I83" i="121"/>
  <c r="N34" i="120"/>
  <c r="I34" i="120"/>
  <c r="L93" i="121"/>
  <c r="L83" i="121"/>
  <c r="J83" i="121"/>
  <c r="J93" i="121"/>
  <c r="I34" i="119"/>
  <c r="C94" i="121"/>
  <c r="C121" i="121"/>
  <c r="E74" i="127"/>
  <c r="E77" i="127" s="1"/>
  <c r="E43" i="73"/>
  <c r="D97" i="72" s="1"/>
  <c r="D86" i="127"/>
  <c r="N24" i="127"/>
  <c r="N25" i="127" s="1"/>
  <c r="N63" i="127"/>
  <c r="C63" i="127"/>
  <c r="C25" i="128"/>
  <c r="D72" i="127"/>
  <c r="E67" i="127" s="1"/>
  <c r="E72" i="127" s="1"/>
  <c r="F67" i="127" s="1"/>
  <c r="N31" i="127"/>
  <c r="C34" i="120"/>
  <c r="C34" i="119"/>
  <c r="C31" i="121"/>
  <c r="G26" i="117"/>
  <c r="G26" i="114"/>
  <c r="G26" i="118"/>
  <c r="K13" i="92"/>
  <c r="L10" i="92" s="1"/>
  <c r="Q98" i="96"/>
  <c r="L15" i="90"/>
  <c r="L12" i="92" s="1"/>
  <c r="L60" i="92" s="1"/>
  <c r="Q49" i="90"/>
  <c r="N50" i="90" s="1"/>
  <c r="N51" i="90" s="1"/>
  <c r="Q67" i="90"/>
  <c r="N68" i="90" s="1"/>
  <c r="N69" i="90" s="1"/>
  <c r="Q58" i="90"/>
  <c r="N59" i="90" s="1"/>
  <c r="N60" i="90" s="1"/>
  <c r="Q31" i="90"/>
  <c r="N32" i="90" s="1"/>
  <c r="N33" i="90" s="1"/>
  <c r="Q22" i="90"/>
  <c r="N23" i="90" s="1"/>
  <c r="N24" i="90" s="1"/>
  <c r="Q40" i="90"/>
  <c r="N41" i="90" s="1"/>
  <c r="N42" i="90" s="1"/>
  <c r="Q13" i="90"/>
  <c r="N14" i="90" s="1"/>
  <c r="N15" i="90" s="1"/>
  <c r="C60" i="127" l="1"/>
  <c r="C16" i="128"/>
  <c r="E14" i="128"/>
  <c r="P36" i="124"/>
  <c r="G15" i="120"/>
  <c r="G15" i="121"/>
  <c r="P19" i="124"/>
  <c r="Q16" i="124" s="1"/>
  <c r="S17" i="124"/>
  <c r="S36" i="124" s="1"/>
  <c r="S12" i="124"/>
  <c r="M79" i="72"/>
  <c r="L13" i="121"/>
  <c r="L13" i="119"/>
  <c r="R11" i="124"/>
  <c r="R31" i="124" s="1"/>
  <c r="R33" i="124" s="1"/>
  <c r="S30" i="124" s="1"/>
  <c r="S33" i="124" s="1"/>
  <c r="T30" i="124" s="1"/>
  <c r="L13" i="120"/>
  <c r="R10" i="124"/>
  <c r="R24" i="124" s="1"/>
  <c r="R9" i="124"/>
  <c r="K79" i="72"/>
  <c r="Q24" i="124"/>
  <c r="Q26" i="124" s="1"/>
  <c r="R23" i="124" s="1"/>
  <c r="T25" i="124"/>
  <c r="U25" i="124" s="1"/>
  <c r="P40" i="124"/>
  <c r="R37" i="124"/>
  <c r="I27" i="73"/>
  <c r="H14" i="121"/>
  <c r="H15" i="121" s="1"/>
  <c r="H14" i="119"/>
  <c r="H15" i="119" s="1"/>
  <c r="H66" i="92" s="1"/>
  <c r="H14" i="120"/>
  <c r="H15" i="120" s="1"/>
  <c r="I58" i="92"/>
  <c r="I61" i="92" s="1"/>
  <c r="H63" i="92"/>
  <c r="L13" i="92"/>
  <c r="M10" i="92" s="1"/>
  <c r="I80" i="72"/>
  <c r="I9" i="70"/>
  <c r="F31" i="73"/>
  <c r="E81" i="72" s="1"/>
  <c r="E82" i="72" s="1"/>
  <c r="E84" i="72" s="1"/>
  <c r="L35" i="124"/>
  <c r="L38" i="124" s="1"/>
  <c r="G15" i="119"/>
  <c r="G66" i="92" s="1"/>
  <c r="Q17" i="124"/>
  <c r="Q36" i="124" s="1"/>
  <c r="S18" i="124"/>
  <c r="S37" i="124" s="1"/>
  <c r="M11" i="72" s="1"/>
  <c r="Q12" i="124"/>
  <c r="O34" i="119"/>
  <c r="K94" i="121"/>
  <c r="K121" i="121"/>
  <c r="K122" i="121" s="1"/>
  <c r="J94" i="121"/>
  <c r="J121" i="121"/>
  <c r="J122" i="121" s="1"/>
  <c r="G121" i="121"/>
  <c r="G122" i="121" s="1"/>
  <c r="G94" i="121"/>
  <c r="E121" i="121"/>
  <c r="E122" i="121" s="1"/>
  <c r="E94" i="121"/>
  <c r="I121" i="121"/>
  <c r="I122" i="121" s="1"/>
  <c r="I94" i="121"/>
  <c r="H121" i="121"/>
  <c r="H122" i="121" s="1"/>
  <c r="H94" i="121"/>
  <c r="M121" i="121"/>
  <c r="M122" i="121" s="1"/>
  <c r="M94" i="121"/>
  <c r="N121" i="121"/>
  <c r="N122" i="121" s="1"/>
  <c r="N94" i="121"/>
  <c r="L121" i="121"/>
  <c r="L122" i="121" s="1"/>
  <c r="L94" i="121"/>
  <c r="F121" i="121"/>
  <c r="F122" i="121" s="1"/>
  <c r="F94" i="121"/>
  <c r="C122" i="121"/>
  <c r="F74" i="127"/>
  <c r="F77" i="127" s="1"/>
  <c r="E86" i="127"/>
  <c r="F43" i="73"/>
  <c r="E97" i="72" s="1"/>
  <c r="N64" i="127"/>
  <c r="N62" i="127"/>
  <c r="C40" i="73"/>
  <c r="C65" i="127"/>
  <c r="F72" i="127"/>
  <c r="G67" i="127" s="1"/>
  <c r="N36" i="127"/>
  <c r="N35" i="127"/>
  <c r="O31" i="121"/>
  <c r="O34" i="120"/>
  <c r="O26" i="114"/>
  <c r="H26" i="114"/>
  <c r="O26" i="118"/>
  <c r="H26" i="118"/>
  <c r="O26" i="117"/>
  <c r="H26" i="117"/>
  <c r="M13" i="92"/>
  <c r="N10" i="92" s="1"/>
  <c r="N12" i="92"/>
  <c r="O15" i="90"/>
  <c r="N33" i="92"/>
  <c r="N34" i="92" s="1"/>
  <c r="O42" i="90"/>
  <c r="N19" i="92"/>
  <c r="N20" i="92" s="1"/>
  <c r="O24" i="90"/>
  <c r="N26" i="92"/>
  <c r="N27" i="92" s="1"/>
  <c r="O33" i="90"/>
  <c r="N47" i="92"/>
  <c r="N48" i="92" s="1"/>
  <c r="O60" i="90"/>
  <c r="N54" i="92"/>
  <c r="N55" i="92" s="1"/>
  <c r="O69" i="90"/>
  <c r="N40" i="92"/>
  <c r="N41" i="92" s="1"/>
  <c r="O51" i="90"/>
  <c r="C27" i="103"/>
  <c r="S40" i="124" l="1"/>
  <c r="Q40" i="124"/>
  <c r="R26" i="124"/>
  <c r="S23" i="124" s="1"/>
  <c r="S26" i="124" s="1"/>
  <c r="T23" i="124" s="1"/>
  <c r="L11" i="72"/>
  <c r="K80" i="72"/>
  <c r="K9" i="70"/>
  <c r="M80" i="72"/>
  <c r="M9" i="70"/>
  <c r="Q19" i="124"/>
  <c r="R16" i="124" s="1"/>
  <c r="R19" i="124" s="1"/>
  <c r="S16" i="124" s="1"/>
  <c r="S19" i="124" s="1"/>
  <c r="T16" i="124" s="1"/>
  <c r="G31" i="73"/>
  <c r="F81" i="72" s="1"/>
  <c r="F82" i="72" s="1"/>
  <c r="F84" i="72" s="1"/>
  <c r="M35" i="124"/>
  <c r="M38" i="124" s="1"/>
  <c r="R17" i="124"/>
  <c r="R36" i="124" s="1"/>
  <c r="T18" i="124"/>
  <c r="R12" i="124"/>
  <c r="N13" i="92"/>
  <c r="J27" i="73"/>
  <c r="I14" i="120"/>
  <c r="I15" i="120" s="1"/>
  <c r="I14" i="121"/>
  <c r="I14" i="119"/>
  <c r="I15" i="119" s="1"/>
  <c r="I66" i="92" s="1"/>
  <c r="J58" i="92"/>
  <c r="J61" i="92" s="1"/>
  <c r="I63" i="92"/>
  <c r="L79" i="72"/>
  <c r="J9" i="70"/>
  <c r="J80" i="72"/>
  <c r="G74" i="127"/>
  <c r="G77" i="127" s="1"/>
  <c r="F86" i="127"/>
  <c r="G43" i="73"/>
  <c r="F97" i="72" s="1"/>
  <c r="D40" i="73"/>
  <c r="C85" i="127"/>
  <c r="D60" i="127"/>
  <c r="D65" i="127" s="1"/>
  <c r="G72" i="127"/>
  <c r="H67" i="127" s="1"/>
  <c r="O40" i="92"/>
  <c r="O54" i="92"/>
  <c r="O47" i="92"/>
  <c r="O26" i="92"/>
  <c r="O19" i="92"/>
  <c r="O33" i="92"/>
  <c r="N60" i="92"/>
  <c r="O12" i="92"/>
  <c r="C32" i="103"/>
  <c r="K27" i="73" l="1"/>
  <c r="J14" i="119"/>
  <c r="J15" i="119" s="1"/>
  <c r="J66" i="92" s="1"/>
  <c r="J14" i="121"/>
  <c r="J15" i="121" s="1"/>
  <c r="J14" i="120"/>
  <c r="J15" i="120" s="1"/>
  <c r="K58" i="92"/>
  <c r="K61" i="92" s="1"/>
  <c r="J63" i="92"/>
  <c r="R40" i="124"/>
  <c r="H31" i="73"/>
  <c r="G81" i="72" s="1"/>
  <c r="G82" i="72" s="1"/>
  <c r="G84" i="72" s="1"/>
  <c r="N35" i="124"/>
  <c r="N38" i="124" s="1"/>
  <c r="I15" i="121"/>
  <c r="T9" i="124"/>
  <c r="N13" i="120"/>
  <c r="T10" i="124"/>
  <c r="T24" i="124" s="1"/>
  <c r="T26" i="124" s="1"/>
  <c r="N13" i="119"/>
  <c r="T11" i="124"/>
  <c r="N13" i="121"/>
  <c r="T37" i="124"/>
  <c r="U18" i="124"/>
  <c r="H74" i="127"/>
  <c r="H77" i="127" s="1"/>
  <c r="G86" i="127"/>
  <c r="H43" i="73"/>
  <c r="G97" i="72" s="1"/>
  <c r="E40" i="73"/>
  <c r="E60" i="127"/>
  <c r="E65" i="127" s="1"/>
  <c r="D85" i="127"/>
  <c r="H32" i="127"/>
  <c r="O60" i="92"/>
  <c r="C35" i="103"/>
  <c r="C22" i="103" s="1"/>
  <c r="C21" i="104" s="1"/>
  <c r="D32" i="103"/>
  <c r="E32" i="103" s="1"/>
  <c r="F32" i="103" s="1"/>
  <c r="G32" i="103" s="1"/>
  <c r="O21" i="103"/>
  <c r="E22" i="103"/>
  <c r="E21" i="104" s="1"/>
  <c r="E22" i="104" s="1"/>
  <c r="E43" i="135" s="1"/>
  <c r="E50" i="135" l="1"/>
  <c r="E27" i="104"/>
  <c r="E42" i="132"/>
  <c r="O13" i="119"/>
  <c r="N79" i="72"/>
  <c r="O13" i="121"/>
  <c r="T31" i="124"/>
  <c r="T33" i="124" s="1"/>
  <c r="U11" i="124"/>
  <c r="T12" i="124"/>
  <c r="T17" i="124"/>
  <c r="L80" i="72"/>
  <c r="L9" i="70"/>
  <c r="N11" i="72"/>
  <c r="U37" i="124"/>
  <c r="O13" i="120"/>
  <c r="I31" i="73"/>
  <c r="H81" i="72" s="1"/>
  <c r="H82" i="72" s="1"/>
  <c r="H84" i="72" s="1"/>
  <c r="O35" i="124"/>
  <c r="O38" i="124" s="1"/>
  <c r="L27" i="73"/>
  <c r="K14" i="121"/>
  <c r="K15" i="121" s="1"/>
  <c r="K14" i="120"/>
  <c r="K15" i="120" s="1"/>
  <c r="K14" i="119"/>
  <c r="K15" i="119" s="1"/>
  <c r="K66" i="92" s="1"/>
  <c r="K63" i="92"/>
  <c r="L58" i="92"/>
  <c r="L61" i="92" s="1"/>
  <c r="I74" i="127"/>
  <c r="I77" i="127" s="1"/>
  <c r="H86" i="127"/>
  <c r="I43" i="73"/>
  <c r="H97" i="72" s="1"/>
  <c r="F40" i="73"/>
  <c r="E85" i="127"/>
  <c r="F60" i="127"/>
  <c r="F65" i="127" s="1"/>
  <c r="H70" i="127"/>
  <c r="I41" i="127"/>
  <c r="C22" i="104"/>
  <c r="D35" i="103"/>
  <c r="D22" i="103" s="1"/>
  <c r="D21" i="104" s="1"/>
  <c r="D22" i="104" s="1"/>
  <c r="D43" i="135" s="1"/>
  <c r="C23" i="103"/>
  <c r="C33" i="103"/>
  <c r="E23" i="103"/>
  <c r="G22" i="103"/>
  <c r="H32" i="103"/>
  <c r="F22" i="103"/>
  <c r="F21" i="104" s="1"/>
  <c r="F22" i="104" s="1"/>
  <c r="F43" i="135" s="1"/>
  <c r="C10" i="132" l="1"/>
  <c r="C10" i="135"/>
  <c r="E43" i="132"/>
  <c r="E50" i="132" s="1"/>
  <c r="E44" i="135"/>
  <c r="E10" i="132"/>
  <c r="E10" i="135"/>
  <c r="F50" i="135"/>
  <c r="D50" i="135"/>
  <c r="C42" i="132"/>
  <c r="C43" i="135"/>
  <c r="D27" i="104"/>
  <c r="D42" i="132"/>
  <c r="F27" i="104"/>
  <c r="F42" i="132"/>
  <c r="T36" i="124"/>
  <c r="T40" i="124" s="1"/>
  <c r="T19" i="124"/>
  <c r="M27" i="73"/>
  <c r="L14" i="121"/>
  <c r="L15" i="121" s="1"/>
  <c r="L14" i="120"/>
  <c r="L15" i="120" s="1"/>
  <c r="L14" i="119"/>
  <c r="L15" i="119" s="1"/>
  <c r="L66" i="92" s="1"/>
  <c r="M58" i="92"/>
  <c r="M61" i="92" s="1"/>
  <c r="L63" i="92"/>
  <c r="J31" i="73"/>
  <c r="I81" i="72" s="1"/>
  <c r="I82" i="72" s="1"/>
  <c r="I84" i="72" s="1"/>
  <c r="P35" i="124"/>
  <c r="P38" i="124" s="1"/>
  <c r="E44" i="132"/>
  <c r="E49" i="132"/>
  <c r="E51" i="132" s="1"/>
  <c r="O11" i="72"/>
  <c r="Q11" i="72" s="1"/>
  <c r="C49" i="132"/>
  <c r="E28" i="103"/>
  <c r="C28" i="103"/>
  <c r="J74" i="127"/>
  <c r="J77" i="127" s="1"/>
  <c r="J43" i="73"/>
  <c r="I97" i="72" s="1"/>
  <c r="I86" i="127"/>
  <c r="G40" i="73"/>
  <c r="G60" i="127"/>
  <c r="G65" i="127" s="1"/>
  <c r="F85" i="127"/>
  <c r="H71" i="127"/>
  <c r="D33" i="103"/>
  <c r="E33" i="103" s="1"/>
  <c r="D23" i="103"/>
  <c r="G23" i="103"/>
  <c r="G21" i="104"/>
  <c r="G22" i="104" s="1"/>
  <c r="G43" i="135" s="1"/>
  <c r="C27" i="104"/>
  <c r="F23" i="103"/>
  <c r="F33" i="103"/>
  <c r="G33" i="103" s="1"/>
  <c r="D26" i="103"/>
  <c r="I32" i="103"/>
  <c r="H22" i="103"/>
  <c r="E12" i="132" l="1"/>
  <c r="E13" i="132" s="1"/>
  <c r="E12" i="135"/>
  <c r="F43" i="132"/>
  <c r="F50" i="132" s="1"/>
  <c r="F44" i="135"/>
  <c r="C43" i="132"/>
  <c r="C50" i="132" s="1"/>
  <c r="C51" i="132" s="1"/>
  <c r="C44" i="135"/>
  <c r="C51" i="135" s="1"/>
  <c r="C45" i="135"/>
  <c r="C50" i="135"/>
  <c r="D11" i="132"/>
  <c r="D10" i="132" s="1"/>
  <c r="D11" i="135"/>
  <c r="F10" i="132"/>
  <c r="F10" i="135"/>
  <c r="E51" i="135"/>
  <c r="E52" i="135" s="1"/>
  <c r="E45" i="135"/>
  <c r="D43" i="132"/>
  <c r="D50" i="132" s="1"/>
  <c r="D51" i="132" s="1"/>
  <c r="D44" i="135"/>
  <c r="G50" i="135"/>
  <c r="G10" i="132"/>
  <c r="G10" i="135"/>
  <c r="E13" i="135"/>
  <c r="C12" i="132"/>
  <c r="C13" i="132" s="1"/>
  <c r="C12" i="135"/>
  <c r="C13" i="135" s="1"/>
  <c r="K31" i="73"/>
  <c r="J81" i="72" s="1"/>
  <c r="J82" i="72" s="1"/>
  <c r="J84" i="72" s="1"/>
  <c r="Q35" i="124"/>
  <c r="Q38" i="124" s="1"/>
  <c r="G27" i="104"/>
  <c r="G42" i="132"/>
  <c r="F49" i="132"/>
  <c r="F51" i="132" s="1"/>
  <c r="N27" i="73"/>
  <c r="M14" i="121"/>
  <c r="M15" i="121" s="1"/>
  <c r="M14" i="120"/>
  <c r="M15" i="120" s="1"/>
  <c r="M14" i="119"/>
  <c r="M15" i="119" s="1"/>
  <c r="M66" i="92" s="1"/>
  <c r="N58" i="92"/>
  <c r="N61" i="92" s="1"/>
  <c r="M63" i="92"/>
  <c r="D49" i="132"/>
  <c r="N80" i="72"/>
  <c r="N9" i="70"/>
  <c r="F28" i="103"/>
  <c r="G28" i="103"/>
  <c r="K74" i="127"/>
  <c r="K77" i="127" s="1"/>
  <c r="K43" i="73"/>
  <c r="J97" i="72" s="1"/>
  <c r="J86" i="127"/>
  <c r="H40" i="73"/>
  <c r="H60" i="127"/>
  <c r="H65" i="127" s="1"/>
  <c r="G85" i="127"/>
  <c r="H31" i="127"/>
  <c r="H36" i="127" s="1"/>
  <c r="H23" i="103"/>
  <c r="H21" i="104"/>
  <c r="H22" i="104" s="1"/>
  <c r="H43" i="135" s="1"/>
  <c r="H33" i="103"/>
  <c r="J32" i="103"/>
  <c r="I22" i="103"/>
  <c r="D27" i="103"/>
  <c r="O26" i="103"/>
  <c r="C27" i="106" s="1"/>
  <c r="D44" i="132" l="1"/>
  <c r="C44" i="132"/>
  <c r="H50" i="135"/>
  <c r="F51" i="135"/>
  <c r="F52" i="135" s="1"/>
  <c r="F45" i="135"/>
  <c r="G43" i="132"/>
  <c r="G50" i="132" s="1"/>
  <c r="G44" i="135"/>
  <c r="H10" i="132"/>
  <c r="H10" i="135"/>
  <c r="C52" i="135"/>
  <c r="F12" i="132"/>
  <c r="F12" i="135"/>
  <c r="F13" i="135" s="1"/>
  <c r="D10" i="135"/>
  <c r="G12" i="132"/>
  <c r="G13" i="132" s="1"/>
  <c r="G12" i="135"/>
  <c r="D51" i="135"/>
  <c r="D52" i="135" s="1"/>
  <c r="D45" i="135"/>
  <c r="F44" i="132"/>
  <c r="G49" i="132"/>
  <c r="N63" i="92"/>
  <c r="O27" i="73"/>
  <c r="N14" i="121"/>
  <c r="N14" i="120"/>
  <c r="N14" i="119"/>
  <c r="L31" i="73"/>
  <c r="K81" i="72" s="1"/>
  <c r="K82" i="72" s="1"/>
  <c r="K84" i="72" s="1"/>
  <c r="R35" i="124"/>
  <c r="R38" i="124" s="1"/>
  <c r="H27" i="104"/>
  <c r="H42" i="132"/>
  <c r="F13" i="132"/>
  <c r="H28" i="103"/>
  <c r="L74" i="127"/>
  <c r="L77" i="127" s="1"/>
  <c r="L43" i="73"/>
  <c r="K97" i="72" s="1"/>
  <c r="K86" i="127"/>
  <c r="I60" i="127"/>
  <c r="I65" i="127" s="1"/>
  <c r="H69" i="127"/>
  <c r="H72" i="127" s="1"/>
  <c r="H85" i="127" s="1"/>
  <c r="I33" i="103"/>
  <c r="I21" i="104"/>
  <c r="O27" i="103"/>
  <c r="D28" i="103"/>
  <c r="D12" i="135" s="1"/>
  <c r="K32" i="103"/>
  <c r="J22" i="103"/>
  <c r="I23" i="103"/>
  <c r="G44" i="132" l="1"/>
  <c r="G51" i="132"/>
  <c r="H43" i="132"/>
  <c r="H50" i="132" s="1"/>
  <c r="H44" i="135"/>
  <c r="G13" i="135"/>
  <c r="H12" i="132"/>
  <c r="H13" i="132" s="1"/>
  <c r="H12" i="135"/>
  <c r="G51" i="135"/>
  <c r="G52" i="135" s="1"/>
  <c r="G45" i="135"/>
  <c r="I10" i="132"/>
  <c r="I10" i="135"/>
  <c r="D13" i="135"/>
  <c r="M31" i="73"/>
  <c r="L81" i="72" s="1"/>
  <c r="L82" i="72" s="1"/>
  <c r="L84" i="72" s="1"/>
  <c r="S35" i="124"/>
  <c r="S38" i="124" s="1"/>
  <c r="O14" i="121"/>
  <c r="O15" i="121" s="1"/>
  <c r="N15" i="121"/>
  <c r="O14" i="119"/>
  <c r="O15" i="119" s="1"/>
  <c r="Q15" i="119" s="1"/>
  <c r="N15" i="119"/>
  <c r="N66" i="92" s="1"/>
  <c r="H44" i="132"/>
  <c r="H49" i="132"/>
  <c r="H51" i="132" s="1"/>
  <c r="O14" i="120"/>
  <c r="O15" i="120" s="1"/>
  <c r="Q15" i="120" s="1"/>
  <c r="N15" i="120"/>
  <c r="D12" i="132"/>
  <c r="D13" i="132" s="1"/>
  <c r="I67" i="127"/>
  <c r="I72" i="127" s="1"/>
  <c r="J67" i="127" s="1"/>
  <c r="J72" i="127" s="1"/>
  <c r="M74" i="127"/>
  <c r="M77" i="127" s="1"/>
  <c r="L86" i="127"/>
  <c r="M43" i="73"/>
  <c r="L97" i="72" s="1"/>
  <c r="J60" i="127"/>
  <c r="J65" i="127" s="1"/>
  <c r="I40" i="73"/>
  <c r="E23" i="108"/>
  <c r="I22" i="104"/>
  <c r="J23" i="103"/>
  <c r="J21" i="104"/>
  <c r="J22" i="104" s="1"/>
  <c r="J43" i="135" s="1"/>
  <c r="J33" i="103"/>
  <c r="I28" i="103"/>
  <c r="I12" i="135" s="1"/>
  <c r="L32" i="103"/>
  <c r="K22" i="103"/>
  <c r="K21" i="104" s="1"/>
  <c r="K22" i="104" s="1"/>
  <c r="K43" i="135" s="1"/>
  <c r="I42" i="132" l="1"/>
  <c r="I43" i="135"/>
  <c r="J50" i="135"/>
  <c r="K50" i="135"/>
  <c r="H13" i="135"/>
  <c r="H51" i="135"/>
  <c r="H52" i="135" s="1"/>
  <c r="H45" i="135"/>
  <c r="I13" i="135"/>
  <c r="J10" i="132"/>
  <c r="J10" i="135"/>
  <c r="J40" i="73"/>
  <c r="N31" i="73"/>
  <c r="M81" i="72" s="1"/>
  <c r="M82" i="72" s="1"/>
  <c r="M84" i="72" s="1"/>
  <c r="T35" i="124"/>
  <c r="T38" i="124" s="1"/>
  <c r="O31" i="73" s="1"/>
  <c r="N81" i="72" s="1"/>
  <c r="N82" i="72" s="1"/>
  <c r="N84" i="72" s="1"/>
  <c r="K27" i="104"/>
  <c r="K42" i="132"/>
  <c r="I49" i="132"/>
  <c r="U10" i="125"/>
  <c r="Q15" i="121"/>
  <c r="J27" i="104"/>
  <c r="J42" i="132"/>
  <c r="I12" i="132"/>
  <c r="I13" i="132" s="1"/>
  <c r="J28" i="103"/>
  <c r="I85" i="127"/>
  <c r="N74" i="127"/>
  <c r="N77" i="127" s="1"/>
  <c r="M86" i="127"/>
  <c r="N43" i="73"/>
  <c r="M97" i="72" s="1"/>
  <c r="K40" i="73"/>
  <c r="K60" i="127"/>
  <c r="K65" i="127" s="1"/>
  <c r="K67" i="127"/>
  <c r="K72" i="127" s="1"/>
  <c r="J85" i="127"/>
  <c r="E26" i="108"/>
  <c r="C24" i="108"/>
  <c r="E25" i="108"/>
  <c r="D24" i="108"/>
  <c r="C22" i="106"/>
  <c r="E20" i="106"/>
  <c r="C23" i="106"/>
  <c r="C9" i="106" s="1"/>
  <c r="I27" i="104"/>
  <c r="K33" i="103"/>
  <c r="K23" i="103"/>
  <c r="L22" i="103"/>
  <c r="M32" i="103"/>
  <c r="J12" i="132" l="1"/>
  <c r="J13" i="132" s="1"/>
  <c r="J12" i="135"/>
  <c r="K10" i="132"/>
  <c r="K10" i="135"/>
  <c r="I43" i="132"/>
  <c r="I50" i="132" s="1"/>
  <c r="I51" i="132" s="1"/>
  <c r="I44" i="135"/>
  <c r="I51" i="135" s="1"/>
  <c r="J43" i="132"/>
  <c r="J50" i="132" s="1"/>
  <c r="J44" i="135"/>
  <c r="K43" i="132"/>
  <c r="K50" i="132" s="1"/>
  <c r="K44" i="135"/>
  <c r="I45" i="135"/>
  <c r="I50" i="135"/>
  <c r="J13" i="135"/>
  <c r="J49" i="132"/>
  <c r="K49" i="132"/>
  <c r="F16" i="120"/>
  <c r="G16" i="120"/>
  <c r="H16" i="120"/>
  <c r="I16" i="120"/>
  <c r="J16" i="120"/>
  <c r="K16" i="120"/>
  <c r="N16" i="120"/>
  <c r="C16" i="120"/>
  <c r="E16" i="120"/>
  <c r="D16" i="120"/>
  <c r="M16" i="120"/>
  <c r="L16" i="120"/>
  <c r="D23" i="120"/>
  <c r="E23" i="120"/>
  <c r="F23" i="120"/>
  <c r="G23" i="120"/>
  <c r="H23" i="120"/>
  <c r="J23" i="120"/>
  <c r="I23" i="120"/>
  <c r="C23" i="120"/>
  <c r="D16" i="132"/>
  <c r="I15" i="132"/>
  <c r="H17" i="132"/>
  <c r="I16" i="132"/>
  <c r="D15" i="132"/>
  <c r="I17" i="132"/>
  <c r="M16" i="132"/>
  <c r="F16" i="132"/>
  <c r="E17" i="132"/>
  <c r="J15" i="132"/>
  <c r="C15" i="132"/>
  <c r="J17" i="132"/>
  <c r="H16" i="132"/>
  <c r="C17" i="132"/>
  <c r="K16" i="132"/>
  <c r="J16" i="132"/>
  <c r="D17" i="132"/>
  <c r="C16" i="132"/>
  <c r="G17" i="132"/>
  <c r="K15" i="132"/>
  <c r="E15" i="132"/>
  <c r="G16" i="132"/>
  <c r="H15" i="132"/>
  <c r="G15" i="132"/>
  <c r="F15" i="132"/>
  <c r="N16" i="132"/>
  <c r="F17" i="132"/>
  <c r="E16" i="132"/>
  <c r="L16" i="132"/>
  <c r="I73" i="103"/>
  <c r="I75" i="103" s="1"/>
  <c r="I77" i="103" s="1"/>
  <c r="F73" i="103"/>
  <c r="F75" i="103" s="1"/>
  <c r="F77" i="103" s="1"/>
  <c r="K73" i="103"/>
  <c r="K75" i="103" s="1"/>
  <c r="K77" i="103" s="1"/>
  <c r="E73" i="103"/>
  <c r="E75" i="103" s="1"/>
  <c r="E77" i="103" s="1"/>
  <c r="G73" i="103"/>
  <c r="G75" i="103" s="1"/>
  <c r="G77" i="103" s="1"/>
  <c r="J73" i="103"/>
  <c r="J75" i="103" s="1"/>
  <c r="J77" i="103" s="1"/>
  <c r="L73" i="103"/>
  <c r="L75" i="103" s="1"/>
  <c r="L77" i="103" s="1"/>
  <c r="M73" i="103"/>
  <c r="M75" i="103" s="1"/>
  <c r="M77" i="103" s="1"/>
  <c r="H73" i="103"/>
  <c r="H75" i="103" s="1"/>
  <c r="H77" i="103" s="1"/>
  <c r="N73" i="103"/>
  <c r="N75" i="103" s="1"/>
  <c r="N77" i="103" s="1"/>
  <c r="C73" i="103"/>
  <c r="C75" i="103" s="1"/>
  <c r="C77" i="103" s="1"/>
  <c r="D73" i="103"/>
  <c r="D75" i="103" s="1"/>
  <c r="D77" i="103" s="1"/>
  <c r="C163" i="121"/>
  <c r="C165" i="121" s="1"/>
  <c r="N86" i="127"/>
  <c r="O43" i="73"/>
  <c r="N97" i="72" s="1"/>
  <c r="L40" i="73"/>
  <c r="L60" i="127"/>
  <c r="L65" i="127" s="1"/>
  <c r="L67" i="127"/>
  <c r="L72" i="127" s="1"/>
  <c r="K85" i="127"/>
  <c r="C25" i="108"/>
  <c r="J15" i="135" s="1"/>
  <c r="C26" i="108"/>
  <c r="C10" i="108" s="1"/>
  <c r="C36" i="118"/>
  <c r="G36" i="118" s="1"/>
  <c r="C35" i="117"/>
  <c r="C36" i="117" s="1"/>
  <c r="C9" i="108"/>
  <c r="C10" i="106"/>
  <c r="C13" i="117" s="1"/>
  <c r="D26" i="108"/>
  <c r="C16" i="108" s="1"/>
  <c r="D25" i="108"/>
  <c r="L23" i="103"/>
  <c r="L21" i="104"/>
  <c r="L22" i="104" s="1"/>
  <c r="L33" i="103"/>
  <c r="N32" i="103"/>
  <c r="N22" i="103" s="1"/>
  <c r="M22" i="103"/>
  <c r="M21" i="104" s="1"/>
  <c r="K28" i="103"/>
  <c r="I52" i="135" l="1"/>
  <c r="J51" i="135"/>
  <c r="J52" i="135" s="1"/>
  <c r="J45" i="135"/>
  <c r="K51" i="135"/>
  <c r="K52" i="135" s="1"/>
  <c r="K45" i="135"/>
  <c r="K51" i="132"/>
  <c r="J16" i="135"/>
  <c r="K16" i="135"/>
  <c r="L16" i="135"/>
  <c r="G16" i="135"/>
  <c r="M16" i="135"/>
  <c r="I16" i="135"/>
  <c r="E16" i="135"/>
  <c r="N16" i="135"/>
  <c r="H16" i="135"/>
  <c r="C16" i="135"/>
  <c r="F16" i="135"/>
  <c r="C15" i="135"/>
  <c r="E15" i="135"/>
  <c r="E17" i="135"/>
  <c r="D16" i="135"/>
  <c r="F15" i="135"/>
  <c r="G15" i="135"/>
  <c r="C17" i="135"/>
  <c r="H15" i="135"/>
  <c r="D15" i="135"/>
  <c r="F17" i="135"/>
  <c r="F36" i="135" s="1"/>
  <c r="D17" i="135"/>
  <c r="G17" i="135"/>
  <c r="H17" i="135"/>
  <c r="I15" i="135"/>
  <c r="I17" i="135"/>
  <c r="K23" i="120"/>
  <c r="K12" i="135"/>
  <c r="K17" i="135" s="1"/>
  <c r="K44" i="132"/>
  <c r="I44" i="132"/>
  <c r="K15" i="135"/>
  <c r="K13" i="135"/>
  <c r="L42" i="132"/>
  <c r="L49" i="132" s="1"/>
  <c r="L43" i="135"/>
  <c r="F28" i="135"/>
  <c r="F35" i="135" s="1"/>
  <c r="D28" i="135"/>
  <c r="C28" i="135"/>
  <c r="H28" i="135"/>
  <c r="I28" i="135"/>
  <c r="N28" i="135"/>
  <c r="N35" i="135" s="1"/>
  <c r="E28" i="135"/>
  <c r="M28" i="135"/>
  <c r="L28" i="135"/>
  <c r="K28" i="135"/>
  <c r="J28" i="135"/>
  <c r="G28" i="135"/>
  <c r="N27" i="135"/>
  <c r="N29" i="135"/>
  <c r="M27" i="135"/>
  <c r="L27" i="135"/>
  <c r="M29" i="135"/>
  <c r="K27" i="135"/>
  <c r="L29" i="135"/>
  <c r="K29" i="135"/>
  <c r="J27" i="135"/>
  <c r="J29" i="135"/>
  <c r="I27" i="135"/>
  <c r="I29" i="135"/>
  <c r="H27" i="135"/>
  <c r="H29" i="135"/>
  <c r="G27" i="135"/>
  <c r="F27" i="135"/>
  <c r="G29" i="135"/>
  <c r="F29" i="135"/>
  <c r="E27" i="135"/>
  <c r="E29" i="135"/>
  <c r="C27" i="135"/>
  <c r="D27" i="135"/>
  <c r="C29" i="135"/>
  <c r="D33" i="108"/>
  <c r="D29" i="135"/>
  <c r="J51" i="132"/>
  <c r="J17" i="135"/>
  <c r="J36" i="135" s="1"/>
  <c r="L10" i="132"/>
  <c r="L10" i="135"/>
  <c r="J44" i="132"/>
  <c r="K12" i="132"/>
  <c r="K17" i="132" s="1"/>
  <c r="H36" i="132"/>
  <c r="H39" i="132" s="1"/>
  <c r="H25" i="121" s="1"/>
  <c r="F36" i="132"/>
  <c r="F39" i="132" s="1"/>
  <c r="F25" i="121" s="1"/>
  <c r="G36" i="132"/>
  <c r="G39" i="132" s="1"/>
  <c r="G25" i="121" s="1"/>
  <c r="J36" i="132"/>
  <c r="J39" i="132" s="1"/>
  <c r="J25" i="121" s="1"/>
  <c r="E36" i="132"/>
  <c r="E39" i="132" s="1"/>
  <c r="E25" i="121" s="1"/>
  <c r="I36" i="132"/>
  <c r="I39" i="132" s="1"/>
  <c r="I25" i="121" s="1"/>
  <c r="D36" i="132"/>
  <c r="D39" i="132" s="1"/>
  <c r="D25" i="121" s="1"/>
  <c r="L28" i="103"/>
  <c r="L12" i="135" s="1"/>
  <c r="L17" i="135" s="1"/>
  <c r="L36" i="135" s="1"/>
  <c r="O16" i="132"/>
  <c r="C36" i="132"/>
  <c r="C39" i="132" s="1"/>
  <c r="C25" i="121" s="1"/>
  <c r="N35" i="132"/>
  <c r="F35" i="132"/>
  <c r="J18" i="132"/>
  <c r="J34" i="132"/>
  <c r="K34" i="132"/>
  <c r="M35" i="132"/>
  <c r="E18" i="132"/>
  <c r="E34" i="132"/>
  <c r="C35" i="132"/>
  <c r="D18" i="132"/>
  <c r="D34" i="132"/>
  <c r="H34" i="132"/>
  <c r="H18" i="132"/>
  <c r="I35" i="132"/>
  <c r="C18" i="132"/>
  <c r="C34" i="132"/>
  <c r="L35" i="132"/>
  <c r="H35" i="132"/>
  <c r="E35" i="132"/>
  <c r="J35" i="132"/>
  <c r="I34" i="132"/>
  <c r="I18" i="132"/>
  <c r="G34" i="132"/>
  <c r="G18" i="132"/>
  <c r="G35" i="132"/>
  <c r="K35" i="132"/>
  <c r="F18" i="132"/>
  <c r="F34" i="132"/>
  <c r="D35" i="132"/>
  <c r="M40" i="73"/>
  <c r="M60" i="127"/>
  <c r="M65" i="127" s="1"/>
  <c r="M67" i="127"/>
  <c r="M72" i="127" s="1"/>
  <c r="N67" i="127" s="1"/>
  <c r="N72" i="127" s="1"/>
  <c r="L85" i="127"/>
  <c r="C17" i="120"/>
  <c r="N23" i="103"/>
  <c r="N21" i="104"/>
  <c r="N22" i="104" s="1"/>
  <c r="E37" i="118"/>
  <c r="D33" i="116"/>
  <c r="D45" i="116" s="1"/>
  <c r="N32" i="116"/>
  <c r="N44" i="116" s="1"/>
  <c r="E33" i="116"/>
  <c r="E45" i="116" s="1"/>
  <c r="J33" i="116"/>
  <c r="J45" i="116" s="1"/>
  <c r="L32" i="116"/>
  <c r="L44" i="116" s="1"/>
  <c r="F33" i="116"/>
  <c r="F45" i="116" s="1"/>
  <c r="G33" i="116"/>
  <c r="G45" i="116" s="1"/>
  <c r="K32" i="116"/>
  <c r="K44" i="116" s="1"/>
  <c r="H33" i="116"/>
  <c r="H45" i="116" s="1"/>
  <c r="D32" i="116"/>
  <c r="D44" i="116" s="1"/>
  <c r="I33" i="116"/>
  <c r="I45" i="116" s="1"/>
  <c r="C33" i="116"/>
  <c r="E32" i="116"/>
  <c r="E44" i="116" s="1"/>
  <c r="J32" i="116"/>
  <c r="J44" i="116" s="1"/>
  <c r="C31" i="116"/>
  <c r="M32" i="116"/>
  <c r="M44" i="116" s="1"/>
  <c r="F32" i="116"/>
  <c r="F44" i="116" s="1"/>
  <c r="K33" i="116"/>
  <c r="K45" i="116" s="1"/>
  <c r="G32" i="116"/>
  <c r="G44" i="116" s="1"/>
  <c r="L33" i="116"/>
  <c r="L45" i="116" s="1"/>
  <c r="H32" i="116"/>
  <c r="H44" i="116" s="1"/>
  <c r="M33" i="116"/>
  <c r="M45" i="116" s="1"/>
  <c r="C32" i="116"/>
  <c r="I32" i="116"/>
  <c r="I44" i="116" s="1"/>
  <c r="N33" i="116"/>
  <c r="N45" i="116" s="1"/>
  <c r="D32" i="108"/>
  <c r="D49" i="108"/>
  <c r="E17" i="118" s="1"/>
  <c r="C37" i="118"/>
  <c r="M22" i="104"/>
  <c r="M43" i="135" s="1"/>
  <c r="L27" i="104"/>
  <c r="M33" i="103"/>
  <c r="N33" i="103" s="1"/>
  <c r="M23" i="103"/>
  <c r="O22" i="103"/>
  <c r="I35" i="135" l="1"/>
  <c r="L30" i="135"/>
  <c r="J18" i="135"/>
  <c r="D30" i="135"/>
  <c r="K36" i="135"/>
  <c r="D36" i="135"/>
  <c r="K30" i="135"/>
  <c r="D39" i="135"/>
  <c r="D26" i="121"/>
  <c r="F39" i="135"/>
  <c r="F26" i="121"/>
  <c r="C36" i="135"/>
  <c r="N30" i="135"/>
  <c r="G34" i="135"/>
  <c r="G18" i="135"/>
  <c r="N10" i="132"/>
  <c r="N10" i="135"/>
  <c r="K18" i="135"/>
  <c r="K34" i="135"/>
  <c r="D35" i="135"/>
  <c r="D85" i="96" s="1"/>
  <c r="D94" i="96" s="1"/>
  <c r="D10" i="127" s="1"/>
  <c r="E39" i="127" s="1"/>
  <c r="M10" i="132"/>
  <c r="M10" i="135"/>
  <c r="L43" i="132"/>
  <c r="L50" i="132" s="1"/>
  <c r="L44" i="135"/>
  <c r="L51" i="135" s="1"/>
  <c r="L26" i="121" s="1"/>
  <c r="E36" i="135"/>
  <c r="H34" i="135"/>
  <c r="H18" i="135"/>
  <c r="J35" i="135"/>
  <c r="J82" i="96" s="1"/>
  <c r="L13" i="135"/>
  <c r="L15" i="135"/>
  <c r="H30" i="135"/>
  <c r="L35" i="135"/>
  <c r="L82" i="96" s="1"/>
  <c r="E34" i="135"/>
  <c r="E18" i="135"/>
  <c r="L50" i="135"/>
  <c r="G30" i="135"/>
  <c r="E82" i="96"/>
  <c r="N82" i="96"/>
  <c r="N85" i="96"/>
  <c r="N94" i="96" s="1"/>
  <c r="N10" i="127" s="1"/>
  <c r="M35" i="135"/>
  <c r="M82" i="96" s="1"/>
  <c r="K26" i="121"/>
  <c r="K39" i="135"/>
  <c r="C18" i="135"/>
  <c r="C34" i="135"/>
  <c r="O27" i="135"/>
  <c r="C30" i="135"/>
  <c r="D34" i="135"/>
  <c r="D18" i="135"/>
  <c r="C38" i="132"/>
  <c r="I30" i="135"/>
  <c r="N27" i="104"/>
  <c r="N42" i="132"/>
  <c r="N43" i="135"/>
  <c r="F34" i="135"/>
  <c r="F18" i="135"/>
  <c r="G37" i="118"/>
  <c r="I36" i="135"/>
  <c r="O16" i="135"/>
  <c r="C35" i="135"/>
  <c r="C82" i="96" s="1"/>
  <c r="M30" i="135"/>
  <c r="F30" i="135"/>
  <c r="M50" i="135"/>
  <c r="I82" i="96"/>
  <c r="I85" i="96"/>
  <c r="I94" i="96" s="1"/>
  <c r="I10" i="127" s="1"/>
  <c r="J39" i="127" s="1"/>
  <c r="L39" i="135"/>
  <c r="J30" i="135"/>
  <c r="I18" i="135"/>
  <c r="I34" i="135"/>
  <c r="H35" i="135"/>
  <c r="H85" i="96" s="1"/>
  <c r="H94" i="96" s="1"/>
  <c r="H10" i="127" s="1"/>
  <c r="I39" i="127" s="1"/>
  <c r="K35" i="135"/>
  <c r="K82" i="96" s="1"/>
  <c r="K13" i="132"/>
  <c r="H36" i="135"/>
  <c r="E30" i="135"/>
  <c r="G35" i="135"/>
  <c r="G85" i="96" s="1"/>
  <c r="G94" i="96" s="1"/>
  <c r="G10" i="127" s="1"/>
  <c r="H39" i="127" s="1"/>
  <c r="F85" i="96"/>
  <c r="F94" i="96" s="1"/>
  <c r="F10" i="127" s="1"/>
  <c r="G39" i="127" s="1"/>
  <c r="F82" i="96"/>
  <c r="J26" i="121"/>
  <c r="J39" i="135"/>
  <c r="O29" i="135"/>
  <c r="O28" i="135"/>
  <c r="G36" i="135"/>
  <c r="E35" i="135"/>
  <c r="E85" i="96" s="1"/>
  <c r="E94" i="96" s="1"/>
  <c r="E10" i="127" s="1"/>
  <c r="F39" i="127" s="1"/>
  <c r="J34" i="135"/>
  <c r="M27" i="104"/>
  <c r="M42" i="132"/>
  <c r="L51" i="132"/>
  <c r="L44" i="132"/>
  <c r="F38" i="132"/>
  <c r="J38" i="132"/>
  <c r="H38" i="132"/>
  <c r="G38" i="132"/>
  <c r="D38" i="132"/>
  <c r="E38" i="132"/>
  <c r="I38" i="132"/>
  <c r="K38" i="132"/>
  <c r="G17" i="120"/>
  <c r="I17" i="120"/>
  <c r="M17" i="120"/>
  <c r="H17" i="120"/>
  <c r="F17" i="120"/>
  <c r="K17" i="120"/>
  <c r="J17" i="120"/>
  <c r="E17" i="120"/>
  <c r="L17" i="120"/>
  <c r="N17" i="120"/>
  <c r="K18" i="132"/>
  <c r="K36" i="132"/>
  <c r="L23" i="120"/>
  <c r="L12" i="132"/>
  <c r="L17" i="132" s="1"/>
  <c r="L36" i="132" s="1"/>
  <c r="L39" i="132" s="1"/>
  <c r="N13" i="95"/>
  <c r="I37" i="132"/>
  <c r="M15" i="132"/>
  <c r="L15" i="132"/>
  <c r="M34" i="132"/>
  <c r="M38" i="132" s="1"/>
  <c r="N28" i="103"/>
  <c r="N12" i="135" s="1"/>
  <c r="N17" i="135" s="1"/>
  <c r="N36" i="135" s="1"/>
  <c r="J37" i="132"/>
  <c r="O35" i="132"/>
  <c r="C37" i="132"/>
  <c r="G37" i="132"/>
  <c r="H37" i="132"/>
  <c r="F37" i="132"/>
  <c r="D37" i="132"/>
  <c r="E37" i="132"/>
  <c r="O21" i="104"/>
  <c r="C21" i="105" s="1"/>
  <c r="O22" i="104"/>
  <c r="C22" i="105" s="1"/>
  <c r="E22" i="105" s="1"/>
  <c r="N40" i="73"/>
  <c r="N60" i="127"/>
  <c r="N65" i="127" s="1"/>
  <c r="M85" i="127"/>
  <c r="O33" i="116"/>
  <c r="K13" i="117" s="1"/>
  <c r="C45" i="116"/>
  <c r="O45" i="116" s="1"/>
  <c r="O32" i="116"/>
  <c r="C44" i="116"/>
  <c r="O44" i="116" s="1"/>
  <c r="C15" i="117"/>
  <c r="D13" i="117"/>
  <c r="G13" i="117"/>
  <c r="C34" i="116"/>
  <c r="D31" i="116" s="1"/>
  <c r="D34" i="116" s="1"/>
  <c r="E31" i="116" s="1"/>
  <c r="E34" i="116" s="1"/>
  <c r="F31" i="116" s="1"/>
  <c r="F34" i="116" s="1"/>
  <c r="G31" i="116" s="1"/>
  <c r="G34" i="116" s="1"/>
  <c r="H31" i="116" s="1"/>
  <c r="H34" i="116" s="1"/>
  <c r="I31" i="116" s="1"/>
  <c r="I34" i="116" s="1"/>
  <c r="J31" i="116" s="1"/>
  <c r="J34" i="116" s="1"/>
  <c r="K31" i="116" s="1"/>
  <c r="K34" i="116" s="1"/>
  <c r="L31" i="116" s="1"/>
  <c r="L34" i="116" s="1"/>
  <c r="M31" i="116" s="1"/>
  <c r="M34" i="116" s="1"/>
  <c r="N31" i="116" s="1"/>
  <c r="N34" i="116" s="1"/>
  <c r="C43" i="116"/>
  <c r="M17" i="118"/>
  <c r="F17" i="118"/>
  <c r="M28" i="103"/>
  <c r="M12" i="135" s="1"/>
  <c r="M17" i="135" s="1"/>
  <c r="M36" i="135" s="1"/>
  <c r="O23" i="103"/>
  <c r="C29" i="108" s="1"/>
  <c r="L45" i="135" l="1"/>
  <c r="K85" i="96"/>
  <c r="K94" i="96" s="1"/>
  <c r="K10" i="127" s="1"/>
  <c r="L39" i="127" s="1"/>
  <c r="C85" i="96"/>
  <c r="L25" i="121"/>
  <c r="O30" i="135"/>
  <c r="K38" i="135"/>
  <c r="K37" i="135"/>
  <c r="I39" i="135"/>
  <c r="I26" i="121"/>
  <c r="N15" i="135"/>
  <c r="N13" i="135"/>
  <c r="N39" i="135"/>
  <c r="F38" i="135"/>
  <c r="F37" i="135"/>
  <c r="G39" i="135"/>
  <c r="G26" i="121"/>
  <c r="N50" i="135"/>
  <c r="L34" i="135"/>
  <c r="L18" i="135"/>
  <c r="G38" i="135"/>
  <c r="G37" i="135"/>
  <c r="E58" i="132"/>
  <c r="E17" i="121"/>
  <c r="G58" i="132"/>
  <c r="G17" i="121"/>
  <c r="N23" i="120"/>
  <c r="C58" i="132"/>
  <c r="C17" i="121"/>
  <c r="E38" i="135"/>
  <c r="E37" i="135"/>
  <c r="N44" i="135"/>
  <c r="N51" i="135" s="1"/>
  <c r="N26" i="121" s="1"/>
  <c r="N43" i="132"/>
  <c r="N50" i="132" s="1"/>
  <c r="H58" i="132"/>
  <c r="H17" i="121"/>
  <c r="H82" i="96"/>
  <c r="H89" i="96" s="1"/>
  <c r="L85" i="96"/>
  <c r="L94" i="96" s="1"/>
  <c r="L10" i="127" s="1"/>
  <c r="M39" i="127" s="1"/>
  <c r="C38" i="135"/>
  <c r="C37" i="135"/>
  <c r="J58" i="132"/>
  <c r="J17" i="121"/>
  <c r="G82" i="96"/>
  <c r="G91" i="96" s="1"/>
  <c r="H38" i="135"/>
  <c r="H37" i="135"/>
  <c r="O17" i="135"/>
  <c r="K58" i="132"/>
  <c r="K17" i="121"/>
  <c r="D58" i="132"/>
  <c r="D17" i="121"/>
  <c r="J85" i="96"/>
  <c r="J94" i="96" s="1"/>
  <c r="J10" i="127" s="1"/>
  <c r="K39" i="127" s="1"/>
  <c r="E39" i="135"/>
  <c r="E26" i="121"/>
  <c r="C39" i="135"/>
  <c r="O36" i="135"/>
  <c r="O39" i="135" s="1"/>
  <c r="C26" i="121"/>
  <c r="O27" i="104"/>
  <c r="L52" i="135"/>
  <c r="I38" i="135"/>
  <c r="I37" i="135"/>
  <c r="N49" i="132"/>
  <c r="H39" i="135"/>
  <c r="H26" i="121"/>
  <c r="M43" i="132"/>
  <c r="M50" i="132" s="1"/>
  <c r="O50" i="132" s="1"/>
  <c r="M44" i="135"/>
  <c r="D82" i="96"/>
  <c r="D91" i="96" s="1"/>
  <c r="J38" i="135"/>
  <c r="J37" i="135"/>
  <c r="O35" i="135"/>
  <c r="D38" i="135"/>
  <c r="D37" i="135"/>
  <c r="M85" i="96"/>
  <c r="M94" i="96" s="1"/>
  <c r="M10" i="127" s="1"/>
  <c r="N39" i="127" s="1"/>
  <c r="M15" i="135"/>
  <c r="M13" i="135"/>
  <c r="I58" i="132"/>
  <c r="I17" i="121"/>
  <c r="M39" i="135"/>
  <c r="F58" i="132"/>
  <c r="F17" i="121"/>
  <c r="M49" i="132"/>
  <c r="M17" i="121" s="1"/>
  <c r="K37" i="132"/>
  <c r="K39" i="132"/>
  <c r="K25" i="121" s="1"/>
  <c r="L13" i="132"/>
  <c r="L91" i="96"/>
  <c r="L89" i="96"/>
  <c r="E91" i="96"/>
  <c r="E89" i="96"/>
  <c r="C91" i="96"/>
  <c r="C89" i="96"/>
  <c r="K91" i="96"/>
  <c r="K89" i="96"/>
  <c r="C94" i="96"/>
  <c r="O85" i="96"/>
  <c r="Q85" i="96" s="1"/>
  <c r="F91" i="96"/>
  <c r="F89" i="96"/>
  <c r="M91" i="96"/>
  <c r="J91" i="96"/>
  <c r="J89" i="96"/>
  <c r="I91" i="96"/>
  <c r="I89" i="96"/>
  <c r="N91" i="96"/>
  <c r="N89" i="96"/>
  <c r="D89" i="96"/>
  <c r="M12" i="132"/>
  <c r="M17" i="132" s="1"/>
  <c r="M23" i="120"/>
  <c r="N12" i="132"/>
  <c r="N17" i="132" s="1"/>
  <c r="N36" i="132" s="1"/>
  <c r="N39" i="132" s="1"/>
  <c r="D17" i="120"/>
  <c r="O16" i="120"/>
  <c r="O17" i="120" s="1"/>
  <c r="I40" i="132"/>
  <c r="I23" i="119"/>
  <c r="I162" i="121" s="1"/>
  <c r="K23" i="119"/>
  <c r="K162" i="121" s="1"/>
  <c r="K40" i="132"/>
  <c r="J40" i="132"/>
  <c r="J23" i="119"/>
  <c r="J162" i="121" s="1"/>
  <c r="F40" i="132"/>
  <c r="F23" i="119"/>
  <c r="F162" i="121" s="1"/>
  <c r="H40" i="132"/>
  <c r="H23" i="119"/>
  <c r="H162" i="121" s="1"/>
  <c r="E40" i="132"/>
  <c r="E23" i="119"/>
  <c r="E162" i="121" s="1"/>
  <c r="D23" i="119"/>
  <c r="D162" i="121" s="1"/>
  <c r="D40" i="132"/>
  <c r="G23" i="119"/>
  <c r="G162" i="121" s="1"/>
  <c r="G40" i="132"/>
  <c r="C23" i="119"/>
  <c r="C40" i="132"/>
  <c r="L34" i="132"/>
  <c r="L18" i="132"/>
  <c r="N15" i="132"/>
  <c r="C40" i="106"/>
  <c r="E40" i="106" s="1"/>
  <c r="C44" i="108"/>
  <c r="E44" i="108" s="1"/>
  <c r="N85" i="127"/>
  <c r="O40" i="73"/>
  <c r="O28" i="103"/>
  <c r="O69" i="103" s="1"/>
  <c r="C46" i="116"/>
  <c r="C37" i="117"/>
  <c r="C38" i="117" s="1"/>
  <c r="C40" i="117" s="1"/>
  <c r="K10" i="117"/>
  <c r="D24" i="105"/>
  <c r="C24" i="105"/>
  <c r="E25" i="105"/>
  <c r="G15" i="117"/>
  <c r="H13" i="117"/>
  <c r="D15" i="117"/>
  <c r="C33" i="108"/>
  <c r="C26" i="106"/>
  <c r="O13" i="117"/>
  <c r="N52" i="135" l="1"/>
  <c r="N45" i="135"/>
  <c r="K59" i="132"/>
  <c r="O82" i="96"/>
  <c r="N51" i="132"/>
  <c r="E61" i="135"/>
  <c r="E18" i="121"/>
  <c r="F18" i="121"/>
  <c r="F61" i="135"/>
  <c r="F62" i="135" s="1"/>
  <c r="N44" i="132"/>
  <c r="C59" i="132"/>
  <c r="D59" i="132"/>
  <c r="H61" i="135"/>
  <c r="H18" i="121"/>
  <c r="J59" i="132"/>
  <c r="O13" i="135"/>
  <c r="I59" i="132"/>
  <c r="M18" i="135"/>
  <c r="M34" i="135"/>
  <c r="O15" i="135"/>
  <c r="O18" i="135" s="1"/>
  <c r="G59" i="132"/>
  <c r="N34" i="135"/>
  <c r="N18" i="135"/>
  <c r="F59" i="132"/>
  <c r="H59" i="132"/>
  <c r="I18" i="121"/>
  <c r="I61" i="135"/>
  <c r="I62" i="135" s="1"/>
  <c r="D61" i="135"/>
  <c r="D18" i="121"/>
  <c r="H91" i="96"/>
  <c r="O91" i="96" s="1"/>
  <c r="J18" i="121"/>
  <c r="J61" i="135"/>
  <c r="E59" i="132"/>
  <c r="O50" i="135"/>
  <c r="M89" i="96"/>
  <c r="N25" i="121"/>
  <c r="G89" i="96"/>
  <c r="M44" i="132"/>
  <c r="C18" i="121"/>
  <c r="C61" i="135"/>
  <c r="C62" i="135" s="1"/>
  <c r="L38" i="135"/>
  <c r="L37" i="135"/>
  <c r="M51" i="135"/>
  <c r="O51" i="135" s="1"/>
  <c r="M45" i="135"/>
  <c r="O45" i="135" s="1"/>
  <c r="G61" i="135"/>
  <c r="G18" i="121"/>
  <c r="K18" i="121"/>
  <c r="K61" i="135"/>
  <c r="K62" i="135" s="1"/>
  <c r="M51" i="132"/>
  <c r="O49" i="132"/>
  <c r="O51" i="132" s="1"/>
  <c r="Q51" i="132" s="1"/>
  <c r="M58" i="132"/>
  <c r="M59" i="132" s="1"/>
  <c r="L37" i="132"/>
  <c r="L23" i="119" s="1"/>
  <c r="L162" i="121" s="1"/>
  <c r="L38" i="132"/>
  <c r="M13" i="132"/>
  <c r="N13" i="132"/>
  <c r="O13" i="132" s="1"/>
  <c r="N18" i="132"/>
  <c r="I7" i="127"/>
  <c r="I98" i="96"/>
  <c r="D7" i="127"/>
  <c r="D98" i="96"/>
  <c r="N7" i="127"/>
  <c r="C4" i="128"/>
  <c r="N98" i="96"/>
  <c r="C7" i="127"/>
  <c r="C98" i="96"/>
  <c r="M7" i="127"/>
  <c r="M98" i="96"/>
  <c r="E7" i="127"/>
  <c r="E98" i="96"/>
  <c r="J7" i="127"/>
  <c r="J98" i="96"/>
  <c r="F7" i="127"/>
  <c r="F98" i="96"/>
  <c r="K7" i="127"/>
  <c r="K98" i="96"/>
  <c r="Q82" i="96"/>
  <c r="Q89" i="96" s="1"/>
  <c r="O89" i="96"/>
  <c r="L7" i="127"/>
  <c r="L98" i="96"/>
  <c r="G7" i="127"/>
  <c r="G98" i="96"/>
  <c r="C10" i="127"/>
  <c r="O94" i="96"/>
  <c r="M36" i="132"/>
  <c r="M18" i="132"/>
  <c r="O17" i="132"/>
  <c r="C29" i="106"/>
  <c r="C30" i="106"/>
  <c r="C42" i="106"/>
  <c r="C43" i="106"/>
  <c r="C46" i="108"/>
  <c r="E46" i="108" s="1"/>
  <c r="C47" i="108"/>
  <c r="E47" i="108" s="1"/>
  <c r="C162" i="121"/>
  <c r="O15" i="132"/>
  <c r="N34" i="132"/>
  <c r="O23" i="120"/>
  <c r="D43" i="116"/>
  <c r="D46" i="116" s="1"/>
  <c r="C18" i="120"/>
  <c r="H15" i="117"/>
  <c r="D25" i="105"/>
  <c r="C13" i="105" s="1"/>
  <c r="C25" i="105"/>
  <c r="C9" i="105" s="1"/>
  <c r="E26" i="106"/>
  <c r="E29" i="106"/>
  <c r="K11" i="117"/>
  <c r="L10" i="117" s="1"/>
  <c r="O10" i="117"/>
  <c r="E29" i="108"/>
  <c r="C32" i="108"/>
  <c r="E32" i="108" s="1"/>
  <c r="H98" i="96" l="1"/>
  <c r="J54" i="135"/>
  <c r="K56" i="135"/>
  <c r="L9" i="125" s="1"/>
  <c r="E58" i="135"/>
  <c r="M55" i="135"/>
  <c r="N21" i="125" s="1"/>
  <c r="E54" i="135"/>
  <c r="L54" i="135"/>
  <c r="I55" i="135"/>
  <c r="J21" i="125" s="1"/>
  <c r="J57" i="135"/>
  <c r="G57" i="135"/>
  <c r="N54" i="135"/>
  <c r="H56" i="135"/>
  <c r="I9" i="125" s="1"/>
  <c r="J55" i="135"/>
  <c r="K21" i="125" s="1"/>
  <c r="L57" i="135"/>
  <c r="G55" i="135"/>
  <c r="H21" i="125" s="1"/>
  <c r="N58" i="135"/>
  <c r="D54" i="135"/>
  <c r="M57" i="135"/>
  <c r="G56" i="135"/>
  <c r="H9" i="125" s="1"/>
  <c r="C55" i="135"/>
  <c r="C54" i="135"/>
  <c r="N55" i="135"/>
  <c r="O21" i="125" s="1"/>
  <c r="H57" i="135"/>
  <c r="D58" i="135"/>
  <c r="J58" i="135"/>
  <c r="E57" i="135"/>
  <c r="M58" i="135"/>
  <c r="N57" i="135"/>
  <c r="K55" i="135"/>
  <c r="L21" i="125" s="1"/>
  <c r="F56" i="135"/>
  <c r="G9" i="125" s="1"/>
  <c r="I58" i="135"/>
  <c r="C58" i="135"/>
  <c r="I54" i="135"/>
  <c r="F55" i="135"/>
  <c r="G21" i="125" s="1"/>
  <c r="F57" i="135"/>
  <c r="H55" i="135"/>
  <c r="I21" i="125" s="1"/>
  <c r="L55" i="135"/>
  <c r="M21" i="125" s="1"/>
  <c r="K54" i="135"/>
  <c r="I56" i="135"/>
  <c r="J9" i="125" s="1"/>
  <c r="E56" i="135"/>
  <c r="F9" i="125" s="1"/>
  <c r="C57" i="135"/>
  <c r="M56" i="135"/>
  <c r="N9" i="125" s="1"/>
  <c r="F58" i="135"/>
  <c r="K57" i="135"/>
  <c r="D57" i="135"/>
  <c r="C56" i="135"/>
  <c r="H54" i="135"/>
  <c r="D55" i="135"/>
  <c r="E21" i="125" s="1"/>
  <c r="L58" i="135"/>
  <c r="D56" i="135"/>
  <c r="E9" i="125" s="1"/>
  <c r="I57" i="135"/>
  <c r="L56" i="135"/>
  <c r="M9" i="125" s="1"/>
  <c r="M54" i="135"/>
  <c r="K58" i="135"/>
  <c r="N56" i="135"/>
  <c r="O9" i="125" s="1"/>
  <c r="F54" i="135"/>
  <c r="G58" i="135"/>
  <c r="H58" i="135"/>
  <c r="E55" i="135"/>
  <c r="F21" i="125" s="1"/>
  <c r="J56" i="135"/>
  <c r="K9" i="125" s="1"/>
  <c r="G54" i="135"/>
  <c r="H7" i="127"/>
  <c r="O7" i="127" s="1"/>
  <c r="H62" i="135"/>
  <c r="D62" i="135"/>
  <c r="L58" i="132"/>
  <c r="L17" i="121"/>
  <c r="N38" i="135"/>
  <c r="N37" i="135"/>
  <c r="E62" i="135"/>
  <c r="O44" i="132"/>
  <c r="M38" i="135"/>
  <c r="M37" i="135"/>
  <c r="O52" i="135"/>
  <c r="Q52" i="135" s="1"/>
  <c r="G62" i="135"/>
  <c r="M52" i="135"/>
  <c r="M26" i="121"/>
  <c r="O26" i="121" s="1"/>
  <c r="L18" i="121"/>
  <c r="L61" i="135"/>
  <c r="L62" i="135" s="1"/>
  <c r="J62" i="135"/>
  <c r="O34" i="135"/>
  <c r="L40" i="132"/>
  <c r="M37" i="132"/>
  <c r="M39" i="132"/>
  <c r="M25" i="121" s="1"/>
  <c r="O25" i="121" s="1"/>
  <c r="O34" i="132"/>
  <c r="O38" i="132" s="1"/>
  <c r="O58" i="132" s="1"/>
  <c r="N38" i="132"/>
  <c r="O36" i="132"/>
  <c r="O39" i="132" s="1"/>
  <c r="D39" i="127"/>
  <c r="O10" i="127"/>
  <c r="E16" i="127"/>
  <c r="E14" i="127"/>
  <c r="O98" i="96"/>
  <c r="C16" i="127"/>
  <c r="C14" i="127"/>
  <c r="C8" i="128"/>
  <c r="C39" i="127" s="1"/>
  <c r="C5" i="128"/>
  <c r="C6" i="128"/>
  <c r="D16" i="127"/>
  <c r="D14" i="127"/>
  <c r="M16" i="127"/>
  <c r="M14" i="127"/>
  <c r="N16" i="127"/>
  <c r="N14" i="127"/>
  <c r="J16" i="127"/>
  <c r="J14" i="127"/>
  <c r="G16" i="127"/>
  <c r="G14" i="127"/>
  <c r="L16" i="127"/>
  <c r="L14" i="127"/>
  <c r="K16" i="127"/>
  <c r="K14" i="127"/>
  <c r="F16" i="127"/>
  <c r="F14" i="127"/>
  <c r="I16" i="127"/>
  <c r="I14" i="127"/>
  <c r="E43" i="106"/>
  <c r="E42" i="106"/>
  <c r="F43" i="106" s="1"/>
  <c r="C17" i="114"/>
  <c r="N37" i="132"/>
  <c r="O18" i="132"/>
  <c r="E43" i="116"/>
  <c r="E46" i="116" s="1"/>
  <c r="D18" i="120"/>
  <c r="D19" i="120" s="1"/>
  <c r="D21" i="120" s="1"/>
  <c r="D25" i="120" s="1"/>
  <c r="C19" i="120"/>
  <c r="C21" i="120" s="1"/>
  <c r="C25" i="120" s="1"/>
  <c r="E33" i="108"/>
  <c r="C49" i="108"/>
  <c r="O11" i="117"/>
  <c r="P10" i="117" s="1"/>
  <c r="L11" i="117"/>
  <c r="K15" i="117"/>
  <c r="L9" i="117"/>
  <c r="L8" i="117"/>
  <c r="L13" i="117"/>
  <c r="D16" i="119"/>
  <c r="E16" i="119"/>
  <c r="F16" i="119"/>
  <c r="C35" i="114"/>
  <c r="C36" i="114" s="1"/>
  <c r="M16" i="119"/>
  <c r="G16" i="119"/>
  <c r="N16" i="119"/>
  <c r="H16" i="119"/>
  <c r="I16" i="119"/>
  <c r="C16" i="119"/>
  <c r="J16" i="119"/>
  <c r="K16" i="119"/>
  <c r="L16" i="119"/>
  <c r="C8" i="108"/>
  <c r="C11" i="108" s="1"/>
  <c r="C35" i="118"/>
  <c r="C10" i="105"/>
  <c r="C13" i="114" s="1"/>
  <c r="C45" i="106"/>
  <c r="E30" i="106"/>
  <c r="E45" i="106" s="1"/>
  <c r="E35" i="114"/>
  <c r="E36" i="114" s="1"/>
  <c r="E35" i="118"/>
  <c r="E38" i="118" s="1"/>
  <c r="C14" i="108"/>
  <c r="C17" i="108" s="1"/>
  <c r="C14" i="105"/>
  <c r="E13" i="114" s="1"/>
  <c r="L59" i="132" l="1"/>
  <c r="J19" i="125"/>
  <c r="I59" i="135"/>
  <c r="D9" i="125"/>
  <c r="P9" i="125" s="1"/>
  <c r="O56" i="135"/>
  <c r="O19" i="125"/>
  <c r="N59" i="135"/>
  <c r="O38" i="135"/>
  <c r="O61" i="135" s="1"/>
  <c r="O37" i="135"/>
  <c r="O57" i="135"/>
  <c r="K26" i="125"/>
  <c r="J13" i="129"/>
  <c r="M61" i="135"/>
  <c r="M18" i="121"/>
  <c r="O18" i="121" s="1"/>
  <c r="O62" i="135" s="1"/>
  <c r="G19" i="125"/>
  <c r="F59" i="135"/>
  <c r="O53" i="132"/>
  <c r="C55" i="132"/>
  <c r="D11" i="125" s="1"/>
  <c r="D54" i="132"/>
  <c r="E26" i="125" s="1"/>
  <c r="J53" i="132"/>
  <c r="E54" i="132"/>
  <c r="I55" i="132"/>
  <c r="F54" i="132"/>
  <c r="F56" i="132" s="1"/>
  <c r="J55" i="132"/>
  <c r="K55" i="132"/>
  <c r="D53" i="132"/>
  <c r="D13" i="129" s="1"/>
  <c r="H54" i="132"/>
  <c r="I26" i="125" s="1"/>
  <c r="L55" i="132"/>
  <c r="M11" i="125" s="1"/>
  <c r="M72" i="125" s="1"/>
  <c r="N73" i="125" s="1"/>
  <c r="E53" i="132"/>
  <c r="E13" i="129" s="1"/>
  <c r="I54" i="132"/>
  <c r="J26" i="125" s="1"/>
  <c r="M55" i="132"/>
  <c r="N11" i="125" s="1"/>
  <c r="N72" i="125" s="1"/>
  <c r="O73" i="125" s="1"/>
  <c r="O55" i="132"/>
  <c r="M54" i="132"/>
  <c r="N26" i="125" s="1"/>
  <c r="F53" i="132"/>
  <c r="J54" i="132"/>
  <c r="N55" i="132"/>
  <c r="O11" i="125" s="1"/>
  <c r="O72" i="125" s="1"/>
  <c r="G53" i="132"/>
  <c r="G13" i="129" s="1"/>
  <c r="K54" i="132"/>
  <c r="L26" i="125" s="1"/>
  <c r="N54" i="132"/>
  <c r="O26" i="125" s="1"/>
  <c r="H53" i="132"/>
  <c r="H13" i="129" s="1"/>
  <c r="L54" i="132"/>
  <c r="M26" i="125" s="1"/>
  <c r="I53" i="132"/>
  <c r="I13" i="129" s="1"/>
  <c r="K53" i="132"/>
  <c r="K13" i="129" s="1"/>
  <c r="O54" i="132"/>
  <c r="L53" i="132"/>
  <c r="D55" i="132"/>
  <c r="E11" i="125" s="1"/>
  <c r="E72" i="125" s="1"/>
  <c r="F73" i="125" s="1"/>
  <c r="M53" i="132"/>
  <c r="E55" i="132"/>
  <c r="F11" i="125" s="1"/>
  <c r="F72" i="125" s="1"/>
  <c r="G73" i="125" s="1"/>
  <c r="C53" i="132"/>
  <c r="N53" i="132"/>
  <c r="N13" i="129" s="1"/>
  <c r="F55" i="132"/>
  <c r="G11" i="125" s="1"/>
  <c r="G72" i="125" s="1"/>
  <c r="H73" i="125" s="1"/>
  <c r="C54" i="132"/>
  <c r="G55" i="132"/>
  <c r="H11" i="125" s="1"/>
  <c r="H72" i="125" s="1"/>
  <c r="I73" i="125" s="1"/>
  <c r="H55" i="132"/>
  <c r="G54" i="132"/>
  <c r="G56" i="132" s="1"/>
  <c r="M19" i="125"/>
  <c r="L59" i="135"/>
  <c r="H16" i="127"/>
  <c r="H20" i="127" s="1"/>
  <c r="H51" i="127" s="1"/>
  <c r="L19" i="125"/>
  <c r="K59" i="135"/>
  <c r="F19" i="125"/>
  <c r="E59" i="135"/>
  <c r="I19" i="125"/>
  <c r="H59" i="135"/>
  <c r="N58" i="132"/>
  <c r="N17" i="121"/>
  <c r="N19" i="125"/>
  <c r="M59" i="135"/>
  <c r="C59" i="135"/>
  <c r="D19" i="125"/>
  <c r="O54" i="135"/>
  <c r="D26" i="125"/>
  <c r="O58" i="135"/>
  <c r="C38" i="118"/>
  <c r="G38" i="118" s="1"/>
  <c r="G35" i="118"/>
  <c r="H14" i="127"/>
  <c r="N61" i="135"/>
  <c r="N18" i="121"/>
  <c r="O55" i="135"/>
  <c r="D21" i="125"/>
  <c r="E19" i="125"/>
  <c r="D59" i="135"/>
  <c r="H19" i="125"/>
  <c r="G59" i="135"/>
  <c r="F13" i="129"/>
  <c r="O17" i="121"/>
  <c r="O59" i="132" s="1"/>
  <c r="K19" i="125"/>
  <c r="J59" i="135"/>
  <c r="M40" i="132"/>
  <c r="M23" i="119"/>
  <c r="M162" i="121" s="1"/>
  <c r="N40" i="132"/>
  <c r="C7" i="128"/>
  <c r="N23" i="119"/>
  <c r="N162" i="121" s="1"/>
  <c r="O37" i="132"/>
  <c r="E49" i="108"/>
  <c r="F33" i="108"/>
  <c r="I17" i="127"/>
  <c r="I18" i="127" s="1"/>
  <c r="I19" i="127" s="1"/>
  <c r="I20" i="127"/>
  <c r="I51" i="127" s="1"/>
  <c r="D81" i="127"/>
  <c r="D96" i="72"/>
  <c r="D49" i="121" s="1"/>
  <c r="D95" i="121" s="1"/>
  <c r="F96" i="72"/>
  <c r="F49" i="121" s="1"/>
  <c r="F95" i="121" s="1"/>
  <c r="F81" i="127"/>
  <c r="K96" i="72"/>
  <c r="K49" i="121" s="1"/>
  <c r="K95" i="121" s="1"/>
  <c r="K81" i="127"/>
  <c r="K17" i="127"/>
  <c r="K20" i="127"/>
  <c r="K51" i="127" s="1"/>
  <c r="K18" i="127"/>
  <c r="G81" i="127"/>
  <c r="G96" i="72"/>
  <c r="G49" i="121" s="1"/>
  <c r="G95" i="121" s="1"/>
  <c r="H81" i="127"/>
  <c r="H96" i="72"/>
  <c r="H49" i="121" s="1"/>
  <c r="H95" i="121" s="1"/>
  <c r="F20" i="127"/>
  <c r="F51" i="127" s="1"/>
  <c r="F17" i="127"/>
  <c r="L81" i="127"/>
  <c r="L96" i="72"/>
  <c r="L49" i="121" s="1"/>
  <c r="L95" i="121" s="1"/>
  <c r="L17" i="127"/>
  <c r="L18" i="127" s="1"/>
  <c r="L20" i="127"/>
  <c r="L51" i="127" s="1"/>
  <c r="J96" i="72"/>
  <c r="J49" i="121" s="1"/>
  <c r="J95" i="121" s="1"/>
  <c r="J81" i="127"/>
  <c r="J17" i="127"/>
  <c r="J18" i="127" s="1"/>
  <c r="J20" i="127"/>
  <c r="J51" i="127" s="1"/>
  <c r="E20" i="127"/>
  <c r="E51" i="127" s="1"/>
  <c r="E17" i="127"/>
  <c r="E18" i="127" s="1"/>
  <c r="I96" i="72"/>
  <c r="I49" i="121" s="1"/>
  <c r="I95" i="121" s="1"/>
  <c r="I81" i="127"/>
  <c r="C55" i="127"/>
  <c r="C38" i="127"/>
  <c r="G20" i="127"/>
  <c r="G51" i="127" s="1"/>
  <c r="G17" i="127"/>
  <c r="C20" i="127"/>
  <c r="C51" i="127" s="1"/>
  <c r="C17" i="127"/>
  <c r="N81" i="127"/>
  <c r="N96" i="72"/>
  <c r="N49" i="121" s="1"/>
  <c r="N95" i="121" s="1"/>
  <c r="D20" i="127"/>
  <c r="D51" i="127" s="1"/>
  <c r="D17" i="127"/>
  <c r="D18" i="127" s="1"/>
  <c r="C49" i="127"/>
  <c r="C38" i="73" s="1"/>
  <c r="C37" i="127"/>
  <c r="C81" i="127"/>
  <c r="C96" i="72"/>
  <c r="C49" i="121" s="1"/>
  <c r="C95" i="121" s="1"/>
  <c r="O14" i="127"/>
  <c r="P14" i="127" s="1"/>
  <c r="U6" i="125"/>
  <c r="O101" i="96"/>
  <c r="E96" i="72"/>
  <c r="E49" i="121" s="1"/>
  <c r="E95" i="121" s="1"/>
  <c r="E81" i="127"/>
  <c r="N20" i="127"/>
  <c r="N51" i="127" s="1"/>
  <c r="N17" i="127"/>
  <c r="M96" i="72"/>
  <c r="M49" i="121" s="1"/>
  <c r="M95" i="121" s="1"/>
  <c r="M81" i="127"/>
  <c r="M17" i="127"/>
  <c r="M20" i="127"/>
  <c r="M51" i="127" s="1"/>
  <c r="K17" i="114"/>
  <c r="O17" i="114" s="1"/>
  <c r="G17" i="114"/>
  <c r="H17" i="114" s="1"/>
  <c r="D17" i="114"/>
  <c r="F30" i="106"/>
  <c r="E17" i="119"/>
  <c r="E27" i="120"/>
  <c r="E16" i="121"/>
  <c r="D17" i="119"/>
  <c r="D27" i="120"/>
  <c r="D31" i="120" s="1"/>
  <c r="D36" i="120" s="1"/>
  <c r="D16" i="121"/>
  <c r="J17" i="119"/>
  <c r="J27" i="120"/>
  <c r="J16" i="121"/>
  <c r="G17" i="119"/>
  <c r="G27" i="120"/>
  <c r="G16" i="121"/>
  <c r="F17" i="119"/>
  <c r="F27" i="120"/>
  <c r="F16" i="121"/>
  <c r="K17" i="119"/>
  <c r="K27" i="120"/>
  <c r="K16" i="121"/>
  <c r="C27" i="120"/>
  <c r="C31" i="120" s="1"/>
  <c r="C36" i="120" s="1"/>
  <c r="C16" i="121"/>
  <c r="H17" i="119"/>
  <c r="H16" i="121"/>
  <c r="H27" i="120"/>
  <c r="L17" i="119"/>
  <c r="L16" i="121"/>
  <c r="L27" i="120"/>
  <c r="I17" i="119"/>
  <c r="I16" i="121"/>
  <c r="I27" i="120"/>
  <c r="N17" i="119"/>
  <c r="N16" i="121"/>
  <c r="N27" i="120"/>
  <c r="M17" i="119"/>
  <c r="M27" i="120"/>
  <c r="M16" i="121"/>
  <c r="F43" i="116"/>
  <c r="F46" i="116" s="1"/>
  <c r="E18" i="120"/>
  <c r="C17" i="119"/>
  <c r="O16" i="119"/>
  <c r="O17" i="119" s="1"/>
  <c r="P9" i="117"/>
  <c r="P8" i="117"/>
  <c r="P11" i="117"/>
  <c r="O15" i="117"/>
  <c r="P21" i="117"/>
  <c r="P25" i="117"/>
  <c r="P26" i="117"/>
  <c r="P13" i="117"/>
  <c r="C17" i="118"/>
  <c r="C17" i="117"/>
  <c r="H11" i="116"/>
  <c r="I11" i="116"/>
  <c r="J11" i="116"/>
  <c r="E10" i="116"/>
  <c r="K11" i="116"/>
  <c r="G11" i="116"/>
  <c r="F10" i="116"/>
  <c r="L11" i="116"/>
  <c r="H10" i="116"/>
  <c r="E11" i="116"/>
  <c r="G10" i="116"/>
  <c r="M11" i="116"/>
  <c r="N10" i="116"/>
  <c r="F11" i="116"/>
  <c r="N11" i="116"/>
  <c r="I10" i="116"/>
  <c r="D10" i="116"/>
  <c r="C9" i="116"/>
  <c r="J10" i="116"/>
  <c r="D11" i="116"/>
  <c r="K10" i="116"/>
  <c r="C11" i="116"/>
  <c r="M10" i="116"/>
  <c r="L10" i="116"/>
  <c r="C10" i="116"/>
  <c r="K60" i="116"/>
  <c r="C60" i="116"/>
  <c r="E13" i="118"/>
  <c r="L60" i="116"/>
  <c r="C59" i="116"/>
  <c r="C24" i="73" s="1"/>
  <c r="L61" i="116"/>
  <c r="J60" i="116"/>
  <c r="M60" i="116"/>
  <c r="N61" i="116"/>
  <c r="N60" i="116"/>
  <c r="F60" i="116"/>
  <c r="I60" i="116"/>
  <c r="D61" i="116"/>
  <c r="M61" i="116"/>
  <c r="E61" i="116"/>
  <c r="H60" i="116"/>
  <c r="F61" i="116"/>
  <c r="G61" i="116"/>
  <c r="G60" i="116"/>
  <c r="H61" i="116"/>
  <c r="K61" i="116"/>
  <c r="C61" i="116"/>
  <c r="D60" i="116"/>
  <c r="I61" i="116"/>
  <c r="E60" i="116"/>
  <c r="J61" i="116"/>
  <c r="G55" i="116"/>
  <c r="H55" i="116"/>
  <c r="C13" i="118"/>
  <c r="E55" i="116"/>
  <c r="D54" i="116"/>
  <c r="I55" i="116"/>
  <c r="E54" i="116"/>
  <c r="J55" i="116"/>
  <c r="F54" i="116"/>
  <c r="K55" i="116"/>
  <c r="G54" i="116"/>
  <c r="L55" i="116"/>
  <c r="H54" i="116"/>
  <c r="M55" i="116"/>
  <c r="N54" i="116"/>
  <c r="I54" i="116"/>
  <c r="N55" i="116"/>
  <c r="J54" i="116"/>
  <c r="C55" i="116"/>
  <c r="D55" i="116"/>
  <c r="K54" i="116"/>
  <c r="C54" i="116"/>
  <c r="M54" i="116"/>
  <c r="F55" i="116"/>
  <c r="L54" i="116"/>
  <c r="C53" i="116"/>
  <c r="C23" i="73" s="1"/>
  <c r="L15" i="117"/>
  <c r="N16" i="116"/>
  <c r="C16" i="116"/>
  <c r="E17" i="116"/>
  <c r="D17" i="116"/>
  <c r="F17" i="116"/>
  <c r="F23" i="116" s="1"/>
  <c r="G17" i="116"/>
  <c r="D16" i="116"/>
  <c r="H17" i="116"/>
  <c r="C15" i="116"/>
  <c r="I17" i="116"/>
  <c r="J17" i="116"/>
  <c r="M16" i="116"/>
  <c r="E16" i="116"/>
  <c r="K17" i="116"/>
  <c r="K16" i="116"/>
  <c r="F16" i="116"/>
  <c r="L17" i="116"/>
  <c r="I16" i="116"/>
  <c r="J16" i="116"/>
  <c r="G16" i="116"/>
  <c r="M17" i="116"/>
  <c r="L16" i="116"/>
  <c r="H16" i="116"/>
  <c r="N17" i="116"/>
  <c r="C17" i="116"/>
  <c r="H17" i="127" l="1"/>
  <c r="Q37" i="135"/>
  <c r="G26" i="125"/>
  <c r="M56" i="132"/>
  <c r="L56" i="132"/>
  <c r="M13" i="129"/>
  <c r="E19" i="127"/>
  <c r="O59" i="135"/>
  <c r="P19" i="125"/>
  <c r="K56" i="132"/>
  <c r="L11" i="125"/>
  <c r="L72" i="125" s="1"/>
  <c r="M73" i="125" s="1"/>
  <c r="J56" i="132"/>
  <c r="K11" i="125"/>
  <c r="K72" i="125" s="1"/>
  <c r="L73" i="125" s="1"/>
  <c r="M62" i="135"/>
  <c r="E10" i="125"/>
  <c r="D10" i="125"/>
  <c r="F10" i="125"/>
  <c r="N10" i="125"/>
  <c r="O10" i="125"/>
  <c r="K10" i="125"/>
  <c r="J10" i="125"/>
  <c r="M10" i="125"/>
  <c r="I10" i="125"/>
  <c r="G10" i="125"/>
  <c r="H10" i="125"/>
  <c r="L10" i="125"/>
  <c r="H56" i="132"/>
  <c r="I11" i="125"/>
  <c r="I72" i="125" s="1"/>
  <c r="J73" i="125" s="1"/>
  <c r="I56" i="132"/>
  <c r="J11" i="125"/>
  <c r="J72" i="125" s="1"/>
  <c r="K73" i="125" s="1"/>
  <c r="E56" i="132"/>
  <c r="F26" i="125"/>
  <c r="P21" i="125"/>
  <c r="N59" i="132"/>
  <c r="D56" i="132"/>
  <c r="L13" i="129"/>
  <c r="N56" i="132"/>
  <c r="D72" i="125"/>
  <c r="J66" i="116"/>
  <c r="K22" i="116"/>
  <c r="K23" i="116"/>
  <c r="N62" i="135"/>
  <c r="C56" i="132"/>
  <c r="C13" i="129"/>
  <c r="O56" i="132"/>
  <c r="H67" i="116"/>
  <c r="N67" i="116"/>
  <c r="H26" i="125"/>
  <c r="O40" i="132"/>
  <c r="Q37" i="132"/>
  <c r="F22" i="116"/>
  <c r="L19" i="127"/>
  <c r="L45" i="127" s="1"/>
  <c r="F18" i="127"/>
  <c r="F19" i="127" s="1"/>
  <c r="O23" i="119"/>
  <c r="M18" i="127"/>
  <c r="M19" i="127" s="1"/>
  <c r="J19" i="127"/>
  <c r="J34" i="127" s="1"/>
  <c r="G50" i="127"/>
  <c r="H37" i="127"/>
  <c r="L56" i="127"/>
  <c r="M38" i="127"/>
  <c r="L50" i="127"/>
  <c r="M37" i="127"/>
  <c r="C57" i="127"/>
  <c r="C21" i="72"/>
  <c r="C39" i="73"/>
  <c r="C41" i="73" s="1"/>
  <c r="C47" i="73" s="1"/>
  <c r="D56" i="127"/>
  <c r="E38" i="127"/>
  <c r="G18" i="127"/>
  <c r="E50" i="127"/>
  <c r="F37" i="127"/>
  <c r="F50" i="127"/>
  <c r="G37" i="127"/>
  <c r="I45" i="127"/>
  <c r="I34" i="127"/>
  <c r="E45" i="127"/>
  <c r="E34" i="127"/>
  <c r="I56" i="127"/>
  <c r="J38" i="127"/>
  <c r="C52" i="127"/>
  <c r="C20" i="72"/>
  <c r="N18" i="127"/>
  <c r="N50" i="127"/>
  <c r="C18" i="127"/>
  <c r="D37" i="127"/>
  <c r="C50" i="127"/>
  <c r="I50" i="127"/>
  <c r="J37" i="127"/>
  <c r="K50" i="127"/>
  <c r="L37" i="127"/>
  <c r="D50" i="127"/>
  <c r="E37" i="127"/>
  <c r="J56" i="127"/>
  <c r="K38" i="127"/>
  <c r="M50" i="127"/>
  <c r="N37" i="127"/>
  <c r="D19" i="127"/>
  <c r="J50" i="127"/>
  <c r="K37" i="127"/>
  <c r="H18" i="127"/>
  <c r="H50" i="127"/>
  <c r="I37" i="127"/>
  <c r="K56" i="127"/>
  <c r="L38" i="127"/>
  <c r="E56" i="127"/>
  <c r="F38" i="127"/>
  <c r="K19" i="127"/>
  <c r="L22" i="116"/>
  <c r="L23" i="116"/>
  <c r="L67" i="116"/>
  <c r="L66" i="116"/>
  <c r="G23" i="116"/>
  <c r="C25" i="73"/>
  <c r="C29" i="73" s="1"/>
  <c r="F67" i="116"/>
  <c r="K67" i="116"/>
  <c r="K18" i="125"/>
  <c r="J19" i="121"/>
  <c r="J56" i="121" s="1"/>
  <c r="G18" i="125"/>
  <c r="F61" i="121" s="1"/>
  <c r="F19" i="121"/>
  <c r="F56" i="121" s="1"/>
  <c r="J18" i="125"/>
  <c r="I19" i="121"/>
  <c r="I56" i="121" s="1"/>
  <c r="K66" i="116"/>
  <c r="E67" i="116"/>
  <c r="O61" i="116"/>
  <c r="M13" i="118" s="1"/>
  <c r="E19" i="120"/>
  <c r="E21" i="120" s="1"/>
  <c r="E25" i="120" s="1"/>
  <c r="E31" i="120" s="1"/>
  <c r="E36" i="120" s="1"/>
  <c r="I18" i="125"/>
  <c r="H19" i="121"/>
  <c r="H56" i="121" s="1"/>
  <c r="H18" i="125"/>
  <c r="G61" i="121" s="1"/>
  <c r="G19" i="121"/>
  <c r="G56" i="121" s="1"/>
  <c r="M18" i="125"/>
  <c r="L61" i="121" s="1"/>
  <c r="L19" i="121"/>
  <c r="L56" i="121" s="1"/>
  <c r="G43" i="116"/>
  <c r="G46" i="116" s="1"/>
  <c r="F18" i="120"/>
  <c r="F19" i="120" s="1"/>
  <c r="F21" i="120" s="1"/>
  <c r="F25" i="120" s="1"/>
  <c r="F31" i="120" s="1"/>
  <c r="F36" i="120" s="1"/>
  <c r="E18" i="125"/>
  <c r="D19" i="121"/>
  <c r="D56" i="121" s="1"/>
  <c r="D22" i="116"/>
  <c r="I23" i="116"/>
  <c r="N18" i="125"/>
  <c r="M61" i="121" s="1"/>
  <c r="M19" i="121"/>
  <c r="M56" i="121" s="1"/>
  <c r="O16" i="121"/>
  <c r="O19" i="121" s="1"/>
  <c r="D18" i="125"/>
  <c r="C61" i="121" s="1"/>
  <c r="C19" i="121"/>
  <c r="C56" i="121" s="1"/>
  <c r="J23" i="116"/>
  <c r="O27" i="120"/>
  <c r="G67" i="116"/>
  <c r="H66" i="116"/>
  <c r="N23" i="116"/>
  <c r="L18" i="125"/>
  <c r="K19" i="121"/>
  <c r="K56" i="121" s="1"/>
  <c r="F18" i="125"/>
  <c r="E61" i="121" s="1"/>
  <c r="E19" i="121"/>
  <c r="E56" i="121" s="1"/>
  <c r="M22" i="116"/>
  <c r="E22" i="116"/>
  <c r="O18" i="125"/>
  <c r="N61" i="121" s="1"/>
  <c r="N19" i="121"/>
  <c r="N56" i="121" s="1"/>
  <c r="D23" i="116"/>
  <c r="C23" i="116"/>
  <c r="O11" i="116"/>
  <c r="K13" i="114" s="1"/>
  <c r="I66" i="116"/>
  <c r="G13" i="114"/>
  <c r="D13" i="114"/>
  <c r="C15" i="114"/>
  <c r="C56" i="116"/>
  <c r="C65" i="116"/>
  <c r="J22" i="116"/>
  <c r="K17" i="117"/>
  <c r="G17" i="117"/>
  <c r="D17" i="117"/>
  <c r="C19" i="117"/>
  <c r="D19" i="117" s="1"/>
  <c r="O16" i="116"/>
  <c r="G66" i="116"/>
  <c r="F13" i="118"/>
  <c r="E15" i="118"/>
  <c r="K17" i="118"/>
  <c r="D17" i="118"/>
  <c r="G17" i="118"/>
  <c r="H17" i="118" s="1"/>
  <c r="E66" i="116"/>
  <c r="N22" i="116"/>
  <c r="P15" i="117"/>
  <c r="I22" i="116"/>
  <c r="O17" i="116"/>
  <c r="M13" i="114" s="1"/>
  <c r="O54" i="116"/>
  <c r="I67" i="116"/>
  <c r="M23" i="116"/>
  <c r="N66" i="116"/>
  <c r="C21" i="116"/>
  <c r="C12" i="116"/>
  <c r="D9" i="116" s="1"/>
  <c r="D12" i="116" s="1"/>
  <c r="E9" i="116" s="1"/>
  <c r="E12" i="116" s="1"/>
  <c r="F9" i="116" s="1"/>
  <c r="F12" i="116" s="1"/>
  <c r="G9" i="116" s="1"/>
  <c r="G12" i="116" s="1"/>
  <c r="H9" i="116" s="1"/>
  <c r="H12" i="116" s="1"/>
  <c r="I9" i="116" s="1"/>
  <c r="I12" i="116" s="1"/>
  <c r="J9" i="116" s="1"/>
  <c r="J12" i="116" s="1"/>
  <c r="K9" i="116" s="1"/>
  <c r="K12" i="116" s="1"/>
  <c r="L9" i="116" s="1"/>
  <c r="L12" i="116" s="1"/>
  <c r="M9" i="116" s="1"/>
  <c r="M12" i="116" s="1"/>
  <c r="N9" i="116" s="1"/>
  <c r="N12" i="116" s="1"/>
  <c r="C62" i="116"/>
  <c r="J67" i="116"/>
  <c r="M66" i="116"/>
  <c r="D66" i="116"/>
  <c r="G22" i="116"/>
  <c r="F13" i="114"/>
  <c r="E15" i="114"/>
  <c r="F66" i="116"/>
  <c r="C66" i="116"/>
  <c r="O60" i="116"/>
  <c r="C18" i="116"/>
  <c r="D15" i="116" s="1"/>
  <c r="D18" i="116" s="1"/>
  <c r="E15" i="116" s="1"/>
  <c r="E18" i="116" s="1"/>
  <c r="F15" i="116" s="1"/>
  <c r="F18" i="116" s="1"/>
  <c r="G15" i="116" s="1"/>
  <c r="G18" i="116" s="1"/>
  <c r="H15" i="116" s="1"/>
  <c r="H18" i="116" s="1"/>
  <c r="I15" i="116" s="1"/>
  <c r="I18" i="116" s="1"/>
  <c r="J15" i="116" s="1"/>
  <c r="J18" i="116" s="1"/>
  <c r="K15" i="116" s="1"/>
  <c r="K18" i="116" s="1"/>
  <c r="L15" i="116" s="1"/>
  <c r="L18" i="116" s="1"/>
  <c r="M15" i="116" s="1"/>
  <c r="M18" i="116" s="1"/>
  <c r="N15" i="116" s="1"/>
  <c r="N18" i="116" s="1"/>
  <c r="H23" i="116"/>
  <c r="D67" i="116"/>
  <c r="E23" i="116"/>
  <c r="O55" i="116"/>
  <c r="K13" i="118" s="1"/>
  <c r="C67" i="116"/>
  <c r="G13" i="118"/>
  <c r="D13" i="118"/>
  <c r="C15" i="118"/>
  <c r="M67" i="116"/>
  <c r="C22" i="116"/>
  <c r="O10" i="116"/>
  <c r="H22" i="116"/>
  <c r="K61" i="121" l="1"/>
  <c r="J61" i="121"/>
  <c r="F61" i="125"/>
  <c r="D61" i="125"/>
  <c r="P10" i="125"/>
  <c r="E61" i="125"/>
  <c r="F62" i="125" s="1"/>
  <c r="O13" i="129"/>
  <c r="E73" i="125"/>
  <c r="D74" i="125"/>
  <c r="E71" i="125" s="1"/>
  <c r="E74" i="125" s="1"/>
  <c r="F71" i="125" s="1"/>
  <c r="F74" i="125" s="1"/>
  <c r="G71" i="125" s="1"/>
  <c r="G74" i="125" s="1"/>
  <c r="H71" i="125" s="1"/>
  <c r="H74" i="125" s="1"/>
  <c r="I71" i="125" s="1"/>
  <c r="I74" i="125" s="1"/>
  <c r="J71" i="125" s="1"/>
  <c r="J74" i="125" s="1"/>
  <c r="K71" i="125" s="1"/>
  <c r="K74" i="125" s="1"/>
  <c r="L71" i="125" s="1"/>
  <c r="L74" i="125" s="1"/>
  <c r="M71" i="125" s="1"/>
  <c r="M74" i="125" s="1"/>
  <c r="N71" i="125" s="1"/>
  <c r="N74" i="125" s="1"/>
  <c r="O71" i="125" s="1"/>
  <c r="O74" i="125" s="1"/>
  <c r="P11" i="125"/>
  <c r="L61" i="125"/>
  <c r="H61" i="125"/>
  <c r="H61" i="121"/>
  <c r="H73" i="121" s="1"/>
  <c r="G61" i="125"/>
  <c r="H62" i="125" s="1"/>
  <c r="O20" i="125"/>
  <c r="O172" i="125" s="1"/>
  <c r="I20" i="125"/>
  <c r="I172" i="125" s="1"/>
  <c r="D20" i="125"/>
  <c r="K20" i="125"/>
  <c r="K172" i="125" s="1"/>
  <c r="F20" i="125"/>
  <c r="L20" i="125"/>
  <c r="E20" i="125"/>
  <c r="E172" i="125" s="1"/>
  <c r="J20" i="125"/>
  <c r="H20" i="125"/>
  <c r="M20" i="125"/>
  <c r="M172" i="125" s="1"/>
  <c r="G20" i="125"/>
  <c r="G172" i="125" s="1"/>
  <c r="N20" i="125"/>
  <c r="I61" i="125"/>
  <c r="J62" i="125" s="1"/>
  <c r="L34" i="127"/>
  <c r="L19" i="72" s="1"/>
  <c r="M61" i="125"/>
  <c r="N62" i="125" s="1"/>
  <c r="J61" i="125"/>
  <c r="K61" i="125"/>
  <c r="L62" i="125" s="1"/>
  <c r="E22" i="125"/>
  <c r="E188" i="125" s="1"/>
  <c r="L22" i="125"/>
  <c r="F22" i="125"/>
  <c r="M22" i="125"/>
  <c r="M188" i="125" s="1"/>
  <c r="N22" i="125"/>
  <c r="G22" i="125"/>
  <c r="G188" i="125" s="1"/>
  <c r="J22" i="125"/>
  <c r="H22" i="125"/>
  <c r="I22" i="125"/>
  <c r="I188" i="125" s="1"/>
  <c r="O22" i="125"/>
  <c r="O188" i="125" s="1"/>
  <c r="D22" i="125"/>
  <c r="K22" i="125"/>
  <c r="K188" i="125" s="1"/>
  <c r="O61" i="125"/>
  <c r="I61" i="121"/>
  <c r="I73" i="121" s="1"/>
  <c r="P26" i="125"/>
  <c r="N61" i="125"/>
  <c r="F56" i="127"/>
  <c r="C53" i="127"/>
  <c r="D38" i="73" s="1"/>
  <c r="G38" i="127"/>
  <c r="G57" i="127" s="1"/>
  <c r="M56" i="127"/>
  <c r="J45" i="127"/>
  <c r="F45" i="127"/>
  <c r="F34" i="127"/>
  <c r="F19" i="72" s="1"/>
  <c r="N38" i="127"/>
  <c r="N57" i="127" s="1"/>
  <c r="M34" i="127"/>
  <c r="M42" i="127" s="1"/>
  <c r="M45" i="127"/>
  <c r="J52" i="127"/>
  <c r="J20" i="72"/>
  <c r="E42" i="127"/>
  <c r="E21" i="72"/>
  <c r="E57" i="127"/>
  <c r="G56" i="127"/>
  <c r="H38" i="127"/>
  <c r="D38" i="127"/>
  <c r="C56" i="127"/>
  <c r="C58" i="127" s="1"/>
  <c r="G19" i="127"/>
  <c r="M52" i="127"/>
  <c r="M20" i="72"/>
  <c r="H56" i="127"/>
  <c r="I38" i="127"/>
  <c r="I42" i="127" s="1"/>
  <c r="H19" i="127"/>
  <c r="D45" i="127"/>
  <c r="D34" i="127"/>
  <c r="J21" i="72"/>
  <c r="J57" i="127"/>
  <c r="K45" i="127"/>
  <c r="K34" i="127"/>
  <c r="C19" i="127"/>
  <c r="F52" i="127"/>
  <c r="F20" i="72"/>
  <c r="M57" i="127"/>
  <c r="M21" i="72"/>
  <c r="C49" i="73"/>
  <c r="C51" i="73" s="1"/>
  <c r="J46" i="127"/>
  <c r="J19" i="72"/>
  <c r="J42" i="127"/>
  <c r="L21" i="72"/>
  <c r="L57" i="127"/>
  <c r="K52" i="127"/>
  <c r="K20" i="72"/>
  <c r="F57" i="127"/>
  <c r="F21" i="72"/>
  <c r="D20" i="72"/>
  <c r="D52" i="127"/>
  <c r="N52" i="127"/>
  <c r="N20" i="72"/>
  <c r="I19" i="72"/>
  <c r="I46" i="127"/>
  <c r="N56" i="127"/>
  <c r="N19" i="127"/>
  <c r="E20" i="72"/>
  <c r="E52" i="127"/>
  <c r="I20" i="72"/>
  <c r="I52" i="127"/>
  <c r="L52" i="127"/>
  <c r="L20" i="72"/>
  <c r="H20" i="72"/>
  <c r="H52" i="127"/>
  <c r="E46" i="127"/>
  <c r="E19" i="72"/>
  <c r="K57" i="127"/>
  <c r="K21" i="72"/>
  <c r="G52" i="127"/>
  <c r="G20" i="72"/>
  <c r="M73" i="121"/>
  <c r="F73" i="121"/>
  <c r="K73" i="121"/>
  <c r="E73" i="121"/>
  <c r="L73" i="121"/>
  <c r="G73" i="121"/>
  <c r="N73" i="121"/>
  <c r="D61" i="121"/>
  <c r="J73" i="121"/>
  <c r="C73" i="121"/>
  <c r="D59" i="116"/>
  <c r="D62" i="116" s="1"/>
  <c r="D24" i="73"/>
  <c r="I156" i="125"/>
  <c r="O156" i="125"/>
  <c r="Q23" i="120"/>
  <c r="Q25" i="121"/>
  <c r="J156" i="125"/>
  <c r="K151" i="125"/>
  <c r="D53" i="116"/>
  <c r="D56" i="116" s="1"/>
  <c r="D23" i="73"/>
  <c r="F156" i="125"/>
  <c r="G151" i="125"/>
  <c r="E156" i="125"/>
  <c r="M156" i="125"/>
  <c r="I151" i="125"/>
  <c r="H156" i="125"/>
  <c r="D156" i="125"/>
  <c r="D158" i="125" s="1"/>
  <c r="P18" i="125"/>
  <c r="E151" i="125"/>
  <c r="N156" i="125"/>
  <c r="O151" i="125"/>
  <c r="G156" i="125"/>
  <c r="L156" i="125"/>
  <c r="M151" i="125"/>
  <c r="H43" i="116"/>
  <c r="H46" i="116" s="1"/>
  <c r="G18" i="120"/>
  <c r="O66" i="116"/>
  <c r="K156" i="125"/>
  <c r="H17" i="117"/>
  <c r="G19" i="117"/>
  <c r="E19" i="114"/>
  <c r="F19" i="114" s="1"/>
  <c r="F15" i="114"/>
  <c r="O17" i="117"/>
  <c r="L17" i="117"/>
  <c r="K19" i="117"/>
  <c r="L19" i="117" s="1"/>
  <c r="H13" i="114"/>
  <c r="G15" i="114"/>
  <c r="O22" i="116"/>
  <c r="D15" i="118"/>
  <c r="C19" i="118"/>
  <c r="C19" i="114"/>
  <c r="D19" i="114" s="1"/>
  <c r="D15" i="114"/>
  <c r="H13" i="118"/>
  <c r="G15" i="118"/>
  <c r="O13" i="114"/>
  <c r="C68" i="116"/>
  <c r="O13" i="118"/>
  <c r="O23" i="116"/>
  <c r="O67" i="116"/>
  <c r="O17" i="118"/>
  <c r="F15" i="118"/>
  <c r="E19" i="118"/>
  <c r="C24" i="116"/>
  <c r="M10" i="114"/>
  <c r="E37" i="114"/>
  <c r="E38" i="114" s="1"/>
  <c r="E40" i="114" s="1"/>
  <c r="K10" i="114"/>
  <c r="C37" i="114"/>
  <c r="C38" i="114" s="1"/>
  <c r="C40" i="114" s="1"/>
  <c r="L42" i="127" l="1"/>
  <c r="L46" i="127"/>
  <c r="F42" i="127"/>
  <c r="F46" i="127"/>
  <c r="J188" i="125"/>
  <c r="K183" i="125"/>
  <c r="I62" i="125"/>
  <c r="I277" i="125" s="1"/>
  <c r="H13" i="72" s="1"/>
  <c r="H275" i="125"/>
  <c r="N188" i="125"/>
  <c r="O183" i="125"/>
  <c r="O189" i="125" s="1"/>
  <c r="M62" i="125"/>
  <c r="M277" i="125" s="1"/>
  <c r="L13" i="72" s="1"/>
  <c r="L275" i="125"/>
  <c r="H172" i="125"/>
  <c r="I167" i="125"/>
  <c r="L188" i="125"/>
  <c r="M183" i="125"/>
  <c r="F188" i="125"/>
  <c r="G183" i="125"/>
  <c r="O62" i="125"/>
  <c r="N275" i="125"/>
  <c r="L172" i="125"/>
  <c r="M167" i="125"/>
  <c r="F27" i="125"/>
  <c r="F236" i="125" s="1"/>
  <c r="K27" i="125"/>
  <c r="O27" i="125"/>
  <c r="M27" i="125"/>
  <c r="M236" i="125" s="1"/>
  <c r="L27" i="125"/>
  <c r="J27" i="125"/>
  <c r="H27" i="125"/>
  <c r="E27" i="125"/>
  <c r="E236" i="125" s="1"/>
  <c r="N27" i="125"/>
  <c r="N236" i="125" s="1"/>
  <c r="D27" i="125"/>
  <c r="G27" i="125"/>
  <c r="G236" i="125" s="1"/>
  <c r="I27" i="125"/>
  <c r="F172" i="125"/>
  <c r="G167" i="125"/>
  <c r="G275" i="125" s="1"/>
  <c r="G296" i="125" s="1"/>
  <c r="L14" i="129"/>
  <c r="L103" i="72" s="1"/>
  <c r="D14" i="129"/>
  <c r="D103" i="72" s="1"/>
  <c r="J14" i="129"/>
  <c r="J103" i="72" s="1"/>
  <c r="H14" i="129"/>
  <c r="H103" i="72" s="1"/>
  <c r="K14" i="129"/>
  <c r="K103" i="72" s="1"/>
  <c r="F14" i="129"/>
  <c r="F103" i="72" s="1"/>
  <c r="M14" i="129"/>
  <c r="M103" i="72" s="1"/>
  <c r="E14" i="129"/>
  <c r="E103" i="72" s="1"/>
  <c r="N14" i="129"/>
  <c r="N103" i="72" s="1"/>
  <c r="G14" i="129"/>
  <c r="G103" i="72" s="1"/>
  <c r="I14" i="129"/>
  <c r="I103" i="72" s="1"/>
  <c r="C14" i="129"/>
  <c r="J172" i="125"/>
  <c r="K167" i="125"/>
  <c r="D172" i="125"/>
  <c r="D174" i="125" s="1"/>
  <c r="E171" i="125" s="1"/>
  <c r="P20" i="125"/>
  <c r="E167" i="125"/>
  <c r="N172" i="125"/>
  <c r="O167" i="125"/>
  <c r="O173" i="125" s="1"/>
  <c r="F30" i="125"/>
  <c r="E87" i="72" s="1"/>
  <c r="E48" i="121" s="1"/>
  <c r="K62" i="125"/>
  <c r="K277" i="125" s="1"/>
  <c r="J13" i="72" s="1"/>
  <c r="J275" i="125"/>
  <c r="L64" i="121"/>
  <c r="L65" i="121" s="1"/>
  <c r="G30" i="125"/>
  <c r="F87" i="72" s="1"/>
  <c r="F48" i="121" s="1"/>
  <c r="G21" i="72"/>
  <c r="D188" i="125"/>
  <c r="D190" i="125" s="1"/>
  <c r="E187" i="125" s="1"/>
  <c r="P22" i="125"/>
  <c r="E183" i="125"/>
  <c r="D63" i="125"/>
  <c r="E62" i="125"/>
  <c r="E277" i="125" s="1"/>
  <c r="D13" i="72" s="1"/>
  <c r="D275" i="125"/>
  <c r="D49" i="127"/>
  <c r="D53" i="127" s="1"/>
  <c r="C83" i="127"/>
  <c r="H64" i="121"/>
  <c r="H65" i="121" s="1"/>
  <c r="G62" i="125"/>
  <c r="G277" i="125" s="1"/>
  <c r="F13" i="72" s="1"/>
  <c r="F275" i="125"/>
  <c r="E275" i="125"/>
  <c r="E296" i="125" s="1"/>
  <c r="E30" i="125"/>
  <c r="D87" i="72" s="1"/>
  <c r="D48" i="121" s="1"/>
  <c r="H188" i="125"/>
  <c r="I183" i="125"/>
  <c r="N21" i="72"/>
  <c r="M46" i="127"/>
  <c r="M19" i="72"/>
  <c r="M22" i="72" s="1"/>
  <c r="O20" i="72"/>
  <c r="D57" i="127"/>
  <c r="D21" i="72"/>
  <c r="H21" i="72"/>
  <c r="H57" i="127"/>
  <c r="G45" i="127"/>
  <c r="G34" i="127"/>
  <c r="C45" i="127"/>
  <c r="C34" i="127"/>
  <c r="K46" i="127"/>
  <c r="K19" i="72"/>
  <c r="K22" i="72" s="1"/>
  <c r="K42" i="127"/>
  <c r="C84" i="127"/>
  <c r="D55" i="127"/>
  <c r="D39" i="73"/>
  <c r="D42" i="127"/>
  <c r="D46" i="127"/>
  <c r="D19" i="72"/>
  <c r="E22" i="72"/>
  <c r="N34" i="127"/>
  <c r="N45" i="127"/>
  <c r="H34" i="127"/>
  <c r="H45" i="127"/>
  <c r="J22" i="72"/>
  <c r="F22" i="72"/>
  <c r="L22" i="72"/>
  <c r="I57" i="127"/>
  <c r="I21" i="72"/>
  <c r="I22" i="72" s="1"/>
  <c r="C44" i="121"/>
  <c r="C45" i="121" s="1"/>
  <c r="D25" i="73"/>
  <c r="D29" i="73" s="1"/>
  <c r="C128" i="121" s="1"/>
  <c r="L115" i="121"/>
  <c r="L116" i="121" s="1"/>
  <c r="L76" i="121"/>
  <c r="K115" i="121"/>
  <c r="K116" i="121" s="1"/>
  <c r="K76" i="121"/>
  <c r="E115" i="121"/>
  <c r="E116" i="121" s="1"/>
  <c r="E76" i="121"/>
  <c r="D73" i="121"/>
  <c r="F115" i="121"/>
  <c r="F116" i="121" s="1"/>
  <c r="F76" i="121"/>
  <c r="I76" i="121"/>
  <c r="I115" i="121"/>
  <c r="I116" i="121" s="1"/>
  <c r="H115" i="121"/>
  <c r="H116" i="121" s="1"/>
  <c r="H76" i="121"/>
  <c r="G115" i="121"/>
  <c r="G116" i="121" s="1"/>
  <c r="G76" i="121"/>
  <c r="J76" i="121"/>
  <c r="J115" i="121"/>
  <c r="J116" i="121" s="1"/>
  <c r="N115" i="121"/>
  <c r="N116" i="121" s="1"/>
  <c r="N76" i="121"/>
  <c r="M115" i="121"/>
  <c r="M116" i="121" s="1"/>
  <c r="M76" i="121"/>
  <c r="C76" i="121"/>
  <c r="C115" i="121"/>
  <c r="C116" i="121" s="1"/>
  <c r="U5" i="125"/>
  <c r="U12" i="125" s="1"/>
  <c r="J152" i="125"/>
  <c r="I157" i="125"/>
  <c r="I43" i="116"/>
  <c r="I46" i="116" s="1"/>
  <c r="H18" i="120"/>
  <c r="H19" i="120" s="1"/>
  <c r="H21" i="120" s="1"/>
  <c r="H25" i="120" s="1"/>
  <c r="H31" i="120" s="1"/>
  <c r="H36" i="120" s="1"/>
  <c r="M157" i="125"/>
  <c r="N152" i="125"/>
  <c r="G157" i="125"/>
  <c r="H152" i="125"/>
  <c r="E157" i="125"/>
  <c r="F152" i="125"/>
  <c r="E153" i="125"/>
  <c r="E53" i="116"/>
  <c r="E56" i="116" s="1"/>
  <c r="E23" i="73"/>
  <c r="E25" i="73" s="1"/>
  <c r="E29" i="73" s="1"/>
  <c r="D65" i="116"/>
  <c r="D68" i="116" s="1"/>
  <c r="C20" i="121"/>
  <c r="K275" i="125"/>
  <c r="K296" i="125" s="1"/>
  <c r="L152" i="125"/>
  <c r="K157" i="125"/>
  <c r="O157" i="125"/>
  <c r="E59" i="116"/>
  <c r="E62" i="116" s="1"/>
  <c r="E24" i="73"/>
  <c r="G19" i="120"/>
  <c r="G21" i="120" s="1"/>
  <c r="G25" i="120" s="1"/>
  <c r="G31" i="120" s="1"/>
  <c r="G36" i="120" s="1"/>
  <c r="E155" i="125"/>
  <c r="E23" i="118"/>
  <c r="F23" i="118" s="1"/>
  <c r="F19" i="118"/>
  <c r="P17" i="117"/>
  <c r="O19" i="117"/>
  <c r="C23" i="118"/>
  <c r="D23" i="118" s="1"/>
  <c r="D19" i="118"/>
  <c r="K11" i="114"/>
  <c r="L10" i="114" s="1"/>
  <c r="O10" i="114"/>
  <c r="G19" i="114"/>
  <c r="H15" i="114"/>
  <c r="H15" i="118"/>
  <c r="G19" i="118"/>
  <c r="H19" i="117"/>
  <c r="G23" i="117"/>
  <c r="M11" i="114"/>
  <c r="N10" i="114" s="1"/>
  <c r="D21" i="116"/>
  <c r="D24" i="116" s="1"/>
  <c r="C18" i="119"/>
  <c r="E64" i="121" l="1"/>
  <c r="E65" i="121" s="1"/>
  <c r="D64" i="121"/>
  <c r="D65" i="121" s="1"/>
  <c r="F293" i="125"/>
  <c r="E49" i="127"/>
  <c r="E53" i="127" s="1"/>
  <c r="E38" i="73"/>
  <c r="D83" i="127"/>
  <c r="D236" i="125"/>
  <c r="D238" i="125" s="1"/>
  <c r="P27" i="125"/>
  <c r="P30" i="125" s="1"/>
  <c r="U14" i="125" s="1"/>
  <c r="O231" i="125"/>
  <c r="D30" i="125"/>
  <c r="I50" i="121"/>
  <c r="I113" i="121" s="1"/>
  <c r="N184" i="125"/>
  <c r="N277" i="125" s="1"/>
  <c r="M13" i="72" s="1"/>
  <c r="M189" i="125"/>
  <c r="C64" i="121"/>
  <c r="C65" i="121" s="1"/>
  <c r="G50" i="121"/>
  <c r="G113" i="121" s="1"/>
  <c r="J279" i="125"/>
  <c r="J288" i="125" s="1"/>
  <c r="J296" i="125"/>
  <c r="N50" i="121"/>
  <c r="N113" i="121" s="1"/>
  <c r="H236" i="125"/>
  <c r="H30" i="125"/>
  <c r="I173" i="125"/>
  <c r="J168" i="125"/>
  <c r="E50" i="121"/>
  <c r="E113" i="121" s="1"/>
  <c r="J236" i="125"/>
  <c r="J30" i="125"/>
  <c r="C103" i="72"/>
  <c r="O14" i="129"/>
  <c r="C16" i="129"/>
  <c r="M50" i="121"/>
  <c r="M113" i="121" s="1"/>
  <c r="L236" i="125"/>
  <c r="L30" i="125"/>
  <c r="K64" i="121"/>
  <c r="K65" i="121" s="1"/>
  <c r="L296" i="125"/>
  <c r="L279" i="125"/>
  <c r="F50" i="121"/>
  <c r="F113" i="121" s="1"/>
  <c r="N30" i="125"/>
  <c r="K50" i="121"/>
  <c r="K113" i="121" s="1"/>
  <c r="O236" i="125"/>
  <c r="N64" i="121"/>
  <c r="N65" i="121" s="1"/>
  <c r="O30" i="125"/>
  <c r="D279" i="125"/>
  <c r="D296" i="125"/>
  <c r="D288" i="125"/>
  <c r="E173" i="125"/>
  <c r="E174" i="125" s="1"/>
  <c r="F171" i="125" s="1"/>
  <c r="F174" i="125" s="1"/>
  <c r="G171" i="125" s="1"/>
  <c r="F168" i="125"/>
  <c r="F277" i="125" s="1"/>
  <c r="E13" i="72" s="1"/>
  <c r="E169" i="125"/>
  <c r="F166" i="125" s="1"/>
  <c r="F169" i="125" s="1"/>
  <c r="G166" i="125" s="1"/>
  <c r="G169" i="125" s="1"/>
  <c r="H166" i="125" s="1"/>
  <c r="H50" i="121"/>
  <c r="H113" i="121" s="1"/>
  <c r="K236" i="125"/>
  <c r="K30" i="125"/>
  <c r="J64" i="121"/>
  <c r="J65" i="121" s="1"/>
  <c r="F296" i="125"/>
  <c r="F279" i="125"/>
  <c r="F288" i="125" s="1"/>
  <c r="E293" i="125"/>
  <c r="J50" i="121"/>
  <c r="J113" i="121" s="1"/>
  <c r="E60" i="125"/>
  <c r="E63" i="125" s="1"/>
  <c r="F60" i="125" s="1"/>
  <c r="F63" i="125" s="1"/>
  <c r="G60" i="125" s="1"/>
  <c r="G63" i="125" s="1"/>
  <c r="H60" i="125" s="1"/>
  <c r="H63" i="125" s="1"/>
  <c r="I60" i="125" s="1"/>
  <c r="I63" i="125" s="1"/>
  <c r="J60" i="125" s="1"/>
  <c r="J63" i="125" s="1"/>
  <c r="K60" i="125" s="1"/>
  <c r="K63" i="125" s="1"/>
  <c r="L60" i="125" s="1"/>
  <c r="L63" i="125" s="1"/>
  <c r="M60" i="125" s="1"/>
  <c r="M63" i="125" s="1"/>
  <c r="N60" i="125" s="1"/>
  <c r="N63" i="125" s="1"/>
  <c r="O60" i="125" s="1"/>
  <c r="O63" i="125" s="1"/>
  <c r="D281" i="125"/>
  <c r="D50" i="121"/>
  <c r="D113" i="121" s="1"/>
  <c r="N168" i="125"/>
  <c r="M173" i="125"/>
  <c r="H279" i="125"/>
  <c r="H296" i="125"/>
  <c r="H288" i="125"/>
  <c r="M275" i="125"/>
  <c r="M296" i="125" s="1"/>
  <c r="F64" i="121"/>
  <c r="F65" i="121" s="1"/>
  <c r="I64" i="121"/>
  <c r="I65" i="121" s="1"/>
  <c r="L50" i="121"/>
  <c r="L113" i="121" s="1"/>
  <c r="G64" i="121"/>
  <c r="G65" i="121" s="1"/>
  <c r="E189" i="125"/>
  <c r="E185" i="125"/>
  <c r="F182" i="125" s="1"/>
  <c r="F184" i="125"/>
  <c r="M30" i="125"/>
  <c r="G173" i="125"/>
  <c r="H168" i="125"/>
  <c r="N279" i="125"/>
  <c r="N296" i="125"/>
  <c r="N288" i="125"/>
  <c r="K189" i="125"/>
  <c r="L184" i="125"/>
  <c r="I275" i="125"/>
  <c r="I296" i="125" s="1"/>
  <c r="I189" i="125"/>
  <c r="J184" i="125"/>
  <c r="L168" i="125"/>
  <c r="K173" i="125"/>
  <c r="G293" i="125"/>
  <c r="J277" i="125"/>
  <c r="I13" i="72" s="1"/>
  <c r="E190" i="125"/>
  <c r="F187" i="125" s="1"/>
  <c r="F190" i="125" s="1"/>
  <c r="G187" i="125" s="1"/>
  <c r="I236" i="125"/>
  <c r="I30" i="125"/>
  <c r="G189" i="125"/>
  <c r="H184" i="125"/>
  <c r="M64" i="121"/>
  <c r="M65" i="121" s="1"/>
  <c r="D128" i="121"/>
  <c r="D148" i="121" s="1"/>
  <c r="D58" i="127"/>
  <c r="D22" i="72"/>
  <c r="E39" i="73"/>
  <c r="E55" i="127"/>
  <c r="E58" i="127" s="1"/>
  <c r="D84" i="127"/>
  <c r="C46" i="127"/>
  <c r="C47" i="127" s="1"/>
  <c r="C19" i="72"/>
  <c r="C42" i="127"/>
  <c r="G46" i="127"/>
  <c r="G19" i="72"/>
  <c r="G22" i="72" s="1"/>
  <c r="G42" i="127"/>
  <c r="H19" i="72"/>
  <c r="H22" i="72" s="1"/>
  <c r="H46" i="127"/>
  <c r="H42" i="127"/>
  <c r="N19" i="72"/>
  <c r="N22" i="72" s="1"/>
  <c r="N46" i="127"/>
  <c r="N42" i="127"/>
  <c r="O21" i="72"/>
  <c r="F38" i="73"/>
  <c r="E83" i="127"/>
  <c r="F49" i="127"/>
  <c r="F53" i="127" s="1"/>
  <c r="D44" i="121"/>
  <c r="D45" i="121" s="1"/>
  <c r="F77" i="121"/>
  <c r="D115" i="121"/>
  <c r="D116" i="121" s="1"/>
  <c r="D76" i="121"/>
  <c r="D77" i="121" s="1"/>
  <c r="E77" i="121"/>
  <c r="E51" i="121"/>
  <c r="E57" i="121" s="1"/>
  <c r="D51" i="121"/>
  <c r="D57" i="121" s="1"/>
  <c r="F51" i="121"/>
  <c r="F57" i="121" s="1"/>
  <c r="E158" i="125"/>
  <c r="F53" i="116"/>
  <c r="F56" i="116" s="1"/>
  <c r="F23" i="73"/>
  <c r="F150" i="125"/>
  <c r="F153" i="125" s="1"/>
  <c r="K279" i="125"/>
  <c r="J88" i="72" s="1"/>
  <c r="E279" i="125"/>
  <c r="J43" i="116"/>
  <c r="J46" i="116" s="1"/>
  <c r="I18" i="120"/>
  <c r="F59" i="116"/>
  <c r="F62" i="116" s="1"/>
  <c r="F24" i="73"/>
  <c r="C21" i="121"/>
  <c r="C23" i="121" s="1"/>
  <c r="C28" i="121" s="1"/>
  <c r="C33" i="121" s="1"/>
  <c r="C124" i="121" s="1"/>
  <c r="E65" i="116"/>
  <c r="E68" i="116" s="1"/>
  <c r="D20" i="121"/>
  <c r="D21" i="121" s="1"/>
  <c r="D23" i="121" s="1"/>
  <c r="D28" i="121" s="1"/>
  <c r="D33" i="121" s="1"/>
  <c r="D124" i="121" s="1"/>
  <c r="G279" i="125"/>
  <c r="F88" i="72" s="1"/>
  <c r="E21" i="116"/>
  <c r="E24" i="116" s="1"/>
  <c r="D18" i="119"/>
  <c r="D19" i="119" s="1"/>
  <c r="N11" i="114"/>
  <c r="N9" i="114"/>
  <c r="N8" i="114"/>
  <c r="M15" i="114"/>
  <c r="N17" i="114"/>
  <c r="N13" i="114"/>
  <c r="H19" i="114"/>
  <c r="G23" i="114"/>
  <c r="K15" i="114"/>
  <c r="L17" i="114"/>
  <c r="L9" i="114"/>
  <c r="L11" i="114"/>
  <c r="L8" i="114"/>
  <c r="L13" i="114"/>
  <c r="O23" i="117"/>
  <c r="P19" i="117"/>
  <c r="C19" i="119"/>
  <c r="O11" i="114"/>
  <c r="P10" i="114" s="1"/>
  <c r="G28" i="117"/>
  <c r="H23" i="117"/>
  <c r="H19" i="118"/>
  <c r="G23" i="118"/>
  <c r="L277" i="125" l="1"/>
  <c r="K13" i="72" s="1"/>
  <c r="G174" i="125"/>
  <c r="H171" i="125" s="1"/>
  <c r="H174" i="125" s="1"/>
  <c r="I171" i="125" s="1"/>
  <c r="I174" i="125" s="1"/>
  <c r="J171" i="125" s="1"/>
  <c r="J174" i="125" s="1"/>
  <c r="K171" i="125" s="1"/>
  <c r="E281" i="125"/>
  <c r="E297" i="125" s="1"/>
  <c r="E298" i="125" s="1"/>
  <c r="E299" i="125" s="1"/>
  <c r="D53" i="121"/>
  <c r="H277" i="125"/>
  <c r="G13" i="72" s="1"/>
  <c r="C50" i="121"/>
  <c r="C113" i="121" s="1"/>
  <c r="I87" i="72"/>
  <c r="I48" i="121" s="1"/>
  <c r="J293" i="125"/>
  <c r="N87" i="72"/>
  <c r="N48" i="121" s="1"/>
  <c r="O293" i="125"/>
  <c r="J87" i="72"/>
  <c r="J48" i="121" s="1"/>
  <c r="K293" i="125"/>
  <c r="M87" i="72"/>
  <c r="M48" i="121" s="1"/>
  <c r="N293" i="125"/>
  <c r="E88" i="72"/>
  <c r="E10" i="70"/>
  <c r="E11" i="70" s="1"/>
  <c r="G88" i="72"/>
  <c r="G10" i="70"/>
  <c r="G11" i="70" s="1"/>
  <c r="C18" i="129"/>
  <c r="D12" i="129"/>
  <c r="D16" i="129" s="1"/>
  <c r="D6" i="73"/>
  <c r="D7" i="73" s="1"/>
  <c r="C87" i="72"/>
  <c r="D293" i="125"/>
  <c r="O232" i="125"/>
  <c r="O277" i="125" s="1"/>
  <c r="N13" i="72" s="1"/>
  <c r="O13" i="72" s="1"/>
  <c r="Q13" i="72" s="1"/>
  <c r="O237" i="125"/>
  <c r="O233" i="125"/>
  <c r="O275" i="125"/>
  <c r="H169" i="125"/>
  <c r="I166" i="125" s="1"/>
  <c r="I169" i="125" s="1"/>
  <c r="J166" i="125" s="1"/>
  <c r="J169" i="125" s="1"/>
  <c r="K166" i="125" s="1"/>
  <c r="K169" i="125" s="1"/>
  <c r="L166" i="125" s="1"/>
  <c r="L169" i="125" s="1"/>
  <c r="M166" i="125" s="1"/>
  <c r="M169" i="125" s="1"/>
  <c r="N166" i="125" s="1"/>
  <c r="N169" i="125" s="1"/>
  <c r="O166" i="125" s="1"/>
  <c r="O169" i="125" s="1"/>
  <c r="L288" i="125"/>
  <c r="K88" i="72"/>
  <c r="K10" i="70"/>
  <c r="K11" i="70" s="1"/>
  <c r="G87" i="72"/>
  <c r="G48" i="121" s="1"/>
  <c r="H293" i="125"/>
  <c r="E235" i="125"/>
  <c r="E238" i="125" s="1"/>
  <c r="F235" i="125" s="1"/>
  <c r="F238" i="125" s="1"/>
  <c r="G235" i="125" s="1"/>
  <c r="G238" i="125" s="1"/>
  <c r="H235" i="125" s="1"/>
  <c r="H238" i="125" s="1"/>
  <c r="I235" i="125" s="1"/>
  <c r="I238" i="125" s="1"/>
  <c r="J235" i="125" s="1"/>
  <c r="J238" i="125" s="1"/>
  <c r="K235" i="125" s="1"/>
  <c r="K238" i="125" s="1"/>
  <c r="L235" i="125" s="1"/>
  <c r="L238" i="125" s="1"/>
  <c r="M235" i="125" s="1"/>
  <c r="M238" i="125" s="1"/>
  <c r="N235" i="125" s="1"/>
  <c r="N238" i="125" s="1"/>
  <c r="O235" i="125" s="1"/>
  <c r="D283" i="125"/>
  <c r="G190" i="125"/>
  <c r="H187" i="125" s="1"/>
  <c r="H190" i="125" s="1"/>
  <c r="I187" i="125" s="1"/>
  <c r="I190" i="125" s="1"/>
  <c r="J187" i="125" s="1"/>
  <c r="J190" i="125" s="1"/>
  <c r="K187" i="125" s="1"/>
  <c r="K190" i="125" s="1"/>
  <c r="L187" i="125" s="1"/>
  <c r="L190" i="125" s="1"/>
  <c r="M187" i="125" s="1"/>
  <c r="M190" i="125" s="1"/>
  <c r="N187" i="125" s="1"/>
  <c r="N190" i="125" s="1"/>
  <c r="O187" i="125" s="1"/>
  <c r="O190" i="125" s="1"/>
  <c r="I279" i="125"/>
  <c r="H10" i="70" s="1"/>
  <c r="H11" i="70" s="1"/>
  <c r="H15" i="70" s="1"/>
  <c r="H17" i="70" s="1"/>
  <c r="F185" i="125"/>
  <c r="G182" i="125" s="1"/>
  <c r="G185" i="125" s="1"/>
  <c r="H182" i="125" s="1"/>
  <c r="H185" i="125" s="1"/>
  <c r="I182" i="125" s="1"/>
  <c r="I185" i="125" s="1"/>
  <c r="J182" i="125" s="1"/>
  <c r="J185" i="125" s="1"/>
  <c r="K182" i="125" s="1"/>
  <c r="K185" i="125" s="1"/>
  <c r="L182" i="125" s="1"/>
  <c r="L185" i="125" s="1"/>
  <c r="M182" i="125" s="1"/>
  <c r="M185" i="125" s="1"/>
  <c r="N182" i="125" s="1"/>
  <c r="N185" i="125" s="1"/>
  <c r="O182" i="125" s="1"/>
  <c r="O185" i="125" s="1"/>
  <c r="K174" i="125"/>
  <c r="L171" i="125" s="1"/>
  <c r="L174" i="125" s="1"/>
  <c r="M171" i="125" s="1"/>
  <c r="M174" i="125" s="1"/>
  <c r="N171" i="125" s="1"/>
  <c r="N174" i="125" s="1"/>
  <c r="O171" i="125" s="1"/>
  <c r="O174" i="125" s="1"/>
  <c r="D32" i="73"/>
  <c r="D297" i="125"/>
  <c r="D298" i="125" s="1"/>
  <c r="D299" i="125" s="1"/>
  <c r="K87" i="72"/>
  <c r="K48" i="121" s="1"/>
  <c r="L293" i="125"/>
  <c r="E32" i="73"/>
  <c r="D91" i="72" s="1"/>
  <c r="L87" i="72"/>
  <c r="L48" i="121" s="1"/>
  <c r="M293" i="125"/>
  <c r="H87" i="72"/>
  <c r="H48" i="121" s="1"/>
  <c r="I293" i="125"/>
  <c r="C10" i="70"/>
  <c r="C88" i="72"/>
  <c r="C68" i="72" s="1"/>
  <c r="M88" i="72"/>
  <c r="M10" i="70"/>
  <c r="M11" i="70" s="1"/>
  <c r="M279" i="125"/>
  <c r="L88" i="72" s="1"/>
  <c r="I88" i="72"/>
  <c r="I10" i="70"/>
  <c r="I11" i="70" s="1"/>
  <c r="D37" i="73"/>
  <c r="D41" i="73" s="1"/>
  <c r="C98" i="72" s="1"/>
  <c r="C99" i="72" s="1"/>
  <c r="C82" i="127"/>
  <c r="C87" i="127" s="1"/>
  <c r="C89" i="127" s="1"/>
  <c r="D44" i="127"/>
  <c r="D47" i="127" s="1"/>
  <c r="C22" i="72"/>
  <c r="O19" i="72"/>
  <c r="O22" i="72" s="1"/>
  <c r="Q22" i="72" s="1"/>
  <c r="F39" i="73"/>
  <c r="F55" i="127"/>
  <c r="F58" i="127" s="1"/>
  <c r="E84" i="127"/>
  <c r="G38" i="73"/>
  <c r="G49" i="127"/>
  <c r="G53" i="127" s="1"/>
  <c r="F83" i="127"/>
  <c r="E44" i="121"/>
  <c r="E45" i="121" s="1"/>
  <c r="E53" i="121" s="1"/>
  <c r="D54" i="121"/>
  <c r="F155" i="125"/>
  <c r="F158" i="125" s="1"/>
  <c r="G155" i="125" s="1"/>
  <c r="G158" i="125" s="1"/>
  <c r="D126" i="121"/>
  <c r="D149" i="121"/>
  <c r="E288" i="125"/>
  <c r="D88" i="72"/>
  <c r="M288" i="125"/>
  <c r="I288" i="125"/>
  <c r="H88" i="72"/>
  <c r="C126" i="121"/>
  <c r="J10" i="70"/>
  <c r="J11" i="70" s="1"/>
  <c r="J15" i="70" s="1"/>
  <c r="J17" i="70" s="1"/>
  <c r="G150" i="125"/>
  <c r="G153" i="125" s="1"/>
  <c r="I19" i="120"/>
  <c r="I21" i="120" s="1"/>
  <c r="I25" i="120" s="1"/>
  <c r="I31" i="120" s="1"/>
  <c r="I36" i="120" s="1"/>
  <c r="D10" i="70"/>
  <c r="D11" i="70" s="1"/>
  <c r="D15" i="70" s="1"/>
  <c r="D17" i="70" s="1"/>
  <c r="F25" i="73"/>
  <c r="F29" i="73" s="1"/>
  <c r="E128" i="121" s="1"/>
  <c r="E148" i="121" s="1"/>
  <c r="K43" i="116"/>
  <c r="K46" i="116" s="1"/>
  <c r="J18" i="120"/>
  <c r="J19" i="120" s="1"/>
  <c r="J21" i="120" s="1"/>
  <c r="J25" i="120" s="1"/>
  <c r="J31" i="120" s="1"/>
  <c r="J36" i="120" s="1"/>
  <c r="G53" i="116"/>
  <c r="G56" i="116" s="1"/>
  <c r="G23" i="73"/>
  <c r="G59" i="116"/>
  <c r="G62" i="116" s="1"/>
  <c r="G24" i="73"/>
  <c r="F10" i="70"/>
  <c r="F11" i="70" s="1"/>
  <c r="F15" i="70" s="1"/>
  <c r="F17" i="70" s="1"/>
  <c r="G288" i="125"/>
  <c r="L10" i="70"/>
  <c r="L11" i="70" s="1"/>
  <c r="L15" i="70" s="1"/>
  <c r="L17" i="70" s="1"/>
  <c r="F65" i="116"/>
  <c r="F68" i="116" s="1"/>
  <c r="E20" i="121"/>
  <c r="K288" i="125"/>
  <c r="H28" i="117"/>
  <c r="L15" i="114"/>
  <c r="K19" i="114"/>
  <c r="L19" i="114" s="1"/>
  <c r="N15" i="114"/>
  <c r="M19" i="114"/>
  <c r="N19" i="114" s="1"/>
  <c r="P13" i="114"/>
  <c r="P9" i="114"/>
  <c r="P21" i="114"/>
  <c r="P8" i="114"/>
  <c r="P11" i="114"/>
  <c r="P17" i="114"/>
  <c r="O15" i="114"/>
  <c r="P25" i="114"/>
  <c r="P26" i="114"/>
  <c r="H23" i="114"/>
  <c r="G28" i="114"/>
  <c r="H28" i="114" s="1"/>
  <c r="G28" i="118"/>
  <c r="H23" i="118"/>
  <c r="D21" i="119"/>
  <c r="D26" i="119" s="1"/>
  <c r="D31" i="119" s="1"/>
  <c r="D36" i="119" s="1"/>
  <c r="C21" i="119"/>
  <c r="C26" i="119" s="1"/>
  <c r="C31" i="119" s="1"/>
  <c r="C36" i="119" s="1"/>
  <c r="O28" i="117"/>
  <c r="P23" i="117"/>
  <c r="F21" i="116"/>
  <c r="F24" i="116" s="1"/>
  <c r="E18" i="119"/>
  <c r="E33" i="73" l="1"/>
  <c r="C27" i="129"/>
  <c r="O238" i="125"/>
  <c r="G281" i="125"/>
  <c r="F281" i="125"/>
  <c r="F297" i="125" s="1"/>
  <c r="F298" i="125" s="1"/>
  <c r="F299" i="125" s="1"/>
  <c r="H77" i="121"/>
  <c r="H51" i="121"/>
  <c r="H57" i="121" s="1"/>
  <c r="K15" i="70"/>
  <c r="K17" i="70" s="1"/>
  <c r="K22" i="70"/>
  <c r="L19" i="70"/>
  <c r="F32" i="73"/>
  <c r="F33" i="73" s="1"/>
  <c r="G77" i="121"/>
  <c r="G51" i="121"/>
  <c r="G57" i="121" s="1"/>
  <c r="M51" i="121"/>
  <c r="M57" i="121" s="1"/>
  <c r="M77" i="121"/>
  <c r="O296" i="125"/>
  <c r="O279" i="125"/>
  <c r="J77" i="121"/>
  <c r="J51" i="121"/>
  <c r="J57" i="121" s="1"/>
  <c r="I22" i="70"/>
  <c r="J19" i="70"/>
  <c r="I15" i="70"/>
  <c r="I17" i="70" s="1"/>
  <c r="D33" i="73"/>
  <c r="C91" i="72"/>
  <c r="N77" i="121"/>
  <c r="N51" i="121"/>
  <c r="N57" i="121" s="1"/>
  <c r="G22" i="70"/>
  <c r="H19" i="70"/>
  <c r="G15" i="70"/>
  <c r="G17" i="70" s="1"/>
  <c r="E22" i="70"/>
  <c r="E15" i="70"/>
  <c r="E17" i="70" s="1"/>
  <c r="F19" i="70"/>
  <c r="K77" i="121"/>
  <c r="K51" i="121"/>
  <c r="K57" i="121" s="1"/>
  <c r="M15" i="70"/>
  <c r="M17" i="70" s="1"/>
  <c r="N19" i="70"/>
  <c r="M22" i="70"/>
  <c r="C48" i="121"/>
  <c r="C148" i="121"/>
  <c r="C149" i="121" s="1"/>
  <c r="I51" i="121"/>
  <c r="I57" i="121" s="1"/>
  <c r="I77" i="121"/>
  <c r="L51" i="121"/>
  <c r="L57" i="121" s="1"/>
  <c r="L77" i="121"/>
  <c r="E283" i="125"/>
  <c r="C104" i="72"/>
  <c r="C107" i="72" s="1"/>
  <c r="C109" i="72" s="1"/>
  <c r="C134" i="121"/>
  <c r="C137" i="121" s="1"/>
  <c r="C138" i="121" s="1"/>
  <c r="G297" i="125"/>
  <c r="G298" i="125" s="1"/>
  <c r="G299" i="125" s="1"/>
  <c r="C2" i="70"/>
  <c r="C11" i="70"/>
  <c r="D290" i="125"/>
  <c r="D291" i="125" s="1"/>
  <c r="D294" i="125" s="1"/>
  <c r="D35" i="73"/>
  <c r="C90" i="72" s="1"/>
  <c r="E6" i="73"/>
  <c r="E7" i="73" s="1"/>
  <c r="E12" i="129"/>
  <c r="E16" i="129" s="1"/>
  <c r="D18" i="129"/>
  <c r="G39" i="73"/>
  <c r="G55" i="127"/>
  <c r="G58" i="127" s="1"/>
  <c r="F84" i="127"/>
  <c r="E37" i="73"/>
  <c r="E41" i="73" s="1"/>
  <c r="D98" i="72" s="1"/>
  <c r="D99" i="72" s="1"/>
  <c r="D101" i="72" s="1"/>
  <c r="D82" i="127"/>
  <c r="D87" i="127" s="1"/>
  <c r="D89" i="127" s="1"/>
  <c r="E44" i="127"/>
  <c r="E47" i="127" s="1"/>
  <c r="H49" i="127"/>
  <c r="H53" i="127" s="1"/>
  <c r="H38" i="73"/>
  <c r="G83" i="127"/>
  <c r="C101" i="72"/>
  <c r="F44" i="121"/>
  <c r="F45" i="121" s="1"/>
  <c r="F53" i="121" s="1"/>
  <c r="F283" i="125"/>
  <c r="F35" i="73" s="1"/>
  <c r="I19" i="70"/>
  <c r="H22" i="70"/>
  <c r="H150" i="125"/>
  <c r="H153" i="125" s="1"/>
  <c r="H281" i="125" s="1"/>
  <c r="H297" i="125" s="1"/>
  <c r="H298" i="125" s="1"/>
  <c r="H299" i="125" s="1"/>
  <c r="G32" i="73"/>
  <c r="G19" i="70"/>
  <c r="F22" i="70"/>
  <c r="H59" i="116"/>
  <c r="H62" i="116" s="1"/>
  <c r="H24" i="73"/>
  <c r="E19" i="70"/>
  <c r="D22" i="70"/>
  <c r="G25" i="73"/>
  <c r="G29" i="73" s="1"/>
  <c r="F128" i="121" s="1"/>
  <c r="F148" i="121" s="1"/>
  <c r="K19" i="70"/>
  <c r="J22" i="70"/>
  <c r="E21" i="121"/>
  <c r="E23" i="121" s="1"/>
  <c r="E28" i="121" s="1"/>
  <c r="E33" i="121" s="1"/>
  <c r="E124" i="121" s="1"/>
  <c r="G65" i="116"/>
  <c r="G68" i="116" s="1"/>
  <c r="F20" i="121"/>
  <c r="F21" i="121" s="1"/>
  <c r="F23" i="121" s="1"/>
  <c r="F28" i="121" s="1"/>
  <c r="F33" i="121" s="1"/>
  <c r="F124" i="121" s="1"/>
  <c r="H53" i="116"/>
  <c r="H56" i="116" s="1"/>
  <c r="H23" i="73"/>
  <c r="H155" i="125"/>
  <c r="H158" i="125" s="1"/>
  <c r="G283" i="125"/>
  <c r="L22" i="70"/>
  <c r="M19" i="70"/>
  <c r="L43" i="116"/>
  <c r="L46" i="116" s="1"/>
  <c r="K18" i="120"/>
  <c r="H28" i="118"/>
  <c r="E19" i="119"/>
  <c r="E21" i="119" s="1"/>
  <c r="P15" i="114"/>
  <c r="O19" i="114"/>
  <c r="G21" i="116"/>
  <c r="G24" i="116" s="1"/>
  <c r="F18" i="119"/>
  <c r="F19" i="119" s="1"/>
  <c r="F21" i="119" s="1"/>
  <c r="F26" i="119" s="1"/>
  <c r="F31" i="119" s="1"/>
  <c r="F36" i="119" s="1"/>
  <c r="P28" i="117"/>
  <c r="O31" i="117"/>
  <c r="E91" i="72" l="1"/>
  <c r="C92" i="72"/>
  <c r="C94" i="72" s="1"/>
  <c r="D19" i="70"/>
  <c r="C15" i="70"/>
  <c r="C17" i="70" s="1"/>
  <c r="E290" i="125"/>
  <c r="E291" i="125" s="1"/>
  <c r="E294" i="125" s="1"/>
  <c r="E35" i="73"/>
  <c r="D90" i="72" s="1"/>
  <c r="D92" i="72" s="1"/>
  <c r="O288" i="125"/>
  <c r="N10" i="70"/>
  <c r="N11" i="70" s="1"/>
  <c r="O11" i="70" s="1"/>
  <c r="N88" i="72"/>
  <c r="F12" i="129"/>
  <c r="F16" i="129" s="1"/>
  <c r="F6" i="73"/>
  <c r="F7" i="73" s="1"/>
  <c r="E18" i="129"/>
  <c r="C77" i="121"/>
  <c r="C53" i="121"/>
  <c r="C54" i="121" s="1"/>
  <c r="C51" i="121"/>
  <c r="C57" i="121" s="1"/>
  <c r="E90" i="72"/>
  <c r="E92" i="72" s="1"/>
  <c r="E94" i="72" s="1"/>
  <c r="D134" i="121"/>
  <c r="D137" i="121" s="1"/>
  <c r="D138" i="121" s="1"/>
  <c r="D104" i="72"/>
  <c r="D107" i="72" s="1"/>
  <c r="D109" i="72" s="1"/>
  <c r="F290" i="125"/>
  <c r="F291" i="125" s="1"/>
  <c r="F294" i="125" s="1"/>
  <c r="F37" i="73"/>
  <c r="F41" i="73" s="1"/>
  <c r="E98" i="72" s="1"/>
  <c r="E99" i="72" s="1"/>
  <c r="E101" i="72" s="1"/>
  <c r="E82" i="127"/>
  <c r="E87" i="127" s="1"/>
  <c r="E89" i="127" s="1"/>
  <c r="F44" i="127"/>
  <c r="F47" i="127" s="1"/>
  <c r="I49" i="127"/>
  <c r="I53" i="127" s="1"/>
  <c r="H83" i="127"/>
  <c r="I38" i="73"/>
  <c r="H39" i="73"/>
  <c r="H55" i="127"/>
  <c r="H58" i="127" s="1"/>
  <c r="G84" i="127"/>
  <c r="F54" i="121"/>
  <c r="G44" i="121"/>
  <c r="G45" i="121" s="1"/>
  <c r="G53" i="121" s="1"/>
  <c r="D94" i="72"/>
  <c r="E54" i="121"/>
  <c r="F126" i="121"/>
  <c r="F149" i="121"/>
  <c r="E126" i="121"/>
  <c r="E149" i="121"/>
  <c r="H25" i="73"/>
  <c r="H29" i="73" s="1"/>
  <c r="G128" i="121" s="1"/>
  <c r="G148" i="121" s="1"/>
  <c r="I53" i="116"/>
  <c r="I56" i="116" s="1"/>
  <c r="I23" i="73"/>
  <c r="I59" i="116"/>
  <c r="I62" i="116" s="1"/>
  <c r="I24" i="73"/>
  <c r="K19" i="120"/>
  <c r="K21" i="120" s="1"/>
  <c r="K25" i="120" s="1"/>
  <c r="K31" i="120" s="1"/>
  <c r="K36" i="120" s="1"/>
  <c r="G33" i="73"/>
  <c r="F91" i="72"/>
  <c r="I150" i="125"/>
  <c r="I153" i="125" s="1"/>
  <c r="I281" i="125" s="1"/>
  <c r="I297" i="125" s="1"/>
  <c r="I298" i="125" s="1"/>
  <c r="I299" i="125" s="1"/>
  <c r="H32" i="73"/>
  <c r="G290" i="125"/>
  <c r="G291" i="125" s="1"/>
  <c r="G294" i="125" s="1"/>
  <c r="G35" i="73"/>
  <c r="F90" i="72" s="1"/>
  <c r="H65" i="116"/>
  <c r="H68" i="116" s="1"/>
  <c r="G20" i="121"/>
  <c r="G21" i="121" s="1"/>
  <c r="G23" i="121" s="1"/>
  <c r="G28" i="121" s="1"/>
  <c r="G33" i="121" s="1"/>
  <c r="G124" i="121" s="1"/>
  <c r="I155" i="125"/>
  <c r="I158" i="125" s="1"/>
  <c r="H283" i="125"/>
  <c r="M43" i="116"/>
  <c r="M46" i="116" s="1"/>
  <c r="L18" i="120"/>
  <c r="L19" i="120" s="1"/>
  <c r="L21" i="120" s="1"/>
  <c r="L25" i="120" s="1"/>
  <c r="L31" i="120" s="1"/>
  <c r="L36" i="120" s="1"/>
  <c r="E26" i="119"/>
  <c r="E31" i="119" s="1"/>
  <c r="E36" i="119" s="1"/>
  <c r="H21" i="116"/>
  <c r="H24" i="116" s="1"/>
  <c r="G18" i="119"/>
  <c r="G19" i="119" s="1"/>
  <c r="G21" i="119" s="1"/>
  <c r="G26" i="119" s="1"/>
  <c r="G31" i="119" s="1"/>
  <c r="G36" i="119" s="1"/>
  <c r="O23" i="114"/>
  <c r="P19" i="114"/>
  <c r="G12" i="129" l="1"/>
  <c r="G16" i="129" s="1"/>
  <c r="G6" i="73"/>
  <c r="G7" i="73" s="1"/>
  <c r="F18" i="129"/>
  <c r="C22" i="70"/>
  <c r="C67" i="72"/>
  <c r="E104" i="72"/>
  <c r="E107" i="72" s="1"/>
  <c r="E109" i="72" s="1"/>
  <c r="E134" i="121"/>
  <c r="E137" i="121" s="1"/>
  <c r="E138" i="121" s="1"/>
  <c r="N15" i="70"/>
  <c r="N17" i="70" s="1"/>
  <c r="N22" i="70"/>
  <c r="J38" i="73"/>
  <c r="J49" i="127"/>
  <c r="J53" i="127" s="1"/>
  <c r="I83" i="127"/>
  <c r="I39" i="73"/>
  <c r="H84" i="127"/>
  <c r="I55" i="127"/>
  <c r="I58" i="127" s="1"/>
  <c r="G37" i="73"/>
  <c r="G41" i="73" s="1"/>
  <c r="F98" i="72" s="1"/>
  <c r="F99" i="72" s="1"/>
  <c r="F101" i="72" s="1"/>
  <c r="F82" i="127"/>
  <c r="F87" i="127" s="1"/>
  <c r="F89" i="127" s="1"/>
  <c r="G44" i="127"/>
  <c r="G47" i="127" s="1"/>
  <c r="G54" i="121"/>
  <c r="H44" i="121"/>
  <c r="H45" i="121" s="1"/>
  <c r="H53" i="121" s="1"/>
  <c r="G126" i="121"/>
  <c r="G149" i="121"/>
  <c r="G91" i="72"/>
  <c r="H33" i="73"/>
  <c r="N43" i="116"/>
  <c r="N46" i="116" s="1"/>
  <c r="N18" i="120" s="1"/>
  <c r="M18" i="120"/>
  <c r="M19" i="120" s="1"/>
  <c r="M21" i="120" s="1"/>
  <c r="M25" i="120" s="1"/>
  <c r="M31" i="120" s="1"/>
  <c r="M36" i="120" s="1"/>
  <c r="H290" i="125"/>
  <c r="H291" i="125" s="1"/>
  <c r="H294" i="125" s="1"/>
  <c r="H35" i="73"/>
  <c r="G90" i="72" s="1"/>
  <c r="J155" i="125"/>
  <c r="J158" i="125" s="1"/>
  <c r="I283" i="125"/>
  <c r="J59" i="116"/>
  <c r="J62" i="116" s="1"/>
  <c r="J24" i="73"/>
  <c r="J150" i="125"/>
  <c r="J153" i="125" s="1"/>
  <c r="J281" i="125" s="1"/>
  <c r="J297" i="125" s="1"/>
  <c r="J298" i="125" s="1"/>
  <c r="J299" i="125" s="1"/>
  <c r="I32" i="73"/>
  <c r="I65" i="116"/>
  <c r="I68" i="116" s="1"/>
  <c r="H20" i="121"/>
  <c r="F92" i="72"/>
  <c r="F94" i="72" s="1"/>
  <c r="I25" i="73"/>
  <c r="I29" i="73" s="1"/>
  <c r="H128" i="121" s="1"/>
  <c r="H148" i="121" s="1"/>
  <c r="J53" i="116"/>
  <c r="J56" i="116" s="1"/>
  <c r="J23" i="73"/>
  <c r="O28" i="114"/>
  <c r="O31" i="114" s="1"/>
  <c r="P23" i="114"/>
  <c r="I21" i="116"/>
  <c r="I24" i="116" s="1"/>
  <c r="H18" i="119"/>
  <c r="H19" i="119" s="1"/>
  <c r="H21" i="119" s="1"/>
  <c r="H26" i="119" s="1"/>
  <c r="H31" i="119" s="1"/>
  <c r="H36" i="119" s="1"/>
  <c r="C23" i="70" l="1"/>
  <c r="C17" i="72" s="1"/>
  <c r="C24" i="72" s="1"/>
  <c r="C30" i="75" s="1"/>
  <c r="C24" i="70"/>
  <c r="F134" i="121"/>
  <c r="F137" i="121" s="1"/>
  <c r="F138" i="121" s="1"/>
  <c r="F104" i="72"/>
  <c r="F107" i="72" s="1"/>
  <c r="F109" i="72" s="1"/>
  <c r="H12" i="129"/>
  <c r="H16" i="129" s="1"/>
  <c r="H6" i="73"/>
  <c r="H7" i="73" s="1"/>
  <c r="G18" i="129"/>
  <c r="G92" i="72"/>
  <c r="G94" i="72" s="1"/>
  <c r="H37" i="73"/>
  <c r="H41" i="73" s="1"/>
  <c r="G98" i="72" s="1"/>
  <c r="G99" i="72" s="1"/>
  <c r="G101" i="72" s="1"/>
  <c r="G82" i="127"/>
  <c r="G87" i="127" s="1"/>
  <c r="G89" i="127" s="1"/>
  <c r="H44" i="127"/>
  <c r="H47" i="127" s="1"/>
  <c r="I84" i="127"/>
  <c r="J55" i="127"/>
  <c r="J58" i="127" s="1"/>
  <c r="J39" i="73"/>
  <c r="K38" i="73"/>
  <c r="J83" i="127"/>
  <c r="K49" i="127"/>
  <c r="K53" i="127" s="1"/>
  <c r="I44" i="121"/>
  <c r="I45" i="121" s="1"/>
  <c r="I53" i="121" s="1"/>
  <c r="J25" i="73"/>
  <c r="J29" i="73" s="1"/>
  <c r="I128" i="121" s="1"/>
  <c r="I148" i="121" s="1"/>
  <c r="K155" i="125"/>
  <c r="K158" i="125" s="1"/>
  <c r="J283" i="125"/>
  <c r="K59" i="116"/>
  <c r="K62" i="116" s="1"/>
  <c r="K24" i="73"/>
  <c r="N19" i="120"/>
  <c r="N21" i="120" s="1"/>
  <c r="N25" i="120" s="1"/>
  <c r="N31" i="120" s="1"/>
  <c r="N36" i="120" s="1"/>
  <c r="O18" i="120"/>
  <c r="O19" i="120" s="1"/>
  <c r="K53" i="116"/>
  <c r="K56" i="116" s="1"/>
  <c r="K23" i="73"/>
  <c r="K150" i="125"/>
  <c r="K153" i="125" s="1"/>
  <c r="K281" i="125" s="1"/>
  <c r="K297" i="125" s="1"/>
  <c r="K298" i="125" s="1"/>
  <c r="K299" i="125" s="1"/>
  <c r="J32" i="73"/>
  <c r="I35" i="73"/>
  <c r="H90" i="72" s="1"/>
  <c r="I290" i="125"/>
  <c r="I291" i="125" s="1"/>
  <c r="I294" i="125" s="1"/>
  <c r="H21" i="121"/>
  <c r="H23" i="121" s="1"/>
  <c r="H28" i="121" s="1"/>
  <c r="H33" i="121" s="1"/>
  <c r="H124" i="121" s="1"/>
  <c r="J65" i="116"/>
  <c r="J68" i="116" s="1"/>
  <c r="I20" i="121"/>
  <c r="I21" i="121" s="1"/>
  <c r="I23" i="121" s="1"/>
  <c r="I28" i="121" s="1"/>
  <c r="I33" i="121" s="1"/>
  <c r="I124" i="121" s="1"/>
  <c r="H91" i="72"/>
  <c r="I33" i="73"/>
  <c r="J21" i="116"/>
  <c r="J24" i="116" s="1"/>
  <c r="I18" i="119"/>
  <c r="I19" i="119" s="1"/>
  <c r="I21" i="119" s="1"/>
  <c r="I26" i="119" s="1"/>
  <c r="I31" i="119" s="1"/>
  <c r="I36" i="119" s="1"/>
  <c r="P28" i="114"/>
  <c r="I12" i="129" l="1"/>
  <c r="I16" i="129" s="1"/>
  <c r="I6" i="73"/>
  <c r="I7" i="73" s="1"/>
  <c r="H18" i="129"/>
  <c r="G104" i="72"/>
  <c r="G107" i="72" s="1"/>
  <c r="G109" i="72" s="1"/>
  <c r="G134" i="121"/>
  <c r="G137" i="121" s="1"/>
  <c r="G138" i="121" s="1"/>
  <c r="C26" i="70"/>
  <c r="D45" i="73" s="1"/>
  <c r="D47" i="73" s="1"/>
  <c r="C129" i="121" s="1"/>
  <c r="D21" i="70"/>
  <c r="C27" i="70"/>
  <c r="D19" i="73" s="1"/>
  <c r="D21" i="73" s="1"/>
  <c r="I54" i="121"/>
  <c r="I37" i="73"/>
  <c r="I41" i="73" s="1"/>
  <c r="H98" i="72" s="1"/>
  <c r="H99" i="72" s="1"/>
  <c r="H101" i="72" s="1"/>
  <c r="H82" i="127"/>
  <c r="H87" i="127" s="1"/>
  <c r="H89" i="127" s="1"/>
  <c r="I44" i="127"/>
  <c r="I47" i="127" s="1"/>
  <c r="L38" i="73"/>
  <c r="K83" i="127"/>
  <c r="L49" i="127"/>
  <c r="L53" i="127" s="1"/>
  <c r="K39" i="73"/>
  <c r="K55" i="127"/>
  <c r="K58" i="127" s="1"/>
  <c r="J84" i="127"/>
  <c r="J44" i="121"/>
  <c r="J45" i="121" s="1"/>
  <c r="J53" i="121" s="1"/>
  <c r="H54" i="121"/>
  <c r="I126" i="121"/>
  <c r="I149" i="121"/>
  <c r="H126" i="121"/>
  <c r="H149" i="121"/>
  <c r="K65" i="116"/>
  <c r="K68" i="116" s="1"/>
  <c r="J20" i="121"/>
  <c r="J21" i="121" s="1"/>
  <c r="J23" i="121" s="1"/>
  <c r="J28" i="121" s="1"/>
  <c r="J33" i="121" s="1"/>
  <c r="J124" i="121" s="1"/>
  <c r="I91" i="72"/>
  <c r="J33" i="73"/>
  <c r="L150" i="125"/>
  <c r="L153" i="125" s="1"/>
  <c r="L281" i="125" s="1"/>
  <c r="L297" i="125" s="1"/>
  <c r="L298" i="125" s="1"/>
  <c r="L299" i="125" s="1"/>
  <c r="K32" i="73"/>
  <c r="K25" i="73"/>
  <c r="K29" i="73" s="1"/>
  <c r="J128" i="121" s="1"/>
  <c r="J148" i="121" s="1"/>
  <c r="L53" i="116"/>
  <c r="L56" i="116" s="1"/>
  <c r="L23" i="73"/>
  <c r="Q19" i="120"/>
  <c r="O21" i="120"/>
  <c r="O25" i="120" s="1"/>
  <c r="J35" i="73"/>
  <c r="I90" i="72" s="1"/>
  <c r="J290" i="125"/>
  <c r="J291" i="125" s="1"/>
  <c r="J294" i="125" s="1"/>
  <c r="H92" i="72"/>
  <c r="H94" i="72" s="1"/>
  <c r="L59" i="116"/>
  <c r="L62" i="116" s="1"/>
  <c r="L24" i="73"/>
  <c r="L155" i="125"/>
  <c r="L158" i="125" s="1"/>
  <c r="K283" i="125"/>
  <c r="K21" i="116"/>
  <c r="K24" i="116" s="1"/>
  <c r="J18" i="119"/>
  <c r="J19" i="119" s="1"/>
  <c r="J21" i="119" s="1"/>
  <c r="J26" i="119" s="1"/>
  <c r="J31" i="119" s="1"/>
  <c r="J36" i="119" s="1"/>
  <c r="C127" i="121" l="1"/>
  <c r="C131" i="121" s="1"/>
  <c r="D49" i="73"/>
  <c r="D51" i="73" s="1"/>
  <c r="D23" i="70"/>
  <c r="D17" i="72" s="1"/>
  <c r="D24" i="72" s="1"/>
  <c r="D35" i="72" s="1"/>
  <c r="D30" i="75" s="1"/>
  <c r="H104" i="72"/>
  <c r="H107" i="72" s="1"/>
  <c r="H109" i="72" s="1"/>
  <c r="H134" i="121"/>
  <c r="H137" i="121" s="1"/>
  <c r="H138" i="121" s="1"/>
  <c r="J12" i="129"/>
  <c r="J16" i="129" s="1"/>
  <c r="J6" i="73"/>
  <c r="J7" i="73" s="1"/>
  <c r="I18" i="129"/>
  <c r="J37" i="73"/>
  <c r="J41" i="73" s="1"/>
  <c r="I98" i="72" s="1"/>
  <c r="I99" i="72" s="1"/>
  <c r="I101" i="72" s="1"/>
  <c r="I82" i="127"/>
  <c r="I87" i="127" s="1"/>
  <c r="I89" i="127" s="1"/>
  <c r="J44" i="127"/>
  <c r="J47" i="127" s="1"/>
  <c r="M38" i="73"/>
  <c r="L83" i="127"/>
  <c r="M49" i="127"/>
  <c r="M53" i="127" s="1"/>
  <c r="L39" i="73"/>
  <c r="K84" i="127"/>
  <c r="L55" i="127"/>
  <c r="L58" i="127" s="1"/>
  <c r="J54" i="121"/>
  <c r="K44" i="121"/>
  <c r="K45" i="121" s="1"/>
  <c r="K53" i="121" s="1"/>
  <c r="J126" i="121"/>
  <c r="J149" i="121"/>
  <c r="M59" i="116"/>
  <c r="M62" i="116" s="1"/>
  <c r="M24" i="73"/>
  <c r="M150" i="125"/>
  <c r="M153" i="125" s="1"/>
  <c r="M281" i="125" s="1"/>
  <c r="M297" i="125" s="1"/>
  <c r="M298" i="125" s="1"/>
  <c r="M299" i="125" s="1"/>
  <c r="L32" i="73"/>
  <c r="K35" i="73"/>
  <c r="J90" i="72" s="1"/>
  <c r="K290" i="125"/>
  <c r="K291" i="125" s="1"/>
  <c r="K294" i="125" s="1"/>
  <c r="I92" i="72"/>
  <c r="I94" i="72" s="1"/>
  <c r="K33" i="73"/>
  <c r="J91" i="72"/>
  <c r="Q25" i="120"/>
  <c r="O31" i="120"/>
  <c r="M155" i="125"/>
  <c r="M158" i="125" s="1"/>
  <c r="L283" i="125"/>
  <c r="M53" i="116"/>
  <c r="M56" i="116" s="1"/>
  <c r="M23" i="73"/>
  <c r="L25" i="73"/>
  <c r="L29" i="73" s="1"/>
  <c r="K128" i="121" s="1"/>
  <c r="K148" i="121" s="1"/>
  <c r="L65" i="116"/>
  <c r="L68" i="116" s="1"/>
  <c r="K20" i="121"/>
  <c r="K21" i="121" s="1"/>
  <c r="K23" i="121" s="1"/>
  <c r="K28" i="121" s="1"/>
  <c r="K33" i="121" s="1"/>
  <c r="K124" i="121" s="1"/>
  <c r="L21" i="116"/>
  <c r="L24" i="116" s="1"/>
  <c r="K18" i="119"/>
  <c r="K19" i="119" s="1"/>
  <c r="K21" i="119" s="1"/>
  <c r="K26" i="119" s="1"/>
  <c r="K31" i="119" s="1"/>
  <c r="K36" i="119" s="1"/>
  <c r="D24" i="70" l="1"/>
  <c r="D27" i="70"/>
  <c r="E19" i="73" s="1"/>
  <c r="E21" i="73" s="1"/>
  <c r="D26" i="70"/>
  <c r="E45" i="73" s="1"/>
  <c r="E47" i="73" s="1"/>
  <c r="D129" i="121" s="1"/>
  <c r="E21" i="70"/>
  <c r="I104" i="72"/>
  <c r="I107" i="72" s="1"/>
  <c r="I109" i="72" s="1"/>
  <c r="I134" i="121"/>
  <c r="I137" i="121" s="1"/>
  <c r="I138" i="121" s="1"/>
  <c r="K12" i="129"/>
  <c r="K16" i="129" s="1"/>
  <c r="K6" i="73"/>
  <c r="K7" i="73" s="1"/>
  <c r="J18" i="129"/>
  <c r="K37" i="73"/>
  <c r="K41" i="73" s="1"/>
  <c r="J98" i="72" s="1"/>
  <c r="J99" i="72" s="1"/>
  <c r="J101" i="72" s="1"/>
  <c r="K44" i="127"/>
  <c r="K47" i="127" s="1"/>
  <c r="J82" i="127"/>
  <c r="J87" i="127" s="1"/>
  <c r="J89" i="127" s="1"/>
  <c r="K54" i="121"/>
  <c r="M39" i="73"/>
  <c r="L84" i="127"/>
  <c r="M55" i="127"/>
  <c r="M58" i="127" s="1"/>
  <c r="N38" i="73"/>
  <c r="M83" i="127"/>
  <c r="N49" i="127"/>
  <c r="N53" i="127" s="1"/>
  <c r="L44" i="121"/>
  <c r="L45" i="121" s="1"/>
  <c r="L53" i="121" s="1"/>
  <c r="K126" i="121"/>
  <c r="K149" i="121"/>
  <c r="M25" i="73"/>
  <c r="M29" i="73" s="1"/>
  <c r="L128" i="121" s="1"/>
  <c r="L148" i="121" s="1"/>
  <c r="N53" i="116"/>
  <c r="N56" i="116" s="1"/>
  <c r="N23" i="73"/>
  <c r="N155" i="125"/>
  <c r="N158" i="125" s="1"/>
  <c r="M283" i="125"/>
  <c r="L33" i="73"/>
  <c r="K91" i="72"/>
  <c r="L35" i="73"/>
  <c r="K90" i="72" s="1"/>
  <c r="L290" i="125"/>
  <c r="L291" i="125" s="1"/>
  <c r="L294" i="125" s="1"/>
  <c r="N150" i="125"/>
  <c r="N153" i="125" s="1"/>
  <c r="N281" i="125" s="1"/>
  <c r="M32" i="73"/>
  <c r="J92" i="72"/>
  <c r="J94" i="72" s="1"/>
  <c r="Q31" i="120"/>
  <c r="O36" i="120"/>
  <c r="Q36" i="120" s="1"/>
  <c r="M65" i="116"/>
  <c r="M68" i="116" s="1"/>
  <c r="L20" i="121"/>
  <c r="L21" i="121" s="1"/>
  <c r="L23" i="121" s="1"/>
  <c r="L28" i="121" s="1"/>
  <c r="L33" i="121" s="1"/>
  <c r="L124" i="121" s="1"/>
  <c r="N59" i="116"/>
  <c r="N62" i="116" s="1"/>
  <c r="N24" i="73"/>
  <c r="M21" i="116"/>
  <c r="M24" i="116" s="1"/>
  <c r="L18" i="119"/>
  <c r="L19" i="119" s="1"/>
  <c r="L21" i="119" s="1"/>
  <c r="L26" i="119" s="1"/>
  <c r="L31" i="119" s="1"/>
  <c r="L36" i="119" s="1"/>
  <c r="L6" i="73" l="1"/>
  <c r="L7" i="73" s="1"/>
  <c r="K18" i="129"/>
  <c r="L12" i="129"/>
  <c r="L16" i="129" s="1"/>
  <c r="E23" i="70"/>
  <c r="E17" i="72" s="1"/>
  <c r="E24" i="72" s="1"/>
  <c r="E35" i="72" s="1"/>
  <c r="E30" i="75" s="1"/>
  <c r="J104" i="72"/>
  <c r="J107" i="72" s="1"/>
  <c r="J109" i="72" s="1"/>
  <c r="J134" i="121"/>
  <c r="J137" i="121" s="1"/>
  <c r="J138" i="121" s="1"/>
  <c r="D127" i="121"/>
  <c r="D131" i="121" s="1"/>
  <c r="E49" i="73"/>
  <c r="E51" i="73" s="1"/>
  <c r="O38" i="73"/>
  <c r="N83" i="127"/>
  <c r="L37" i="73"/>
  <c r="L41" i="73" s="1"/>
  <c r="K98" i="72" s="1"/>
  <c r="K99" i="72" s="1"/>
  <c r="K101" i="72" s="1"/>
  <c r="K82" i="127"/>
  <c r="K87" i="127" s="1"/>
  <c r="K89" i="127" s="1"/>
  <c r="L44" i="127"/>
  <c r="L47" i="127" s="1"/>
  <c r="N55" i="127"/>
  <c r="N58" i="127" s="1"/>
  <c r="N39" i="73"/>
  <c r="M84" i="127"/>
  <c r="L54" i="121"/>
  <c r="M44" i="121"/>
  <c r="M45" i="121" s="1"/>
  <c r="M53" i="121" s="1"/>
  <c r="N297" i="125"/>
  <c r="N298" i="125" s="1"/>
  <c r="N299" i="125" s="1"/>
  <c r="L126" i="121"/>
  <c r="L149" i="121"/>
  <c r="K92" i="72"/>
  <c r="K94" i="72" s="1"/>
  <c r="O24" i="73"/>
  <c r="M10" i="118"/>
  <c r="E39" i="118"/>
  <c r="E40" i="118" s="1"/>
  <c r="E42" i="118" s="1"/>
  <c r="M35" i="73"/>
  <c r="L90" i="72" s="1"/>
  <c r="M290" i="125"/>
  <c r="M291" i="125" s="1"/>
  <c r="M294" i="125" s="1"/>
  <c r="O23" i="73"/>
  <c r="C39" i="118"/>
  <c r="K10" i="118"/>
  <c r="N65" i="116"/>
  <c r="N68" i="116" s="1"/>
  <c r="M20" i="121"/>
  <c r="M21" i="121" s="1"/>
  <c r="M23" i="121" s="1"/>
  <c r="M28" i="121" s="1"/>
  <c r="M33" i="121" s="1"/>
  <c r="M124" i="121" s="1"/>
  <c r="O155" i="125"/>
  <c r="O158" i="125" s="1"/>
  <c r="O283" i="125" s="1"/>
  <c r="N283" i="125"/>
  <c r="N25" i="73"/>
  <c r="N29" i="73" s="1"/>
  <c r="M128" i="121" s="1"/>
  <c r="M148" i="121" s="1"/>
  <c r="M33" i="73"/>
  <c r="L91" i="72"/>
  <c r="O150" i="125"/>
  <c r="O153" i="125" s="1"/>
  <c r="N32" i="73"/>
  <c r="N21" i="116"/>
  <c r="N24" i="116" s="1"/>
  <c r="N18" i="119" s="1"/>
  <c r="M18" i="119"/>
  <c r="M19" i="119" s="1"/>
  <c r="M21" i="119" s="1"/>
  <c r="M26" i="119" s="1"/>
  <c r="M31" i="119" s="1"/>
  <c r="M36" i="119" s="1"/>
  <c r="E24" i="70" l="1"/>
  <c r="E27" i="70" s="1"/>
  <c r="F19" i="73" s="1"/>
  <c r="F21" i="73" s="1"/>
  <c r="E26" i="70"/>
  <c r="F45" i="73" s="1"/>
  <c r="F47" i="73" s="1"/>
  <c r="E129" i="121" s="1"/>
  <c r="F21" i="70"/>
  <c r="F23" i="70" s="1"/>
  <c r="M12" i="129"/>
  <c r="M16" i="129" s="1"/>
  <c r="M6" i="73"/>
  <c r="M7" i="73" s="1"/>
  <c r="L18" i="129"/>
  <c r="O25" i="73"/>
  <c r="O29" i="73" s="1"/>
  <c r="C40" i="118"/>
  <c r="G39" i="118"/>
  <c r="K104" i="72"/>
  <c r="K107" i="72" s="1"/>
  <c r="K109" i="72" s="1"/>
  <c r="K134" i="121"/>
  <c r="K137" i="121" s="1"/>
  <c r="K138" i="121" s="1"/>
  <c r="M54" i="121"/>
  <c r="N128" i="121"/>
  <c r="N148" i="121" s="1"/>
  <c r="N84" i="127"/>
  <c r="O39" i="73"/>
  <c r="M37" i="73"/>
  <c r="M41" i="73" s="1"/>
  <c r="L98" i="72" s="1"/>
  <c r="L99" i="72" s="1"/>
  <c r="L101" i="72" s="1"/>
  <c r="M44" i="127"/>
  <c r="M47" i="127" s="1"/>
  <c r="L82" i="127"/>
  <c r="L87" i="127" s="1"/>
  <c r="L89" i="127" s="1"/>
  <c r="N20" i="121"/>
  <c r="N21" i="121" s="1"/>
  <c r="N23" i="121" s="1"/>
  <c r="N28" i="121" s="1"/>
  <c r="N33" i="121" s="1"/>
  <c r="N124" i="121" s="1"/>
  <c r="N44" i="121"/>
  <c r="N45" i="121" s="1"/>
  <c r="N53" i="121" s="1"/>
  <c r="O53" i="121" s="1"/>
  <c r="O281" i="125"/>
  <c r="O297" i="125" s="1"/>
  <c r="O298" i="125" s="1"/>
  <c r="O299" i="125" s="1"/>
  <c r="M126" i="121"/>
  <c r="M149" i="121"/>
  <c r="N290" i="125"/>
  <c r="N291" i="125" s="1"/>
  <c r="N294" i="125" s="1"/>
  <c r="N35" i="73"/>
  <c r="M90" i="72" s="1"/>
  <c r="N33" i="73"/>
  <c r="M91" i="72"/>
  <c r="L92" i="72"/>
  <c r="L94" i="72" s="1"/>
  <c r="M11" i="118"/>
  <c r="N10" i="118" s="1"/>
  <c r="O35" i="73"/>
  <c r="O290" i="125"/>
  <c r="O291" i="125" s="1"/>
  <c r="O294" i="125" s="1"/>
  <c r="O10" i="118"/>
  <c r="K11" i="118"/>
  <c r="N19" i="119"/>
  <c r="N21" i="119" s="1"/>
  <c r="N26" i="119" s="1"/>
  <c r="N31" i="119" s="1"/>
  <c r="N36" i="119" s="1"/>
  <c r="O18" i="119"/>
  <c r="O19" i="119" s="1"/>
  <c r="C42" i="118" l="1"/>
  <c r="G40" i="118"/>
  <c r="L134" i="121"/>
  <c r="L137" i="121" s="1"/>
  <c r="L138" i="121" s="1"/>
  <c r="L104" i="72"/>
  <c r="L107" i="72" s="1"/>
  <c r="L109" i="72" s="1"/>
  <c r="M18" i="129"/>
  <c r="N12" i="129"/>
  <c r="N16" i="129" s="1"/>
  <c r="N6" i="73"/>
  <c r="N7" i="73" s="1"/>
  <c r="F24" i="70"/>
  <c r="F17" i="72"/>
  <c r="F24" i="72" s="1"/>
  <c r="F35" i="72" s="1"/>
  <c r="F30" i="75" s="1"/>
  <c r="E127" i="121"/>
  <c r="E131" i="121" s="1"/>
  <c r="F49" i="73"/>
  <c r="F51" i="73" s="1"/>
  <c r="N44" i="127"/>
  <c r="N47" i="127" s="1"/>
  <c r="N37" i="73"/>
  <c r="N41" i="73" s="1"/>
  <c r="M98" i="72" s="1"/>
  <c r="M99" i="72" s="1"/>
  <c r="M101" i="72" s="1"/>
  <c r="M82" i="127"/>
  <c r="M87" i="127" s="1"/>
  <c r="M89" i="127" s="1"/>
  <c r="O20" i="121"/>
  <c r="O21" i="121" s="1"/>
  <c r="Q21" i="121" s="1"/>
  <c r="O32" i="73"/>
  <c r="N54" i="121"/>
  <c r="O124" i="121"/>
  <c r="N126" i="121"/>
  <c r="N149" i="121"/>
  <c r="N90" i="72"/>
  <c r="L13" i="118"/>
  <c r="L17" i="118"/>
  <c r="L8" i="118"/>
  <c r="K15" i="118"/>
  <c r="L9" i="118"/>
  <c r="L11" i="118"/>
  <c r="L10" i="118"/>
  <c r="O11" i="118"/>
  <c r="P10" i="118" s="1"/>
  <c r="M92" i="72"/>
  <c r="M94" i="72" s="1"/>
  <c r="N8" i="118"/>
  <c r="N9" i="118"/>
  <c r="N17" i="118"/>
  <c r="N11" i="118"/>
  <c r="M15" i="118"/>
  <c r="N13" i="118"/>
  <c r="Q19" i="119"/>
  <c r="O21" i="119"/>
  <c r="O26" i="119" s="1"/>
  <c r="Q26" i="119" s="1"/>
  <c r="O23" i="121" l="1"/>
  <c r="O28" i="121" s="1"/>
  <c r="O6" i="73"/>
  <c r="O7" i="73" s="1"/>
  <c r="N18" i="129"/>
  <c r="G21" i="70"/>
  <c r="F26" i="70"/>
  <c r="G45" i="73" s="1"/>
  <c r="G47" i="73" s="1"/>
  <c r="F129" i="121" s="1"/>
  <c r="F27" i="70"/>
  <c r="G19" i="73" s="1"/>
  <c r="G21" i="73" s="1"/>
  <c r="M134" i="121"/>
  <c r="M137" i="121" s="1"/>
  <c r="M138" i="121" s="1"/>
  <c r="M104" i="72"/>
  <c r="M107" i="72" s="1"/>
  <c r="M109" i="72" s="1"/>
  <c r="N82" i="127"/>
  <c r="N87" i="127" s="1"/>
  <c r="N89" i="127" s="1"/>
  <c r="O37" i="73"/>
  <c r="O41" i="73" s="1"/>
  <c r="N98" i="72" s="1"/>
  <c r="N99" i="72" s="1"/>
  <c r="N101" i="72" s="1"/>
  <c r="N91" i="72"/>
  <c r="N92" i="72" s="1"/>
  <c r="N94" i="72" s="1"/>
  <c r="O33" i="73"/>
  <c r="Q28" i="121"/>
  <c r="O33" i="121"/>
  <c r="L15" i="118"/>
  <c r="K19" i="118"/>
  <c r="P25" i="118"/>
  <c r="P26" i="118"/>
  <c r="P13" i="118"/>
  <c r="P8" i="118"/>
  <c r="P17" i="118"/>
  <c r="O15" i="118"/>
  <c r="P11" i="118"/>
  <c r="P9" i="118"/>
  <c r="M19" i="118"/>
  <c r="N15" i="118"/>
  <c r="O31" i="119"/>
  <c r="N134" i="121" l="1"/>
  <c r="N137" i="121" s="1"/>
  <c r="N138" i="121" s="1"/>
  <c r="N104" i="72"/>
  <c r="N107" i="72" s="1"/>
  <c r="N109" i="72" s="1"/>
  <c r="G49" i="73"/>
  <c r="G51" i="73" s="1"/>
  <c r="F127" i="121"/>
  <c r="F131" i="121" s="1"/>
  <c r="G23" i="70"/>
  <c r="G17" i="72" s="1"/>
  <c r="G24" i="72" s="1"/>
  <c r="G35" i="72" s="1"/>
  <c r="G30" i="75" s="1"/>
  <c r="Q33" i="121"/>
  <c r="M23" i="118"/>
  <c r="N23" i="118" s="1"/>
  <c r="N19" i="118"/>
  <c r="P15" i="118"/>
  <c r="O19" i="118"/>
  <c r="L19" i="118"/>
  <c r="K23" i="118"/>
  <c r="L23" i="118" s="1"/>
  <c r="Q31" i="119"/>
  <c r="O36" i="119"/>
  <c r="Q36" i="119" s="1"/>
  <c r="G24" i="70" l="1"/>
  <c r="G27" i="70"/>
  <c r="H19" i="73" s="1"/>
  <c r="H21" i="73" s="1"/>
  <c r="H21" i="70"/>
  <c r="G26" i="70"/>
  <c r="H45" i="73" s="1"/>
  <c r="H47" i="73" s="1"/>
  <c r="G129" i="121" s="1"/>
  <c r="P19" i="118"/>
  <c r="O23" i="118"/>
  <c r="H23" i="70" l="1"/>
  <c r="H17" i="72" s="1"/>
  <c r="H24" i="72" s="1"/>
  <c r="H35" i="72" s="1"/>
  <c r="H30" i="75" s="1"/>
  <c r="H24" i="70"/>
  <c r="G127" i="121"/>
  <c r="G131" i="121" s="1"/>
  <c r="H49" i="73"/>
  <c r="H51" i="73" s="1"/>
  <c r="P23" i="118"/>
  <c r="O28" i="118"/>
  <c r="H27" i="70" l="1"/>
  <c r="I19" i="73" s="1"/>
  <c r="I21" i="73" s="1"/>
  <c r="I21" i="70"/>
  <c r="H26" i="70"/>
  <c r="I45" i="73" s="1"/>
  <c r="I47" i="73" s="1"/>
  <c r="H129" i="121" s="1"/>
  <c r="O31" i="118"/>
  <c r="P28" i="118"/>
  <c r="I23" i="70" l="1"/>
  <c r="I17" i="72" s="1"/>
  <c r="I24" i="72" s="1"/>
  <c r="I35" i="72" s="1"/>
  <c r="I30" i="75" s="1"/>
  <c r="I24" i="70"/>
  <c r="H127" i="121"/>
  <c r="H131" i="121" s="1"/>
  <c r="I49" i="73"/>
  <c r="I51" i="73" s="1"/>
  <c r="I27" i="70" l="1"/>
  <c r="J19" i="73" s="1"/>
  <c r="J21" i="73" s="1"/>
  <c r="J21" i="70"/>
  <c r="I26" i="70"/>
  <c r="J45" i="73" s="1"/>
  <c r="J47" i="73" s="1"/>
  <c r="I129" i="121" s="1"/>
  <c r="J23" i="70" l="1"/>
  <c r="J17" i="72" s="1"/>
  <c r="J24" i="72" s="1"/>
  <c r="J35" i="72" s="1"/>
  <c r="J30" i="75" s="1"/>
  <c r="I127" i="121"/>
  <c r="I131" i="121" s="1"/>
  <c r="J49" i="73"/>
  <c r="J51" i="73" s="1"/>
  <c r="J24" i="70" l="1"/>
  <c r="K21" i="70" s="1"/>
  <c r="J27" i="70"/>
  <c r="K19" i="73" s="1"/>
  <c r="K21" i="73" s="1"/>
  <c r="J26" i="70" l="1"/>
  <c r="K45" i="73" s="1"/>
  <c r="K47" i="73" s="1"/>
  <c r="J129" i="121" s="1"/>
  <c r="J127" i="121"/>
  <c r="J131" i="121" s="1"/>
  <c r="K49" i="73"/>
  <c r="K51" i="73" s="1"/>
  <c r="K23" i="70"/>
  <c r="K17" i="72" s="1"/>
  <c r="K24" i="70" l="1"/>
  <c r="L21" i="70"/>
  <c r="K27" i="70"/>
  <c r="L19" i="73" s="1"/>
  <c r="L21" i="73" s="1"/>
  <c r="K26" i="70"/>
  <c r="L45" i="73" s="1"/>
  <c r="L47" i="73" s="1"/>
  <c r="K129" i="121" s="1"/>
  <c r="K24" i="72"/>
  <c r="C25" i="75"/>
  <c r="D59" i="73" s="1"/>
  <c r="O22" i="75"/>
  <c r="O25" i="75" s="1"/>
  <c r="C59" i="73"/>
  <c r="C60" i="73" s="1"/>
  <c r="C29" i="75" s="1"/>
  <c r="K127" i="121" l="1"/>
  <c r="K131" i="121" s="1"/>
  <c r="L49" i="73"/>
  <c r="L51" i="73" s="1"/>
  <c r="K35" i="72"/>
  <c r="K30" i="75" s="1"/>
  <c r="L23" i="70"/>
  <c r="L17" i="72" s="1"/>
  <c r="C112" i="72"/>
  <c r="C140" i="121"/>
  <c r="C31" i="75"/>
  <c r="D29" i="75" s="1"/>
  <c r="D31" i="75" s="1"/>
  <c r="O29" i="75"/>
  <c r="C44" i="72"/>
  <c r="I48" i="72" s="1"/>
  <c r="C61" i="73"/>
  <c r="C63" i="73" s="1"/>
  <c r="C65" i="73" s="1"/>
  <c r="D22" i="75"/>
  <c r="D25" i="75" s="1"/>
  <c r="L24" i="72" l="1"/>
  <c r="L24" i="70"/>
  <c r="C33" i="75"/>
  <c r="J48" i="72"/>
  <c r="E29" i="75"/>
  <c r="E31" i="75" s="1"/>
  <c r="D33" i="75"/>
  <c r="D38" i="75" s="1"/>
  <c r="E22" i="75"/>
  <c r="E25" i="75" s="1"/>
  <c r="E59" i="73"/>
  <c r="L27" i="70" l="1"/>
  <c r="M19" i="73" s="1"/>
  <c r="M21" i="73" s="1"/>
  <c r="L26" i="70"/>
  <c r="M45" i="73" s="1"/>
  <c r="M47" i="73" s="1"/>
  <c r="L129" i="121" s="1"/>
  <c r="M21" i="70"/>
  <c r="L35" i="72"/>
  <c r="L30" i="75" s="1"/>
  <c r="C38" i="75"/>
  <c r="C35" i="121" s="1"/>
  <c r="D140" i="121"/>
  <c r="D112" i="72"/>
  <c r="D37" i="72"/>
  <c r="D39" i="72" s="1"/>
  <c r="D41" i="72" s="1"/>
  <c r="D45" i="72" s="1"/>
  <c r="I50" i="72" s="1"/>
  <c r="J50" i="72" s="1"/>
  <c r="D35" i="121"/>
  <c r="F22" i="75"/>
  <c r="F25" i="75" s="1"/>
  <c r="F59" i="73"/>
  <c r="E33" i="75"/>
  <c r="E38" i="75" s="1"/>
  <c r="F29" i="75"/>
  <c r="F31" i="75" s="1"/>
  <c r="M23" i="70" l="1"/>
  <c r="M17" i="72" s="1"/>
  <c r="M24" i="70"/>
  <c r="M49" i="73"/>
  <c r="M51" i="73" s="1"/>
  <c r="L127" i="121"/>
  <c r="L131" i="121" s="1"/>
  <c r="C37" i="121"/>
  <c r="D56" i="73" s="1"/>
  <c r="C139" i="121"/>
  <c r="C111" i="72"/>
  <c r="C113" i="72" s="1"/>
  <c r="C37" i="72"/>
  <c r="C39" i="72" s="1"/>
  <c r="C41" i="72" s="1"/>
  <c r="C45" i="72" s="1"/>
  <c r="I49" i="72" s="1"/>
  <c r="E140" i="121"/>
  <c r="E112" i="72"/>
  <c r="D111" i="72"/>
  <c r="D113" i="72" s="1"/>
  <c r="D115" i="72" s="1"/>
  <c r="D139" i="121"/>
  <c r="D37" i="121"/>
  <c r="E37" i="72"/>
  <c r="E39" i="72" s="1"/>
  <c r="E41" i="72" s="1"/>
  <c r="E45" i="72" s="1"/>
  <c r="I51" i="72" s="1"/>
  <c r="J51" i="72" s="1"/>
  <c r="E35" i="121"/>
  <c r="E139" i="121" s="1"/>
  <c r="C46" i="72"/>
  <c r="D60" i="73" s="1"/>
  <c r="G29" i="75"/>
  <c r="G31" i="75" s="1"/>
  <c r="F33" i="75"/>
  <c r="F38" i="75" s="1"/>
  <c r="G59" i="73"/>
  <c r="G22" i="75"/>
  <c r="G25" i="75" s="1"/>
  <c r="E56" i="73" l="1"/>
  <c r="M27" i="70"/>
  <c r="N19" i="73" s="1"/>
  <c r="N21" i="73" s="1"/>
  <c r="N21" i="70"/>
  <c r="M26" i="70"/>
  <c r="N45" i="73" s="1"/>
  <c r="N47" i="73" s="1"/>
  <c r="M129" i="121" s="1"/>
  <c r="M24" i="72"/>
  <c r="C115" i="72"/>
  <c r="F112" i="72"/>
  <c r="F140" i="121"/>
  <c r="D44" i="72"/>
  <c r="E37" i="121"/>
  <c r="F56" i="73" s="1"/>
  <c r="E111" i="72"/>
  <c r="E113" i="72" s="1"/>
  <c r="E115" i="72" s="1"/>
  <c r="F37" i="72"/>
  <c r="F39" i="72" s="1"/>
  <c r="F41" i="72" s="1"/>
  <c r="F45" i="72" s="1"/>
  <c r="I52" i="72" s="1"/>
  <c r="J52" i="72" s="1"/>
  <c r="F35" i="121"/>
  <c r="F139" i="121" s="1"/>
  <c r="J49" i="72"/>
  <c r="D46" i="72"/>
  <c r="D61" i="73"/>
  <c r="H59" i="73"/>
  <c r="H22" i="75"/>
  <c r="H25" i="75" s="1"/>
  <c r="G33" i="75"/>
  <c r="G38" i="75" s="1"/>
  <c r="H29" i="75"/>
  <c r="H31" i="75" s="1"/>
  <c r="D57" i="73"/>
  <c r="C141" i="121" s="1"/>
  <c r="M35" i="72" l="1"/>
  <c r="M30" i="75" s="1"/>
  <c r="N23" i="70"/>
  <c r="N17" i="72" s="1"/>
  <c r="M127" i="121"/>
  <c r="M131" i="121" s="1"/>
  <c r="N49" i="73"/>
  <c r="N51" i="73" s="1"/>
  <c r="G112" i="72"/>
  <c r="G140" i="121"/>
  <c r="D63" i="73"/>
  <c r="D65" i="73" s="1"/>
  <c r="C142" i="121"/>
  <c r="C145" i="121" s="1"/>
  <c r="E44" i="72"/>
  <c r="E46" i="72" s="1"/>
  <c r="E60" i="73"/>
  <c r="E61" i="73" s="1"/>
  <c r="F37" i="121"/>
  <c r="G56" i="73" s="1"/>
  <c r="F111" i="72"/>
  <c r="F113" i="72" s="1"/>
  <c r="F115" i="72" s="1"/>
  <c r="G37" i="72"/>
  <c r="G39" i="72" s="1"/>
  <c r="G41" i="72" s="1"/>
  <c r="G35" i="121"/>
  <c r="E57" i="73"/>
  <c r="I29" i="75"/>
  <c r="I31" i="75" s="1"/>
  <c r="H33" i="75"/>
  <c r="H38" i="75" s="1"/>
  <c r="I22" i="75"/>
  <c r="I25" i="75" s="1"/>
  <c r="I59" i="73"/>
  <c r="N24" i="72" l="1"/>
  <c r="O17" i="72"/>
  <c r="N24" i="70"/>
  <c r="H112" i="72"/>
  <c r="H140" i="121"/>
  <c r="D141" i="121"/>
  <c r="D142" i="121" s="1"/>
  <c r="C146" i="121"/>
  <c r="C143" i="121"/>
  <c r="G111" i="72"/>
  <c r="G113" i="72" s="1"/>
  <c r="G115" i="72" s="1"/>
  <c r="G139" i="121"/>
  <c r="F44" i="72"/>
  <c r="F46" i="72" s="1"/>
  <c r="F60" i="73"/>
  <c r="F61" i="73" s="1"/>
  <c r="G37" i="121"/>
  <c r="H56" i="73" s="1"/>
  <c r="H37" i="72"/>
  <c r="H39" i="72" s="1"/>
  <c r="H41" i="72" s="1"/>
  <c r="H35" i="121"/>
  <c r="H139" i="121" s="1"/>
  <c r="G45" i="72"/>
  <c r="E63" i="73"/>
  <c r="E65" i="73" s="1"/>
  <c r="J22" i="75"/>
  <c r="J25" i="75" s="1"/>
  <c r="J59" i="73"/>
  <c r="I33" i="75"/>
  <c r="I38" i="75" s="1"/>
  <c r="J29" i="75"/>
  <c r="J31" i="75" s="1"/>
  <c r="F57" i="73"/>
  <c r="E141" i="121" s="1"/>
  <c r="N27" i="70" l="1"/>
  <c r="O19" i="73" s="1"/>
  <c r="O21" i="73" s="1"/>
  <c r="N26" i="70"/>
  <c r="O45" i="73" s="1"/>
  <c r="O47" i="73" s="1"/>
  <c r="N129" i="121" s="1"/>
  <c r="N35" i="72"/>
  <c r="N30" i="75" s="1"/>
  <c r="O30" i="75" s="1"/>
  <c r="O31" i="75" s="1"/>
  <c r="O24" i="72"/>
  <c r="I112" i="72"/>
  <c r="I140" i="121"/>
  <c r="D143" i="121"/>
  <c r="D145" i="121"/>
  <c r="D146" i="121" s="1"/>
  <c r="F63" i="73"/>
  <c r="F65" i="73" s="1"/>
  <c r="E142" i="121"/>
  <c r="H37" i="121"/>
  <c r="I56" i="73" s="1"/>
  <c r="H111" i="72"/>
  <c r="H113" i="72" s="1"/>
  <c r="H115" i="72" s="1"/>
  <c r="G60" i="73"/>
  <c r="G61" i="73" s="1"/>
  <c r="G44" i="72"/>
  <c r="G46" i="72" s="1"/>
  <c r="I37" i="72"/>
  <c r="I39" i="72" s="1"/>
  <c r="I41" i="72" s="1"/>
  <c r="I35" i="121"/>
  <c r="I53" i="72"/>
  <c r="H45" i="72"/>
  <c r="K29" i="75"/>
  <c r="K31" i="75" s="1"/>
  <c r="J33" i="75"/>
  <c r="J38" i="75" s="1"/>
  <c r="G57" i="73"/>
  <c r="F141" i="121" s="1"/>
  <c r="K59" i="73"/>
  <c r="K22" i="75"/>
  <c r="K25" i="75" s="1"/>
  <c r="N127" i="121" l="1"/>
  <c r="N131" i="121" s="1"/>
  <c r="O49" i="73"/>
  <c r="O51" i="73" s="1"/>
  <c r="J112" i="72"/>
  <c r="J140" i="121"/>
  <c r="E145" i="121"/>
  <c r="E146" i="121" s="1"/>
  <c r="E143" i="121"/>
  <c r="I111" i="72"/>
  <c r="I113" i="72" s="1"/>
  <c r="I115" i="72" s="1"/>
  <c r="I139" i="121"/>
  <c r="G63" i="73"/>
  <c r="G65" i="73" s="1"/>
  <c r="F142" i="121"/>
  <c r="H44" i="72"/>
  <c r="H46" i="72" s="1"/>
  <c r="H60" i="73"/>
  <c r="H61" i="73" s="1"/>
  <c r="I37" i="121"/>
  <c r="J56" i="73" s="1"/>
  <c r="J37" i="72"/>
  <c r="J39" i="72" s="1"/>
  <c r="J41" i="72" s="1"/>
  <c r="J35" i="121"/>
  <c r="J139" i="121" s="1"/>
  <c r="J53" i="72"/>
  <c r="I54" i="72"/>
  <c r="J54" i="72" s="1"/>
  <c r="I45" i="72"/>
  <c r="L59" i="73"/>
  <c r="L22" i="75"/>
  <c r="L25" i="75" s="1"/>
  <c r="H57" i="73"/>
  <c r="G141" i="121" s="1"/>
  <c r="K33" i="75"/>
  <c r="K38" i="75" s="1"/>
  <c r="L29" i="75"/>
  <c r="L31" i="75" s="1"/>
  <c r="K112" i="72" l="1"/>
  <c r="K140" i="121"/>
  <c r="F145" i="121"/>
  <c r="F146" i="121" s="1"/>
  <c r="F143" i="121"/>
  <c r="H63" i="73"/>
  <c r="H65" i="73" s="1"/>
  <c r="G142" i="121"/>
  <c r="I44" i="72"/>
  <c r="I46" i="72" s="1"/>
  <c r="I60" i="73"/>
  <c r="I61" i="73" s="1"/>
  <c r="J37" i="121"/>
  <c r="K56" i="73" s="1"/>
  <c r="J111" i="72"/>
  <c r="J113" i="72" s="1"/>
  <c r="J115" i="72" s="1"/>
  <c r="K37" i="72"/>
  <c r="K39" i="72" s="1"/>
  <c r="K41" i="72" s="1"/>
  <c r="K35" i="121"/>
  <c r="I55" i="72"/>
  <c r="J55" i="72" s="1"/>
  <c r="J45" i="72"/>
  <c r="M29" i="75"/>
  <c r="M31" i="75" s="1"/>
  <c r="L33" i="75"/>
  <c r="L38" i="75" s="1"/>
  <c r="I57" i="73"/>
  <c r="H141" i="121" s="1"/>
  <c r="M22" i="75"/>
  <c r="M25" i="75" s="1"/>
  <c r="M59" i="73"/>
  <c r="L140" i="121" l="1"/>
  <c r="L112" i="72"/>
  <c r="G145" i="121"/>
  <c r="G146" i="121" s="1"/>
  <c r="G143" i="121"/>
  <c r="K111" i="72"/>
  <c r="K113" i="72" s="1"/>
  <c r="K115" i="72" s="1"/>
  <c r="K139" i="121"/>
  <c r="I63" i="73"/>
  <c r="I65" i="73" s="1"/>
  <c r="H142" i="121"/>
  <c r="J44" i="72"/>
  <c r="J60" i="73"/>
  <c r="J61" i="73" s="1"/>
  <c r="L37" i="72"/>
  <c r="L39" i="72" s="1"/>
  <c r="L41" i="72" s="1"/>
  <c r="L35" i="121"/>
  <c r="L139" i="121" s="1"/>
  <c r="K37" i="121"/>
  <c r="L56" i="73" s="1"/>
  <c r="J46" i="72"/>
  <c r="I56" i="72"/>
  <c r="J56" i="72" s="1"/>
  <c r="K45" i="72"/>
  <c r="J57" i="73"/>
  <c r="I141" i="121" s="1"/>
  <c r="M33" i="75"/>
  <c r="M38" i="75" s="1"/>
  <c r="N29" i="75"/>
  <c r="N31" i="75" s="1"/>
  <c r="N59" i="73"/>
  <c r="N22" i="75"/>
  <c r="N25" i="75" s="1"/>
  <c r="O59" i="73" s="1"/>
  <c r="M140" i="121" l="1"/>
  <c r="M112" i="72"/>
  <c r="N140" i="121"/>
  <c r="N112" i="72"/>
  <c r="H145" i="121"/>
  <c r="H146" i="121" s="1"/>
  <c r="H143" i="121"/>
  <c r="J63" i="73"/>
  <c r="J65" i="73" s="1"/>
  <c r="I142" i="121"/>
  <c r="K44" i="72"/>
  <c r="K46" i="72" s="1"/>
  <c r="K60" i="73"/>
  <c r="K61" i="73" s="1"/>
  <c r="L37" i="121"/>
  <c r="M56" i="73" s="1"/>
  <c r="L111" i="72"/>
  <c r="L113" i="72" s="1"/>
  <c r="L115" i="72" s="1"/>
  <c r="M37" i="72"/>
  <c r="M39" i="72" s="1"/>
  <c r="M41" i="72" s="1"/>
  <c r="M35" i="121"/>
  <c r="M139" i="121" s="1"/>
  <c r="I57" i="72"/>
  <c r="J57" i="72" s="1"/>
  <c r="L45" i="72"/>
  <c r="N33" i="75"/>
  <c r="N38" i="75" s="1"/>
  <c r="N35" i="121" s="1"/>
  <c r="K57" i="73"/>
  <c r="J141" i="121" s="1"/>
  <c r="I145" i="121" l="1"/>
  <c r="I146" i="121" s="1"/>
  <c r="I143" i="121"/>
  <c r="N111" i="72"/>
  <c r="N113" i="72" s="1"/>
  <c r="N139" i="121"/>
  <c r="K63" i="73"/>
  <c r="K65" i="73" s="1"/>
  <c r="J142" i="121"/>
  <c r="L44" i="72"/>
  <c r="L60" i="73"/>
  <c r="L61" i="73" s="1"/>
  <c r="M37" i="121"/>
  <c r="N56" i="73" s="1"/>
  <c r="M111" i="72"/>
  <c r="M113" i="72" s="1"/>
  <c r="M115" i="72" s="1"/>
  <c r="N37" i="121"/>
  <c r="O35" i="121"/>
  <c r="O37" i="121" s="1"/>
  <c r="L46" i="72"/>
  <c r="I58" i="72"/>
  <c r="J58" i="72" s="1"/>
  <c r="M45" i="72"/>
  <c r="N37" i="72"/>
  <c r="O37" i="72" s="1"/>
  <c r="O38" i="75"/>
  <c r="L57" i="73"/>
  <c r="K141" i="121" s="1"/>
  <c r="J145" i="121" l="1"/>
  <c r="J146" i="121" s="1"/>
  <c r="J143" i="121"/>
  <c r="N39" i="72"/>
  <c r="N115" i="72" s="1"/>
  <c r="L63" i="73"/>
  <c r="L65" i="73" s="1"/>
  <c r="K142" i="121"/>
  <c r="O56" i="73"/>
  <c r="M44" i="72"/>
  <c r="M46" i="72" s="1"/>
  <c r="M60" i="73"/>
  <c r="M61" i="73" s="1"/>
  <c r="I59" i="72"/>
  <c r="J59" i="72" s="1"/>
  <c r="N41" i="72"/>
  <c r="N45" i="72" s="1"/>
  <c r="I60" i="72" s="1"/>
  <c r="O39" i="72"/>
  <c r="M57" i="73"/>
  <c r="L141" i="121" s="1"/>
  <c r="K145" i="121" l="1"/>
  <c r="K146" i="121" s="1"/>
  <c r="K143" i="121"/>
  <c r="M63" i="73"/>
  <c r="M65" i="73" s="1"/>
  <c r="L142" i="121"/>
  <c r="N44" i="72"/>
  <c r="N46" i="72" s="1"/>
  <c r="O60" i="73" s="1"/>
  <c r="O61" i="73" s="1"/>
  <c r="N60" i="73"/>
  <c r="N61" i="73" s="1"/>
  <c r="J60" i="72"/>
  <c r="I61" i="72"/>
  <c r="J61" i="72" s="1"/>
  <c r="N57" i="73"/>
  <c r="M141" i="121" s="1"/>
  <c r="O57" i="73"/>
  <c r="N141" i="121" l="1"/>
  <c r="N142" i="121" s="1"/>
  <c r="L145" i="121"/>
  <c r="L146" i="121" s="1"/>
  <c r="L143" i="121"/>
  <c r="N63" i="73"/>
  <c r="N65" i="73" s="1"/>
  <c r="M142" i="121"/>
  <c r="O63" i="73"/>
  <c r="O65" i="73" l="1"/>
  <c r="N143" i="121"/>
  <c r="N145" i="121"/>
  <c r="N146" i="121" s="1"/>
  <c r="M145" i="121"/>
  <c r="M146" i="121" s="1"/>
  <c r="M143" i="121"/>
</calcChain>
</file>

<file path=xl/sharedStrings.xml><?xml version="1.0" encoding="utf-8"?>
<sst xmlns="http://schemas.openxmlformats.org/spreadsheetml/2006/main" count="3828" uniqueCount="1401">
  <si>
    <t>qtà</t>
  </si>
  <si>
    <t>valore</t>
  </si>
  <si>
    <t>Totale I° sem</t>
  </si>
  <si>
    <t>Totale</t>
  </si>
  <si>
    <t>assenteismo</t>
  </si>
  <si>
    <t>inventario</t>
  </si>
  <si>
    <t>h/uomo disponibili</t>
  </si>
  <si>
    <t>uomini disponibili</t>
  </si>
  <si>
    <t>turni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</si>
  <si>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</si>
  <si>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</si>
  <si>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</si>
  <si>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</si>
  <si>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</si>
  <si>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</si>
  <si>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</si>
  <si>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</si>
  <si>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</si>
  <si>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</si>
  <si>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</si>
  <si>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</si>
  <si>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</si>
  <si>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</si>
  <si>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</si>
  <si>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</si>
  <si>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</si>
  <si>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</si>
  <si>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</si>
  <si>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</si>
  <si>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</si>
  <si>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</si>
  <si>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</si>
  <si>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</si>
  <si>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</si>
  <si>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</si>
  <si>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</si>
  <si>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</si>
  <si>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Ricavi di vendita</t>
  </si>
  <si>
    <t>Net Working Capital</t>
  </si>
  <si>
    <t>IVA su acquisti</t>
  </si>
  <si>
    <t>Fatturato</t>
  </si>
  <si>
    <t>Incassi da vendite</t>
  </si>
  <si>
    <t>Entrate di cassa</t>
  </si>
  <si>
    <t>Esborsi per acquisti m.p.</t>
  </si>
  <si>
    <t>= Costo d'acquisto</t>
  </si>
  <si>
    <t>= Esborso per acquisti m.p.</t>
  </si>
  <si>
    <t>Incrementi</t>
  </si>
  <si>
    <t>Decrementi</t>
  </si>
  <si>
    <t>Capitali Fissi</t>
  </si>
  <si>
    <t>- Fondo Ammortamento</t>
  </si>
  <si>
    <t>TFR</t>
  </si>
  <si>
    <t>Contributi</t>
  </si>
  <si>
    <t>TOTALE</t>
  </si>
  <si>
    <t>Risultato operativo</t>
  </si>
  <si>
    <t>- Variazione crediti verso clienti</t>
  </si>
  <si>
    <t>Fondo TFR</t>
  </si>
  <si>
    <t>Riserve</t>
  </si>
  <si>
    <t>IVA su vendite</t>
  </si>
  <si>
    <t>Tasso di interesse</t>
  </si>
  <si>
    <t>Rata</t>
  </si>
  <si>
    <t>Debito residuo</t>
  </si>
  <si>
    <t>Mutuo</t>
  </si>
  <si>
    <t>Tasso di interesse medio mensile</t>
  </si>
  <si>
    <t xml:space="preserve">Prezzi di listino medi unitari </t>
  </si>
  <si>
    <t>BUDGET FINANZIARIO</t>
  </si>
  <si>
    <t>Crediti v/clienti</t>
  </si>
  <si>
    <t>+ Ricavi di vendita</t>
  </si>
  <si>
    <t>+ IVA su vendite</t>
  </si>
  <si>
    <t>check</t>
  </si>
  <si>
    <t>+ IVA su acquisti</t>
  </si>
  <si>
    <t>Magazzino materie prime</t>
  </si>
  <si>
    <t>Magazzino prodotti finiti</t>
  </si>
  <si>
    <t>- Variazione nei debiti verso fornitori</t>
  </si>
  <si>
    <t>+</t>
  </si>
  <si>
    <t>-</t>
  </si>
  <si>
    <t>Debito IVA</t>
  </si>
  <si>
    <t>Consumo materie prime</t>
  </si>
  <si>
    <t>13ma</t>
  </si>
  <si>
    <t>14ma</t>
  </si>
  <si>
    <t>Matricola</t>
  </si>
  <si>
    <t>Piano Assunzioni</t>
  </si>
  <si>
    <t>Quota TFR</t>
  </si>
  <si>
    <t>Contributi a carico del datore di lavoro</t>
  </si>
  <si>
    <t>Contributi a carico del dipendente</t>
  </si>
  <si>
    <t>Ritenute fiscali</t>
  </si>
  <si>
    <t>Consulenze commerciali</t>
  </si>
  <si>
    <t>IVA su acquisti di servizi</t>
  </si>
  <si>
    <t>Valore lordo</t>
  </si>
  <si>
    <t>Costo d'acquisto</t>
  </si>
  <si>
    <t>Ammortamenti</t>
  </si>
  <si>
    <t>IVA su investimenti</t>
  </si>
  <si>
    <t>Credito IVA</t>
  </si>
  <si>
    <t>Flusso di cassa da investimenti</t>
  </si>
  <si>
    <t>Flusso da investimenti</t>
  </si>
  <si>
    <t>check:</t>
  </si>
  <si>
    <t>Esborsi per acquisti servizi non durevoli</t>
  </si>
  <si>
    <t>Costi per servizi non durevoli</t>
  </si>
  <si>
    <t>- Variazione nei ratei passivi</t>
  </si>
  <si>
    <t>Debiti verso fornitori</t>
  </si>
  <si>
    <t>= Esborso per acquisti servizi non durevoli</t>
  </si>
  <si>
    <t>Esborsi relativi al personale</t>
  </si>
  <si>
    <t>- Variazione del fondo TFR</t>
  </si>
  <si>
    <t>Costo personale</t>
  </si>
  <si>
    <t>Debiti connessi al personale</t>
  </si>
  <si>
    <t>Flusso di cassa operativo</t>
  </si>
  <si>
    <t>EBIT</t>
  </si>
  <si>
    <t>Capitale Investito Netto</t>
  </si>
  <si>
    <t>Crediti operativi</t>
  </si>
  <si>
    <t>Rimanenze</t>
  </si>
  <si>
    <t>Debiti operativi</t>
  </si>
  <si>
    <t>Capitale sociale</t>
  </si>
  <si>
    <t>Risultato di periodo</t>
  </si>
  <si>
    <t>Capitale Netto</t>
  </si>
  <si>
    <t>Posizione Finanziaria Netta</t>
  </si>
  <si>
    <t>Finanziamenti Netti</t>
  </si>
  <si>
    <t>Flusso di cassa residuale dopo servizio del debito</t>
  </si>
  <si>
    <t>Interessi su PFN di breve</t>
  </si>
  <si>
    <t>Flusso di cassa da finanziamenti</t>
  </si>
  <si>
    <t>Data erogazione</t>
  </si>
  <si>
    <t>Capitale erogato</t>
  </si>
  <si>
    <t>Durata in anni</t>
  </si>
  <si>
    <t>N. rate</t>
  </si>
  <si>
    <t>Tasso annuo</t>
  </si>
  <si>
    <t>N. Rata</t>
  </si>
  <si>
    <t>Data</t>
  </si>
  <si>
    <t>Quota capitale</t>
  </si>
  <si>
    <t>Quota Interessi</t>
  </si>
  <si>
    <t>Piano di Ammortamento Mutuo Banca Alfa</t>
  </si>
  <si>
    <t>Mutui iniziali</t>
  </si>
  <si>
    <t>+ Incrementi</t>
  </si>
  <si>
    <t>- Decrementi</t>
  </si>
  <si>
    <t>Mutui finali</t>
  </si>
  <si>
    <t>Quota capitale mutuo Alfa</t>
  </si>
  <si>
    <t>Quota interessi mutuo Alfa</t>
  </si>
  <si>
    <t>Rata mutuo Alfa</t>
  </si>
  <si>
    <t>Piano di Ammortamento Mutuo Banca Beta</t>
  </si>
  <si>
    <t>Quota capitale mutuo Beta</t>
  </si>
  <si>
    <t>Quota interessi mutuo Beta</t>
  </si>
  <si>
    <t>Rata mutuo Beta</t>
  </si>
  <si>
    <t>Quota capitale totale</t>
  </si>
  <si>
    <t>Quota interessi totale</t>
  </si>
  <si>
    <t>Rata mutui</t>
  </si>
  <si>
    <t>PFN a breve iniziale</t>
  </si>
  <si>
    <t>= PFN a breve finale</t>
  </si>
  <si>
    <t>PFN a breve</t>
  </si>
  <si>
    <t>Investimento</t>
  </si>
  <si>
    <t>Introiti per nuovi finanziamenti</t>
  </si>
  <si>
    <t>PFN i a breve iniziale</t>
  </si>
  <si>
    <t>PFN a breve finale*</t>
  </si>
  <si>
    <t>Consistenza media PFN a breve*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</si>
  <si>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</si>
  <si>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</si>
  <si>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</si>
  <si>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</si>
  <si>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</si>
  <si>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</si>
  <si>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</si>
  <si>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</si>
  <si>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</si>
  <si>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</si>
  <si>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</si>
  <si>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</si>
  <si>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</si>
  <si>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</si>
  <si>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</si>
  <si>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</si>
  <si>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</si>
  <si>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</si>
  <si>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</si>
  <si>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</si>
  <si>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</si>
  <si>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</si>
  <si>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</si>
  <si>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</si>
  <si>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</si>
  <si>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</si>
  <si>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</si>
  <si>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</si>
  <si>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</si>
  <si>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</si>
  <si>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</si>
  <si>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</si>
  <si>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</si>
  <si>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</si>
  <si>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</si>
  <si>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</si>
  <si>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</si>
  <si>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</si>
  <si>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</si>
  <si>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</si>
  <si>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</si>
  <si>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</si>
  <si>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</si>
  <si>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</si>
  <si>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</si>
  <si>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</si>
  <si>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</si>
  <si>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</si>
  <si>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</si>
  <si>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</si>
  <si>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</si>
  <si>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</si>
  <si>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</si>
  <si>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</si>
  <si>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</si>
  <si>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</si>
  <si>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</si>
  <si>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</si>
  <si>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</si>
  <si>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</si>
  <si>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</si>
  <si>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</si>
  <si>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</si>
  <si>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</si>
  <si>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</si>
  <si>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</si>
  <si>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</si>
  <si>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</si>
  <si>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</si>
  <si>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</si>
  <si>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</si>
  <si>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</si>
  <si>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</si>
  <si>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Premi alla clientela</t>
  </si>
  <si>
    <t>Tabella 4 - Budget premi a cliente per canale mensilizzati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</si>
  <si>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</si>
  <si>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</si>
  <si>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</si>
  <si>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</si>
  <si>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Tabella 5 - Budget quantità da produrre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</si>
  <si>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</si>
  <si>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</si>
  <si>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</si>
  <si>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</si>
  <si>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</si>
  <si>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</si>
  <si>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</si>
  <si>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</si>
  <si>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</si>
  <si>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</si>
  <si>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</si>
  <si>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</si>
  <si>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</si>
  <si>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</si>
  <si>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</si>
  <si>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</si>
  <si>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</si>
  <si>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</si>
  <si>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</si>
  <si>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</si>
  <si>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</si>
  <si>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</si>
  <si>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</si>
  <si>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</si>
  <si>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</si>
  <si>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</si>
  <si>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</si>
  <si>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</si>
  <si>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</si>
  <si>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</si>
  <si>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</si>
  <si>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Tempo di riapprovvigionamento in gg</t>
  </si>
  <si>
    <t>scorta minima</t>
  </si>
  <si>
    <t>Fabbisogno di produzione</t>
  </si>
  <si>
    <t>Acquisti necessari</t>
  </si>
  <si>
    <t>scost. q</t>
  </si>
  <si>
    <t>scost. p</t>
  </si>
  <si>
    <t>Tabella 7 - Budget quantità di materie prime da acquistare</t>
  </si>
  <si>
    <t>Tab. 6 - Distinta Base materie prime</t>
  </si>
  <si>
    <t>valore unitario</t>
  </si>
  <si>
    <t>-Fabbisogno di produzione</t>
  </si>
  <si>
    <t>+Acquisti</t>
  </si>
  <si>
    <t>Tabella 8 - Budget acquisti (a valore) di materie prime</t>
  </si>
  <si>
    <t>cu</t>
  </si>
  <si>
    <t>pcu</t>
  </si>
  <si>
    <t>Totale II° sem</t>
  </si>
  <si>
    <t>All 2 - Parametri per MRP</t>
  </si>
  <si>
    <t>All 1 - Scheda di costo standard</t>
  </si>
  <si>
    <t>All 3 - Rimanenze iniziali materie espresse in quantità</t>
  </si>
  <si>
    <t>All. 4 - Costo del lavoro preconsuntivo</t>
  </si>
  <si>
    <t>Mansione</t>
  </si>
  <si>
    <t>RAL</t>
  </si>
  <si>
    <t>Contributi 13ma</t>
  </si>
  <si>
    <t>Contributi 14m</t>
  </si>
  <si>
    <t>Costo totale</t>
  </si>
  <si>
    <t>Dir. Controllo</t>
  </si>
  <si>
    <t>Resp. Acquisti</t>
  </si>
  <si>
    <t>Resp. Marketing</t>
  </si>
  <si>
    <t>Dir. Operations</t>
  </si>
  <si>
    <t>Resp. Produzione</t>
  </si>
  <si>
    <t>Addetto prod. 1</t>
  </si>
  <si>
    <t>Addetto prod. 2</t>
  </si>
  <si>
    <t>Addetto prod. 3</t>
  </si>
  <si>
    <t>Addetto prod. 4</t>
  </si>
  <si>
    <t>Addetto prod. 5</t>
  </si>
  <si>
    <t>Addetto prod. 6</t>
  </si>
  <si>
    <t>Addetto prod. 7</t>
  </si>
  <si>
    <t>Addetto prod. 8</t>
  </si>
  <si>
    <t>Addetto prod. 9</t>
  </si>
  <si>
    <t>Addetto prod. 10</t>
  </si>
  <si>
    <t>Addetto prod. 11</t>
  </si>
  <si>
    <t>Addetto prod. 12</t>
  </si>
  <si>
    <t>Addetto prod. 13</t>
  </si>
  <si>
    <t>Addetto prod. 14</t>
  </si>
  <si>
    <t>Addetto prod. 15</t>
  </si>
  <si>
    <t>Addetto prod. 16</t>
  </si>
  <si>
    <t>Addetto prod. 17</t>
  </si>
  <si>
    <t>Addetto prod. 18</t>
  </si>
  <si>
    <t>Addetto prod. 19</t>
  </si>
  <si>
    <t>Addetto prod. 20</t>
  </si>
  <si>
    <t>Addetto prod. 21</t>
  </si>
  <si>
    <t>Addetto prod. 22</t>
  </si>
  <si>
    <t>Addetto prod. 23</t>
  </si>
  <si>
    <t>Addetto prod. 24</t>
  </si>
  <si>
    <t>Addetto prod. 25</t>
  </si>
  <si>
    <t>Addetto prod. 26</t>
  </si>
  <si>
    <t>Addetto prod. 27</t>
  </si>
  <si>
    <t>Addetto prod. 28</t>
  </si>
  <si>
    <t>Addetto prod. 29</t>
  </si>
  <si>
    <t>Addetto prod. 30</t>
  </si>
  <si>
    <t>Addetto prod. 31</t>
  </si>
  <si>
    <t>Addetto prod. 32</t>
  </si>
  <si>
    <t>Addetto prod. 33</t>
  </si>
  <si>
    <t>Addetto prod. 34</t>
  </si>
  <si>
    <t>Addetto prod. 35</t>
  </si>
  <si>
    <t>Addetto prod. 36</t>
  </si>
  <si>
    <t>Addetto prod. 37</t>
  </si>
  <si>
    <t>Addetto prod. 38</t>
  </si>
  <si>
    <t>Addetto prod. 39</t>
  </si>
  <si>
    <t>Addetto prod. 40</t>
  </si>
  <si>
    <t>Addetto prod. 41</t>
  </si>
  <si>
    <t>Addetto prod. 42</t>
  </si>
  <si>
    <t>Addetto prod. 43</t>
  </si>
  <si>
    <t>Addetto prod. 44</t>
  </si>
  <si>
    <t>Addetto prod. 45</t>
  </si>
  <si>
    <t>Addetto prod. 46</t>
  </si>
  <si>
    <t>Addetto prod. 47</t>
  </si>
  <si>
    <t>Addetto prod. 48</t>
  </si>
  <si>
    <t>Addetto prod. 49</t>
  </si>
  <si>
    <t>Addetto prod. 50</t>
  </si>
  <si>
    <t>Addetto prod. 51</t>
  </si>
  <si>
    <t>Addetto prod. 52</t>
  </si>
  <si>
    <t>Addetto prod. 53</t>
  </si>
  <si>
    <t>Addetto prod. 54</t>
  </si>
  <si>
    <t>Addetto prod. 55</t>
  </si>
  <si>
    <t>Addetto prod. 56</t>
  </si>
  <si>
    <t>Addetto prod. 57</t>
  </si>
  <si>
    <t>Addetto prod. 58</t>
  </si>
  <si>
    <t>Addetto prod. 59</t>
  </si>
  <si>
    <t>Addetto prod. 60</t>
  </si>
  <si>
    <t>Addetto prod. 61</t>
  </si>
  <si>
    <t>Addetto prod. 62</t>
  </si>
  <si>
    <t>Addetto prod. 63</t>
  </si>
  <si>
    <t>Addetto prod. 64</t>
  </si>
  <si>
    <t>Addetto prod. 65</t>
  </si>
  <si>
    <t>Addetto prod. 66</t>
  </si>
  <si>
    <t>Addetto prod. 67</t>
  </si>
  <si>
    <t>Addetto prod. 68</t>
  </si>
  <si>
    <t>Addetto prod. 69</t>
  </si>
  <si>
    <t>Addetto prod. 70</t>
  </si>
  <si>
    <t>Addetto prod. 71</t>
  </si>
  <si>
    <t>Addetto prod. 72</t>
  </si>
  <si>
    <t>Addetto prod. 73</t>
  </si>
  <si>
    <t>Addetto prod. 74</t>
  </si>
  <si>
    <t>Addetto prod. 75</t>
  </si>
  <si>
    <t>Addetto prod. 76</t>
  </si>
  <si>
    <t>Addetto prod. 77</t>
  </si>
  <si>
    <t>Addetto prod. 78</t>
  </si>
  <si>
    <t>Addetto prod. 79</t>
  </si>
  <si>
    <t>Addetto prod. 80</t>
  </si>
  <si>
    <t>Addetto prod. 81</t>
  </si>
  <si>
    <t>Addetto prod. 82</t>
  </si>
  <si>
    <t>Addetto prod. 83</t>
  </si>
  <si>
    <t>Addetto prod. 84</t>
  </si>
  <si>
    <t>Addetto prod. 85</t>
  </si>
  <si>
    <t>Addetto prod. 86</t>
  </si>
  <si>
    <t>Addetto prod. 87</t>
  </si>
  <si>
    <t>Addetto prod. 88</t>
  </si>
  <si>
    <t>Addetto prod. 89</t>
  </si>
  <si>
    <t>Addetto prod. 90</t>
  </si>
  <si>
    <t>Addetto prod. 91</t>
  </si>
  <si>
    <t>Addetto prod. 92</t>
  </si>
  <si>
    <t>Addetto prod. 93</t>
  </si>
  <si>
    <t>Addetto prod. 94</t>
  </si>
  <si>
    <t>Addetto prod. 95</t>
  </si>
  <si>
    <t>Addetto prod. 96</t>
  </si>
  <si>
    <t>Addetto prod. 97</t>
  </si>
  <si>
    <t>Addetto prod. 98</t>
  </si>
  <si>
    <t>Addetto prod. 99</t>
  </si>
  <si>
    <t>Addetto prod. 100</t>
  </si>
  <si>
    <t>Addetto prod. 101</t>
  </si>
  <si>
    <t>Addetto prod. 102</t>
  </si>
  <si>
    <t>Addetto prod. 103</t>
  </si>
  <si>
    <t>Addetto prod. 104</t>
  </si>
  <si>
    <t>Addetto prod. 105</t>
  </si>
  <si>
    <t>Addetto prod. 106</t>
  </si>
  <si>
    <t>Addetto prod. 107</t>
  </si>
  <si>
    <t>Addetto prod. 108</t>
  </si>
  <si>
    <t>Addetto prod. 109</t>
  </si>
  <si>
    <t>Acquisti</t>
  </si>
  <si>
    <t>Marketing</t>
  </si>
  <si>
    <t>Operations</t>
  </si>
  <si>
    <t>Produzione</t>
  </si>
  <si>
    <t>Handling</t>
  </si>
  <si>
    <t>Resp. Handl</t>
  </si>
  <si>
    <t>Addetto Handling 1</t>
  </si>
  <si>
    <t>Addetto Handling 2</t>
  </si>
  <si>
    <t>Addetto Handling 3</t>
  </si>
  <si>
    <t>Addetto Handling 4</t>
  </si>
  <si>
    <t>Addetto Handling 5</t>
  </si>
  <si>
    <t>Addetto Handling 6</t>
  </si>
  <si>
    <t>Addetto Handling 7</t>
  </si>
  <si>
    <t>Addetto Handling 8</t>
  </si>
  <si>
    <t>Addetto Handling 9</t>
  </si>
  <si>
    <t>Addetto Handling 10</t>
  </si>
  <si>
    <t>Addetto Handling 11</t>
  </si>
  <si>
    <t>Addetto Handling 12</t>
  </si>
  <si>
    <t>Addetto Handling 13</t>
  </si>
  <si>
    <t>Addetto Handling 14</t>
  </si>
  <si>
    <t>Addetto Handling 15</t>
  </si>
  <si>
    <t>Controllo qualità</t>
  </si>
  <si>
    <t>Gestione magazzino</t>
  </si>
  <si>
    <t>Addetto gest. magazzino 1</t>
  </si>
  <si>
    <t>Addetto gest. magazzino 2</t>
  </si>
  <si>
    <t>Addetto trasporti 1</t>
  </si>
  <si>
    <t>Addetto trasporti 2</t>
  </si>
  <si>
    <t>Trasporti</t>
  </si>
  <si>
    <t>Commerciale</t>
  </si>
  <si>
    <t>Dir. Commerciale</t>
  </si>
  <si>
    <t>Resp. Canale tradizionale</t>
  </si>
  <si>
    <t>Resp. Canale televendite</t>
  </si>
  <si>
    <t>Resp. Canale gdo</t>
  </si>
  <si>
    <t>Addetto vendite 1</t>
  </si>
  <si>
    <t>Addetto vendite 2</t>
  </si>
  <si>
    <t>Addetto vendite 3</t>
  </si>
  <si>
    <t>Addetto vendite 4</t>
  </si>
  <si>
    <t>Addetto vendite 5</t>
  </si>
  <si>
    <t>Call center 1</t>
  </si>
  <si>
    <t>Call center 2</t>
  </si>
  <si>
    <t>Call center 3</t>
  </si>
  <si>
    <t>Call center 4</t>
  </si>
  <si>
    <t>Call center 5</t>
  </si>
  <si>
    <t>Call center 6</t>
  </si>
  <si>
    <t>Call center 7</t>
  </si>
  <si>
    <t>Call center 8</t>
  </si>
  <si>
    <t>Call center 9</t>
  </si>
  <si>
    <t>Call center 10</t>
  </si>
  <si>
    <t>Call center 11</t>
  </si>
  <si>
    <t>Call center 12</t>
  </si>
  <si>
    <t>Call center 13</t>
  </si>
  <si>
    <t>Call center 14</t>
  </si>
  <si>
    <t>Call center 15</t>
  </si>
  <si>
    <t>Call center 16</t>
  </si>
  <si>
    <t>Call center 17</t>
  </si>
  <si>
    <t>Call center 18</t>
  </si>
  <si>
    <t>Call center 19</t>
  </si>
  <si>
    <t>Call center 20</t>
  </si>
  <si>
    <t>Call center 21</t>
  </si>
  <si>
    <t>Call center 22</t>
  </si>
  <si>
    <t>Call center 23</t>
  </si>
  <si>
    <t>Call center 24</t>
  </si>
  <si>
    <t>Call center 25</t>
  </si>
  <si>
    <t>Call center 26</t>
  </si>
  <si>
    <t>Call center 27</t>
  </si>
  <si>
    <t>Call center 28</t>
  </si>
  <si>
    <t>Call center 29</t>
  </si>
  <si>
    <t>Call center 30</t>
  </si>
  <si>
    <t>Ass. clienti 1</t>
  </si>
  <si>
    <t>Ass. clienti 2</t>
  </si>
  <si>
    <t>Ass. clienti 3</t>
  </si>
  <si>
    <t>Dir. Amministrativo</t>
  </si>
  <si>
    <t>Fornitori</t>
  </si>
  <si>
    <t>Tesoreria</t>
  </si>
  <si>
    <t>Contabilità Generale</t>
  </si>
  <si>
    <t>Dir. Generale</t>
  </si>
  <si>
    <t>M001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</si>
  <si>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</si>
  <si>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</si>
  <si>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</si>
  <si>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</si>
  <si>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</si>
  <si>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</si>
  <si>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</si>
  <si>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</si>
  <si>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</si>
  <si>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</si>
  <si>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</si>
  <si>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</si>
  <si>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</si>
  <si>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</si>
  <si>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</si>
  <si>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</si>
  <si>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</si>
  <si>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</si>
  <si>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</si>
  <si>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</si>
  <si>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</si>
  <si>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</si>
  <si>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</si>
  <si>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</si>
  <si>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</si>
  <si>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</si>
  <si>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</si>
  <si>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</si>
  <si>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</si>
  <si>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</si>
  <si>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</si>
  <si>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</si>
  <si>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</si>
  <si>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</si>
  <si>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</si>
  <si>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</si>
  <si>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</si>
  <si>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</si>
  <si>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</si>
  <si>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</si>
  <si>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</si>
  <si>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</si>
  <si>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</si>
  <si>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</si>
  <si>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</si>
  <si>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</si>
  <si>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</si>
  <si>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</si>
  <si>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</si>
  <si>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</si>
  <si>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</si>
  <si>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</si>
  <si>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</si>
  <si>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</si>
  <si>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</si>
  <si>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</si>
  <si>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</si>
  <si>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</si>
  <si>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</si>
  <si>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</si>
  <si>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</si>
  <si>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</si>
  <si>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</si>
  <si>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</si>
  <si>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</si>
  <si>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</si>
  <si>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</si>
  <si>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</si>
  <si>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</si>
  <si>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</si>
  <si>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M072</t>
  </si>
  <si>
    <t>M073</t>
  </si>
  <si>
    <t>M074</t>
  </si>
  <si>
    <t>M075</t>
  </si>
  <si>
    <t>M076</t>
  </si>
  <si>
    <t>M077</t>
  </si>
  <si>
    <t>M078</t>
  </si>
  <si>
    <t>M079</t>
  </si>
  <si>
    <t>M080</t>
  </si>
  <si>
    <t>M081</t>
  </si>
  <si>
    <t>M082</t>
  </si>
  <si>
    <t>M083</t>
  </si>
  <si>
    <t>M084</t>
  </si>
  <si>
    <t>M085</t>
  </si>
  <si>
    <t>M086</t>
  </si>
  <si>
    <t>M087</t>
  </si>
  <si>
    <t>M088</t>
  </si>
  <si>
    <t>M089</t>
  </si>
  <si>
    <t>M090</t>
  </si>
  <si>
    <t>M091</t>
  </si>
  <si>
    <t>M092</t>
  </si>
  <si>
    <t>M093</t>
  </si>
  <si>
    <t>M094</t>
  </si>
  <si>
    <t>M095</t>
  </si>
  <si>
    <t>M096</t>
  </si>
  <si>
    <t>M097</t>
  </si>
  <si>
    <t>M098</t>
  </si>
  <si>
    <t>M099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</si>
  <si>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</si>
  <si>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</si>
  <si>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</si>
  <si>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</si>
  <si>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</si>
  <si>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</si>
  <si>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</si>
  <si>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</si>
  <si>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</si>
  <si>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</si>
  <si>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</si>
  <si>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</si>
  <si>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</si>
  <si>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</si>
  <si>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</si>
  <si>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</si>
  <si>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</si>
  <si>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</si>
  <si>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</si>
  <si>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</si>
  <si>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</si>
  <si>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</si>
  <si>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</si>
  <si>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</si>
  <si>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</si>
  <si>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</si>
  <si>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</si>
  <si>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</si>
  <si>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</si>
  <si>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</si>
  <si>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</si>
  <si>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</si>
  <si>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</si>
  <si>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</si>
  <si>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</si>
  <si>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</si>
  <si>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</si>
  <si>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</si>
  <si>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</si>
  <si>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</si>
  <si>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</si>
  <si>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</si>
  <si>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</si>
  <si>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</si>
  <si>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</si>
  <si>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</si>
  <si>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</si>
  <si>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</si>
  <si>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</si>
  <si>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</si>
  <si>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</si>
  <si>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</si>
  <si>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</si>
  <si>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</si>
  <si>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</si>
  <si>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</si>
  <si>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</si>
  <si>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</si>
  <si>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</si>
  <si>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</si>
  <si>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</si>
  <si>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</si>
  <si>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</si>
  <si>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</si>
  <si>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</si>
  <si>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</si>
  <si>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</si>
  <si>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</si>
  <si>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</si>
  <si>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</si>
  <si>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</si>
  <si>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</si>
  <si>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</si>
  <si>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</si>
  <si>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</si>
  <si>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</si>
  <si>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</si>
  <si>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</si>
  <si>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</si>
  <si>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</si>
  <si>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</si>
  <si>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</si>
  <si>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</si>
  <si>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</si>
  <si>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</si>
  <si>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</si>
  <si>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linea</t>
  </si>
  <si>
    <t>Staff</t>
  </si>
  <si>
    <t>Assistenza clienti</t>
  </si>
  <si>
    <t>Call center</t>
  </si>
  <si>
    <t>Logistica</t>
  </si>
  <si>
    <t>Co.Ge.</t>
  </si>
  <si>
    <t>Credito</t>
  </si>
  <si>
    <t>Credito 1</t>
  </si>
  <si>
    <t>Credito 2</t>
  </si>
  <si>
    <t>FTE</t>
  </si>
  <si>
    <t>Contributi RAL</t>
  </si>
  <si>
    <t>Contributi 14ma</t>
  </si>
  <si>
    <t>Funzioni</t>
  </si>
  <si>
    <t>Call Center</t>
  </si>
  <si>
    <t>Addetto logistica 1</t>
  </si>
  <si>
    <t>Amministrazione</t>
  </si>
  <si>
    <t>Totale Azienda</t>
  </si>
  <si>
    <t>Costo per FTE</t>
  </si>
  <si>
    <t>Tabella 10 - Informazioni necessarie per la predisposizione del budget del lavoro</t>
  </si>
  <si>
    <t>mese assunzione</t>
  </si>
  <si>
    <t>gg lavorabili</t>
  </si>
  <si>
    <t>Retribuzione</t>
  </si>
  <si>
    <t>Contributi su retribuzione</t>
  </si>
  <si>
    <t>Contributi su 13ma</t>
  </si>
  <si>
    <t>Contributi su 14ma</t>
  </si>
  <si>
    <t>Tab. 11 - budget costo del lavoro</t>
  </si>
  <si>
    <t>totale pregressi</t>
  </si>
  <si>
    <t>totale assunti</t>
  </si>
  <si>
    <t>- gg ferie</t>
  </si>
  <si>
    <t>= gg lavorati</t>
  </si>
  <si>
    <t>costo ferie</t>
  </si>
  <si>
    <t>All. 6 - Dettaglio costi fissi</t>
  </si>
  <si>
    <t>Luce</t>
  </si>
  <si>
    <t>Riscaldamento</t>
  </si>
  <si>
    <t>Affitti</t>
  </si>
  <si>
    <t>Ammortamenti macchine</t>
  </si>
  <si>
    <t>Ammortamenti produzione</t>
  </si>
  <si>
    <t>Assicurazioni industriali</t>
  </si>
  <si>
    <t>Prestazioni da terzi</t>
  </si>
  <si>
    <t>Manutenzioni</t>
  </si>
  <si>
    <t>Costi industriali</t>
  </si>
  <si>
    <t>Dettaglio altri costi generali:</t>
  </si>
  <si>
    <t>Energia</t>
  </si>
  <si>
    <t>Affitto uffici</t>
  </si>
  <si>
    <t>Consulenze</t>
  </si>
  <si>
    <t>Collegio Sindacale</t>
  </si>
  <si>
    <t>Certificazione bilanio</t>
  </si>
  <si>
    <t>Legali</t>
  </si>
  <si>
    <t>Emolumenti aministratori</t>
  </si>
  <si>
    <t>IT</t>
  </si>
  <si>
    <t>Assicurazioni generali</t>
  </si>
  <si>
    <t>Postali/telefono</t>
  </si>
  <si>
    <t>Auto</t>
  </si>
  <si>
    <t>Altri costi</t>
  </si>
  <si>
    <t>Dettaglio altri costi fissi:</t>
  </si>
  <si>
    <t>Sicurezza sul lavoro</t>
  </si>
  <si>
    <t>Consulenza paghe</t>
  </si>
  <si>
    <t>Fiscalista</t>
  </si>
  <si>
    <t>Totale consulenze</t>
  </si>
  <si>
    <t>Macchinari</t>
  </si>
  <si>
    <t>4 macchine</t>
  </si>
  <si>
    <t>Rischi prodotti</t>
  </si>
  <si>
    <t>Dipendenti</t>
  </si>
  <si>
    <t>Amministratori</t>
  </si>
  <si>
    <t>Totale assicurazioni</t>
  </si>
  <si>
    <t>ind</t>
  </si>
  <si>
    <t>All. 7 - Costo ammortamenti</t>
  </si>
  <si>
    <t>Costo storico (N-1)</t>
  </si>
  <si>
    <t>Acquisti (N)</t>
  </si>
  <si>
    <t>Dismissioni (N)</t>
  </si>
  <si>
    <t>Cespiti (N)</t>
  </si>
  <si>
    <t>Fondo (N-1)</t>
  </si>
  <si>
    <t>Amm.ti (N)</t>
  </si>
  <si>
    <t>Fondo (N)</t>
  </si>
  <si>
    <t>Prod.</t>
  </si>
  <si>
    <t>No prod.</t>
  </si>
  <si>
    <t>Impianti generici</t>
  </si>
  <si>
    <t>Macchinari specifici (linea poliuretano)</t>
  </si>
  <si>
    <t>Macchinari specifici (linea a molle)</t>
  </si>
  <si>
    <t>Arredi</t>
  </si>
  <si>
    <t>Macchine Elettroniche</t>
  </si>
  <si>
    <t>Mezzi interni di trasporto</t>
  </si>
  <si>
    <t>Beni inf.  a 516,46€</t>
  </si>
  <si>
    <t>Software in licenza</t>
  </si>
  <si>
    <t>Marchi e brevetti</t>
  </si>
  <si>
    <t>Spese lancio prodotto</t>
  </si>
  <si>
    <t>Spese di sviluppo</t>
  </si>
  <si>
    <t>di cui:</t>
  </si>
  <si>
    <t>materiali</t>
  </si>
  <si>
    <t>immateriali</t>
  </si>
  <si>
    <t>Aliquote amm.to</t>
  </si>
  <si>
    <t>Preconsutivo (N)</t>
  </si>
  <si>
    <t>Cespiti</t>
  </si>
  <si>
    <t>Amm.ti N</t>
  </si>
  <si>
    <t>Costo storico (N)</t>
  </si>
  <si>
    <t>Acquisti (N+1)</t>
  </si>
  <si>
    <t>Dismissioni (N+1)</t>
  </si>
  <si>
    <t>Cespiti (N+1)</t>
  </si>
  <si>
    <t>Amm.ti (N+1)</t>
  </si>
  <si>
    <t>Fondo (N+1)</t>
  </si>
  <si>
    <t>All. 8 - Cicli di lavorazione</t>
  </si>
  <si>
    <t>min/uomo</t>
  </si>
  <si>
    <t>min/macchina</t>
  </si>
  <si>
    <t>Fase 2</t>
  </si>
  <si>
    <t>Fase 1</t>
  </si>
  <si>
    <t>Fase 3</t>
  </si>
  <si>
    <t>Fase 4</t>
  </si>
  <si>
    <t>Fase 5</t>
  </si>
  <si>
    <t>All. 9 - Dati per calcolo tempo macchina a disposizione</t>
  </si>
  <si>
    <t>Linea molle</t>
  </si>
  <si>
    <t>Linea poliuretano</t>
  </si>
  <si>
    <t>Tempo macchina a disposizione:</t>
  </si>
  <si>
    <t>N. macchine</t>
  </si>
  <si>
    <t>gg lavoro macchina</t>
  </si>
  <si>
    <t>gg manutenzione (esterna) macchina</t>
  </si>
  <si>
    <t>ore turno</t>
  </si>
  <si>
    <t>Sedi:</t>
  </si>
  <si>
    <t>mq uffici</t>
  </si>
  <si>
    <t>mq produzione molle</t>
  </si>
  <si>
    <t>mq produzione poliuretano</t>
  </si>
  <si>
    <t>mq magazzino</t>
  </si>
  <si>
    <t>Valore riferimento:</t>
  </si>
  <si>
    <t>€/mq affitto uffici</t>
  </si>
  <si>
    <t>N.ro macchine:</t>
  </si>
  <si>
    <t>N. macchine molle</t>
  </si>
  <si>
    <t>N. macchine poliuretano</t>
  </si>
  <si>
    <t>N. righe in entrata merce</t>
  </si>
  <si>
    <t>N. righe spedizione</t>
  </si>
  <si>
    <t>All. 11 - Dati per riparto costo del lavoro</t>
  </si>
  <si>
    <t>Uomini diretti a disposizione</t>
  </si>
  <si>
    <t>linea molle</t>
  </si>
  <si>
    <t>linea poliuretano</t>
  </si>
  <si>
    <t>gg lavorabili uomo</t>
  </si>
  <si>
    <t>gg inventario uomo</t>
  </si>
  <si>
    <t>assenteismo individuale</t>
  </si>
  <si>
    <t>ore turno uomo</t>
  </si>
  <si>
    <t>ore straordinario uomo</t>
  </si>
  <si>
    <t>All. 10 - Dati per riparto costi</t>
  </si>
  <si>
    <t>Tab. 12 - Check capacità produttiva UOMO</t>
  </si>
  <si>
    <t>Prodotto molle</t>
  </si>
  <si>
    <t>Q produzione necessaria</t>
  </si>
  <si>
    <t>H necessarie</t>
  </si>
  <si>
    <t>gg uomo</t>
  </si>
  <si>
    <t>h disponibili</t>
  </si>
  <si>
    <t>delta h disponibili/necessarie</t>
  </si>
  <si>
    <t>nuova produzione</t>
  </si>
  <si>
    <t>h disponibili standard</t>
  </si>
  <si>
    <t>h straordinari</t>
  </si>
  <si>
    <t>h disponibili totali</t>
  </si>
  <si>
    <t>q prod. massima</t>
  </si>
  <si>
    <t>q necessaria</t>
  </si>
  <si>
    <t>q nuova produzione</t>
  </si>
  <si>
    <t>H necessarie (nuovo)</t>
  </si>
  <si>
    <t>Tab. 13 - Check capacità produttiva MACCHINA</t>
  </si>
  <si>
    <t>H macchine necessarie</t>
  </si>
  <si>
    <t>gg macchine</t>
  </si>
  <si>
    <t>manutenzione</t>
  </si>
  <si>
    <t>n.ro macchine</t>
  </si>
  <si>
    <t>h turno</t>
  </si>
  <si>
    <t>H macchine necessarie (nuovo)</t>
  </si>
  <si>
    <t>Tab.14 - Configurazione di costo: VARIABILE INDUSTRIALE</t>
  </si>
  <si>
    <t>Altri costi variabili</t>
  </si>
  <si>
    <t>€/pezzo</t>
  </si>
  <si>
    <t>Costo standard minuto macchina variabile:</t>
  </si>
  <si>
    <t>ore disponibili</t>
  </si>
  <si>
    <t>quantità da produrre</t>
  </si>
  <si>
    <t>ore necessarie</t>
  </si>
  <si>
    <t xml:space="preserve"> </t>
  </si>
  <si>
    <t>Forza motrice</t>
  </si>
  <si>
    <t>Costo standard minuto</t>
  </si>
  <si>
    <t>Costo standard minuto uomini DIRETTI:</t>
  </si>
  <si>
    <t>Costo MOD</t>
  </si>
  <si>
    <t>Quantità da produrre</t>
  </si>
  <si>
    <t>Costo lavoro diretto assorbito</t>
  </si>
  <si>
    <t>Costo lavoro diretto non assorbito</t>
  </si>
  <si>
    <t>Costo standard minuto macchina DIRETTI:</t>
  </si>
  <si>
    <t>Costi diretti industriali</t>
  </si>
  <si>
    <t>Costo standard orario MOD</t>
  </si>
  <si>
    <t>Costo standard minuto MOD</t>
  </si>
  <si>
    <t>Costo standard minuto CDI</t>
  </si>
  <si>
    <t>Costo standard orario CDI</t>
  </si>
  <si>
    <t>Tab.16 - Configurazione di costo: DIRETTO INDUSTRIALE</t>
  </si>
  <si>
    <t>Tab.15 - Budget degli altri costi fissi</t>
  </si>
  <si>
    <t>Altri costi diretti industriali assorbiti</t>
  </si>
  <si>
    <t>Altri costi diretti industriali non assorbiti</t>
  </si>
  <si>
    <t>Costo industriale lavoro indiretto</t>
  </si>
  <si>
    <t>Altri costi industriali</t>
  </si>
  <si>
    <t>Basi di riparto</t>
  </si>
  <si>
    <t>n. righe</t>
  </si>
  <si>
    <t>mq</t>
  </si>
  <si>
    <t>60€/mq*uff</t>
  </si>
  <si>
    <t>diretti</t>
  </si>
  <si>
    <t>n. macchine</t>
  </si>
  <si>
    <t>Produzione diretti MOLLE</t>
  </si>
  <si>
    <t>Produzione diretti POLIURETANO</t>
  </si>
  <si>
    <t>Commerciali</t>
  </si>
  <si>
    <t>Uffici</t>
  </si>
  <si>
    <t>Produzione 
indiretti</t>
  </si>
  <si>
    <t>Magazzino 
indiretti</t>
  </si>
  <si>
    <t>comm</t>
  </si>
  <si>
    <t>Tab.17 - Configurazione di costo: INDUSTRIALE PIENO</t>
  </si>
  <si>
    <t>Costi diretti</t>
  </si>
  <si>
    <t>Costi indiretti</t>
  </si>
  <si>
    <t>Costo standard minuto uomini INDIRETTI:</t>
  </si>
  <si>
    <t>Costo uomini indiretti</t>
  </si>
  <si>
    <t>Costi indiretti industriali</t>
  </si>
  <si>
    <t>Costo standard orario CII</t>
  </si>
  <si>
    <t>Costo standard minuto CII</t>
  </si>
  <si>
    <t>Totale  costi indiretti non assorbiti</t>
  </si>
  <si>
    <t>Totale  costi diretti non assorbiti</t>
  </si>
  <si>
    <t>Agente 1</t>
  </si>
  <si>
    <t>Agente 2</t>
  </si>
  <si>
    <t>Agente 3</t>
  </si>
  <si>
    <t>Agente 4</t>
  </si>
  <si>
    <t>Agente 5</t>
  </si>
  <si>
    <t>Agente 6</t>
  </si>
  <si>
    <t>Agente 7</t>
  </si>
  <si>
    <t>Agente 8</t>
  </si>
  <si>
    <t>Agente 9</t>
  </si>
  <si>
    <t>Agente 10</t>
  </si>
  <si>
    <t>Agente 11</t>
  </si>
  <si>
    <t>Agente 12</t>
  </si>
  <si>
    <t>Agente 13</t>
  </si>
  <si>
    <t>Agente 14</t>
  </si>
  <si>
    <t>Agente 15</t>
  </si>
  <si>
    <t>Agente 16</t>
  </si>
  <si>
    <t>Agente 17</t>
  </si>
  <si>
    <t>Agente 18</t>
  </si>
  <si>
    <t>Agente 19</t>
  </si>
  <si>
    <t>Agente 20</t>
  </si>
  <si>
    <t>Agente 21</t>
  </si>
  <si>
    <t>Agente 22</t>
  </si>
  <si>
    <t>Agente 23</t>
  </si>
  <si>
    <t>Agente 24</t>
  </si>
  <si>
    <t>Agente 25</t>
  </si>
  <si>
    <t>Agente 26</t>
  </si>
  <si>
    <t>Agente 27</t>
  </si>
  <si>
    <t>Agente 28</t>
  </si>
  <si>
    <t>Agente 29</t>
  </si>
  <si>
    <t>Agente 30</t>
  </si>
  <si>
    <t>Agente 31</t>
  </si>
  <si>
    <t>Agente 32</t>
  </si>
  <si>
    <t>Agente 33</t>
  </si>
  <si>
    <t>Agente 34</t>
  </si>
  <si>
    <t>Agente 35</t>
  </si>
  <si>
    <t>Agente 36</t>
  </si>
  <si>
    <t>Agente 37</t>
  </si>
  <si>
    <t>Agente 38</t>
  </si>
  <si>
    <t>Agente 39</t>
  </si>
  <si>
    <t>Agente 40</t>
  </si>
  <si>
    <t>Agente 41</t>
  </si>
  <si>
    <t>Agente 42</t>
  </si>
  <si>
    <t>Agente 43</t>
  </si>
  <si>
    <t>Agente 44</t>
  </si>
  <si>
    <t>Agente 45</t>
  </si>
  <si>
    <t>Agente 46</t>
  </si>
  <si>
    <t>Agente 47</t>
  </si>
  <si>
    <t>Agente 48</t>
  </si>
  <si>
    <t>Agente 49</t>
  </si>
  <si>
    <t>Agente 50</t>
  </si>
  <si>
    <t>Agente 51</t>
  </si>
  <si>
    <t>Agente 52</t>
  </si>
  <si>
    <t>Agente 53</t>
  </si>
  <si>
    <t>Agente 54</t>
  </si>
  <si>
    <t>Agente 55</t>
  </si>
  <si>
    <t>Agente 56</t>
  </si>
  <si>
    <t>Agente 57</t>
  </si>
  <si>
    <t>Agente 58</t>
  </si>
  <si>
    <t>Agente 59</t>
  </si>
  <si>
    <t>Agente 60</t>
  </si>
  <si>
    <t>Agente 61</t>
  </si>
  <si>
    <t>Agente 62</t>
  </si>
  <si>
    <t>Agente 63</t>
  </si>
  <si>
    <t>Agente 64</t>
  </si>
  <si>
    <t>Agente 65</t>
  </si>
  <si>
    <t>Agente 66</t>
  </si>
  <si>
    <t>Agente 67</t>
  </si>
  <si>
    <t>Agente 68</t>
  </si>
  <si>
    <t>Agente 69</t>
  </si>
  <si>
    <t>Agente 70</t>
  </si>
  <si>
    <t>Agente 71</t>
  </si>
  <si>
    <t>Agente 72</t>
  </si>
  <si>
    <t>Agente 73</t>
  </si>
  <si>
    <t>Agente 74</t>
  </si>
  <si>
    <t>Agente 75</t>
  </si>
  <si>
    <t>Agente 76</t>
  </si>
  <si>
    <t>Agente 77</t>
  </si>
  <si>
    <t>Agente 78</t>
  </si>
  <si>
    <t>Agente 79</t>
  </si>
  <si>
    <t>Agente 80</t>
  </si>
  <si>
    <t>Agente 81</t>
  </si>
  <si>
    <t>Agente 82</t>
  </si>
  <si>
    <t>Agente 83</t>
  </si>
  <si>
    <t>Agente 84</t>
  </si>
  <si>
    <t>Agente 85</t>
  </si>
  <si>
    <t>Agente 86</t>
  </si>
  <si>
    <t>Agente 87</t>
  </si>
  <si>
    <t>Agente 88</t>
  </si>
  <si>
    <t>Agente 89</t>
  </si>
  <si>
    <t>Agente 90</t>
  </si>
  <si>
    <t>Agente 91</t>
  </si>
  <si>
    <t>Agente 92</t>
  </si>
  <si>
    <t>Agente 93</t>
  </si>
  <si>
    <t>Agente 94</t>
  </si>
  <si>
    <t>Agente 95</t>
  </si>
  <si>
    <t>Agente 96</t>
  </si>
  <si>
    <t>Agente 97</t>
  </si>
  <si>
    <t>Agente 98</t>
  </si>
  <si>
    <t>Agente 99</t>
  </si>
  <si>
    <t>Agente 100</t>
  </si>
  <si>
    <t>Agente 101</t>
  </si>
  <si>
    <t>Agente 102</t>
  </si>
  <si>
    <t>Agente 103</t>
  </si>
  <si>
    <t>Agente 104</t>
  </si>
  <si>
    <t>Agente 105</t>
  </si>
  <si>
    <t>Agente 106</t>
  </si>
  <si>
    <t>Agente 107</t>
  </si>
  <si>
    <t>Agente 108</t>
  </si>
  <si>
    <t>Agente 109</t>
  </si>
  <si>
    <t>Agente 110</t>
  </si>
  <si>
    <t>Agente 111</t>
  </si>
  <si>
    <t>Agente 112</t>
  </si>
  <si>
    <t>Agente 113</t>
  </si>
  <si>
    <t>Agente 114</t>
  </si>
  <si>
    <t>Agente 115</t>
  </si>
  <si>
    <t>Agente 116</t>
  </si>
  <si>
    <t>Agente 117</t>
  </si>
  <si>
    <t>Agente 118</t>
  </si>
  <si>
    <t>Agente 119</t>
  </si>
  <si>
    <t>Agente 120</t>
  </si>
  <si>
    <t>Agente 121</t>
  </si>
  <si>
    <t>Agente 122</t>
  </si>
  <si>
    <t>Totale vecchi agenti (N)</t>
  </si>
  <si>
    <t>Totale nuovi agenti (N+1)</t>
  </si>
  <si>
    <t>Totale canale televendite</t>
  </si>
  <si>
    <t>Totale canale GDO</t>
  </si>
  <si>
    <t>Totale azienda</t>
  </si>
  <si>
    <t>%</t>
  </si>
  <si>
    <t>Provvigioni</t>
  </si>
  <si>
    <t>% provvigioni</t>
  </si>
  <si>
    <t>Totale canale tradizionale</t>
  </si>
  <si>
    <t>Fatturato Molle</t>
  </si>
  <si>
    <t>Fatturato Poliuretano</t>
  </si>
  <si>
    <t>FatturatoTotale</t>
  </si>
  <si>
    <t>Integrazione</t>
  </si>
  <si>
    <t>Incentivo</t>
  </si>
  <si>
    <t>var. totale</t>
  </si>
  <si>
    <t>check trad.</t>
  </si>
  <si>
    <t>check gdo</t>
  </si>
  <si>
    <t>fatturato vecchi agenti</t>
  </si>
  <si>
    <t>fatturato nuovi agenti</t>
  </si>
  <si>
    <t>var. molle vecchi agenti</t>
  </si>
  <si>
    <t>var. poliuretano vecchi agenti</t>
  </si>
  <si>
    <t>incentivo su incr. fatturato</t>
  </si>
  <si>
    <t>All. 12 - Dati stima vendite per agente</t>
  </si>
  <si>
    <t>Tab. 18 - Budget vendite per agente</t>
  </si>
  <si>
    <t>Tabella 19 - Budget provvigioni, integrazione e incentivi ad agenti mensilizzati</t>
  </si>
  <si>
    <t>provvigioni</t>
  </si>
  <si>
    <t>integrazione</t>
  </si>
  <si>
    <t>limite minimo compenso nuovi agenti trad. (gruppo 1)</t>
  </si>
  <si>
    <t>Integrazioni</t>
  </si>
  <si>
    <t>incentivo</t>
  </si>
  <si>
    <t>totale costo agenti</t>
  </si>
  <si>
    <t>fatturato molle+pol.</t>
  </si>
  <si>
    <t>Bdg</t>
  </si>
  <si>
    <t>Tabella 20 - Budget costi di promozione e televendita mensilizzati</t>
  </si>
  <si>
    <t>Costi promozione e televendita</t>
  </si>
  <si>
    <t>Tabella 21 - Budget costi di trasporto mensilizzati</t>
  </si>
  <si>
    <t>€/collo</t>
  </si>
  <si>
    <t>Costo trasporto su vendite</t>
  </si>
  <si>
    <t>N. colli</t>
  </si>
  <si>
    <t>Costo trasporto</t>
  </si>
  <si>
    <t>Costo del venduto</t>
  </si>
  <si>
    <t>Margine 1°</t>
  </si>
  <si>
    <t>Costo del lavoro commerciale</t>
  </si>
  <si>
    <t>Assicurazioni prodotti</t>
  </si>
  <si>
    <t>Costi commerciali</t>
  </si>
  <si>
    <t>Svalutazione crediti</t>
  </si>
  <si>
    <t>Costo del lavoro g&amp;a</t>
  </si>
  <si>
    <t>Fatturato Netto</t>
  </si>
  <si>
    <t>Margine 2°</t>
  </si>
  <si>
    <t>Costi industriali indiretti</t>
  </si>
  <si>
    <t>Costi industriali diretti</t>
  </si>
  <si>
    <t>Margine industriale pieno</t>
  </si>
  <si>
    <t>Provvigioni, incentivi e altri costi agenti</t>
  </si>
  <si>
    <t>Costo standard minuto macchina INDIRETTI:</t>
  </si>
  <si>
    <t>Tabella 21 - Budget dei costi commerciali e dei costi generali-amministrativi (riepilogo)</t>
  </si>
  <si>
    <t>Promozione e televendita</t>
  </si>
  <si>
    <t>MOD indiretti</t>
  </si>
  <si>
    <t>Controllo</t>
  </si>
  <si>
    <t>Ammortamenti g&amp;a</t>
  </si>
  <si>
    <t>Costi generali e amministrativi</t>
  </si>
  <si>
    <t>g&amp;a</t>
  </si>
  <si>
    <t>Consulenze g&amp;a</t>
  </si>
  <si>
    <t>Assicurazioni dipendenti</t>
  </si>
  <si>
    <t>Assicurazioni amministratori</t>
  </si>
  <si>
    <t>Altri costi fissi g&amp;a</t>
  </si>
  <si>
    <t>Conto economico a costi e ricavi della produzione venduta</t>
  </si>
  <si>
    <t>Conto economico a costi e ricavi della produzione allestita</t>
  </si>
  <si>
    <t>Variazione nei prodotti</t>
  </si>
  <si>
    <t>Tab.  23 - Valorizzazione delle rimanenze di prodotti</t>
  </si>
  <si>
    <t>Configurazione di costo INDUSTRIALE VARIABILE</t>
  </si>
  <si>
    <t>- Vendite</t>
  </si>
  <si>
    <t>+ Produzione necessaria</t>
  </si>
  <si>
    <t>= Giacenza finale</t>
  </si>
  <si>
    <t>Valore Globale della produzione</t>
  </si>
  <si>
    <t>Costo della produzione ottenuta</t>
  </si>
  <si>
    <t>Totale rimanenze prodotti</t>
  </si>
  <si>
    <t>Costi diretti capacità non utilizzata</t>
  </si>
  <si>
    <t>Consumi di materie prime</t>
  </si>
  <si>
    <t>Q prodotte</t>
  </si>
  <si>
    <t>Costo produzione allestita</t>
  </si>
  <si>
    <t>- var. prodotti</t>
  </si>
  <si>
    <t>Costi diretti UOMO + MACCHINA</t>
  </si>
  <si>
    <t>Configurazione di costo INDUSTRIALE DIRETTO</t>
  </si>
  <si>
    <t>Tab. 24 - Confronto costo del venduto/costo produzione ottenuta con configurazione di costo INDUSTRIALE VARIABILE</t>
  </si>
  <si>
    <t>Costi indiretti UOMO +. MACCHINA</t>
  </si>
  <si>
    <t>Configurazione di costo INDUSTRIALE PIENO</t>
  </si>
  <si>
    <t>Costi capacità non utilizzata</t>
  </si>
  <si>
    <t>- Var. rimanenze prodotti</t>
  </si>
  <si>
    <t>Costo d'acquisto materie prime</t>
  </si>
  <si>
    <t>- Var. rimanenze materie prime</t>
  </si>
  <si>
    <t>Var. materie prime</t>
  </si>
  <si>
    <t>MOD diretta</t>
  </si>
  <si>
    <t>MOD</t>
  </si>
  <si>
    <t>Altri costi industriali diretti</t>
  </si>
  <si>
    <t>MOD indiretta</t>
  </si>
  <si>
    <t>Altri costi industriali indiretti</t>
  </si>
  <si>
    <t xml:space="preserve">Costi (diretti) capacità non utilizzata </t>
  </si>
  <si>
    <t>Tab. 29 - Bdg economico mensilizzato a costo del venduto con configurazione di costo INDUSTRIALE PIENO</t>
  </si>
  <si>
    <t>Costi indiretti UOMO + MACCHINA</t>
  </si>
  <si>
    <t xml:space="preserve">Costi (indiretti) capacità non utilizzata </t>
  </si>
  <si>
    <t>Tab. 25 - Confronto costo del venduto/costo produzione ottenuta con configurazione di costo INDUSTRIALE DIRETTO</t>
  </si>
  <si>
    <t>Tab. 26 - Confronto costo del venduto/costo produzione ottenuta con configurazione di costo INDUSTRIALE PIENO</t>
  </si>
  <si>
    <t>Tab. 27 - Bdg economico mensilizzato a costo del venduto con configurazione di costo INDUSTRIALE VARIABILE</t>
  </si>
  <si>
    <t>Tab. 28 - Bdg economico mensilizzato a costo del venduto con configurazione di costo INDUSTRIALE DIRETTO</t>
  </si>
  <si>
    <t>Fatturato totale</t>
  </si>
  <si>
    <t xml:space="preserve">fatturato </t>
  </si>
  <si>
    <t>Acquisti materie prime</t>
  </si>
  <si>
    <t>fatturato</t>
  </si>
  <si>
    <t>Totale fatturato</t>
  </si>
  <si>
    <t>Iva su vendite</t>
  </si>
  <si>
    <t>Iva su acquisti</t>
  </si>
  <si>
    <t>Crediti inziali</t>
  </si>
  <si>
    <t>Crediti finali tradizionale</t>
  </si>
  <si>
    <t>Crediti finali televendite</t>
  </si>
  <si>
    <t>Canale gdo</t>
  </si>
  <si>
    <t>Crediti v/clienti canale tradizionale</t>
  </si>
  <si>
    <t>Crediti v/clienti canale televendite</t>
  </si>
  <si>
    <t>Crediti v/clienti canale GDO</t>
  </si>
  <si>
    <t>Tab. 30 - Programmazione delle entrate Operative</t>
  </si>
  <si>
    <t>Fattura</t>
  </si>
  <si>
    <t>Collegio sindacale</t>
  </si>
  <si>
    <t>Certificazione di bilancio</t>
  </si>
  <si>
    <t>Assicurazioni</t>
  </si>
  <si>
    <t>Emolumenti amministratori</t>
  </si>
  <si>
    <t>trimestrale posticipata</t>
  </si>
  <si>
    <t>trimestrale anticipata</t>
  </si>
  <si>
    <t>bimestrale posticipta</t>
  </si>
  <si>
    <t>mensile competenza</t>
  </si>
  <si>
    <t>semestrale posticipata</t>
  </si>
  <si>
    <t>annuale anticipata</t>
  </si>
  <si>
    <t>annuale posticipata</t>
  </si>
  <si>
    <t>Dilazione pagamento</t>
  </si>
  <si>
    <t>Debiti in scadenza a gen (N+1)</t>
  </si>
  <si>
    <t>giorni di dilazione</t>
  </si>
  <si>
    <t>acquisti pagamento 60 gg</t>
  </si>
  <si>
    <t>acquisti pagamento 90 gg</t>
  </si>
  <si>
    <t>acquisti pagamento 120 gg</t>
  </si>
  <si>
    <t>acquisti di materie prime</t>
  </si>
  <si>
    <t>Tab. 31 - Uscite per acquisti materie prime</t>
  </si>
  <si>
    <t>acquisti 1</t>
  </si>
  <si>
    <t>acquisti 2</t>
  </si>
  <si>
    <t>acquisti 3</t>
  </si>
  <si>
    <t>RF Fornitori mp 2</t>
  </si>
  <si>
    <t>RF Fornitori mp 1</t>
  </si>
  <si>
    <t>RF Fornitori mp 3</t>
  </si>
  <si>
    <t>RI Fornitori mp 1</t>
  </si>
  <si>
    <t>RI Fornitori mp 2</t>
  </si>
  <si>
    <t>RI Fornitori mp 3</t>
  </si>
  <si>
    <t>RI Fornitori mp</t>
  </si>
  <si>
    <t>RF Fornitori mp</t>
  </si>
  <si>
    <t>IVA su acquisti materie prime</t>
  </si>
  <si>
    <t>Debiti verso fornitori di materie prime</t>
  </si>
  <si>
    <t>Tab. 31 - Uscite per acquisti di altri beni e servizi (escluso lavoro)</t>
  </si>
  <si>
    <t>Costi di competenza</t>
  </si>
  <si>
    <t>fatturazione</t>
  </si>
  <si>
    <t>bimestrale posticipata</t>
  </si>
  <si>
    <t>costi totali operativi</t>
  </si>
  <si>
    <t>- costo lavoro</t>
  </si>
  <si>
    <t>- ammortamenti</t>
  </si>
  <si>
    <t>- consumo materie prime</t>
  </si>
  <si>
    <t>totale altri costi</t>
  </si>
  <si>
    <t>differenziale</t>
  </si>
  <si>
    <t>- Pagamenti</t>
  </si>
  <si>
    <t>RF debiti verso fornitori di servizi</t>
  </si>
  <si>
    <t>RF risconti attivi</t>
  </si>
  <si>
    <t>RF ratei passivi</t>
  </si>
  <si>
    <t>Fatturazione</t>
  </si>
  <si>
    <t>Debito in scadenza a gennaio</t>
  </si>
  <si>
    <t>+ Acquisti (+iva)</t>
  </si>
  <si>
    <t>+ Rilevazione costo di competenza</t>
  </si>
  <si>
    <t>- Decremento momento di fatturazione</t>
  </si>
  <si>
    <t>+ Acquisti</t>
  </si>
  <si>
    <t>Uscite per acquisto servizi non durevoli</t>
  </si>
  <si>
    <t>Costo d'acquisto (+IVA)</t>
  </si>
  <si>
    <t>- var. risconti attivi</t>
  </si>
  <si>
    <t>costo di competenza</t>
  </si>
  <si>
    <t>+var. ratei passivi</t>
  </si>
  <si>
    <t>Debiti verso fornitori di servizi non durevoli</t>
  </si>
  <si>
    <t>Risconti attivi</t>
  </si>
  <si>
    <t>Ratei passivi</t>
  </si>
  <si>
    <t>+ Var. risconti attivi</t>
  </si>
  <si>
    <t>- Variazione debiti verso fornitori di servizi</t>
  </si>
  <si>
    <t>- emolumenti</t>
  </si>
  <si>
    <t>CHECK:</t>
  </si>
  <si>
    <t>Servizi di uso non durevole:</t>
  </si>
  <si>
    <t>Tab. 32 - Uscite per emolumenti amministratori</t>
  </si>
  <si>
    <t>RI debito verso amministratori</t>
  </si>
  <si>
    <t>+ Emolumenti</t>
  </si>
  <si>
    <t>RF debiti verso amministratori</t>
  </si>
  <si>
    <t>Esborsi per emolumenti amministratori</t>
  </si>
  <si>
    <t>Acquisti servizi non durevoli</t>
  </si>
  <si>
    <t>Tab. 32 - Uscite legate al costo del lavoro</t>
  </si>
  <si>
    <t>All. 13 - Dati input per determinazione flussi di cassa</t>
  </si>
  <si>
    <t>All. 14 - Dati per calcolo uscite personale</t>
  </si>
  <si>
    <t>Retribuzione personale</t>
  </si>
  <si>
    <t>RI rateo 14ma</t>
  </si>
  <si>
    <t>+ costo di competenza</t>
  </si>
  <si>
    <t>- pagamento</t>
  </si>
  <si>
    <t>Retribuzioni dic (N)</t>
  </si>
  <si>
    <t>Contributi su retr. dic (N) da pagare a gen (N+1)</t>
  </si>
  <si>
    <t>Contributi su 13ma (N) da pagare a gen (N+1)</t>
  </si>
  <si>
    <t>RF rateo 14ma</t>
  </si>
  <si>
    <t>RI rateo 13ma</t>
  </si>
  <si>
    <t>RF rateo 13ma</t>
  </si>
  <si>
    <t>Rateo iniziale 13ma</t>
  </si>
  <si>
    <t>RI Fondo TFR</t>
  </si>
  <si>
    <t>+ costo competenza</t>
  </si>
  <si>
    <t>- pagamenti</t>
  </si>
  <si>
    <t>RF Fondo TFR</t>
  </si>
  <si>
    <t>Fondo TFR a fine esercizio N</t>
  </si>
  <si>
    <t>Retribuzione lorda</t>
  </si>
  <si>
    <t>- contributi a carico del lavoratore</t>
  </si>
  <si>
    <t>- ritenute fiscali</t>
  </si>
  <si>
    <t>= Retribuzione in busta paga</t>
  </si>
  <si>
    <t>= 13ma in busta paga</t>
  </si>
  <si>
    <t>RI debito v/istituti previdenziali</t>
  </si>
  <si>
    <t>Uscite retribuzione</t>
  </si>
  <si>
    <t>Uscite contributi a carico del lavoratore</t>
  </si>
  <si>
    <t>Uscite ritenute fiscali</t>
  </si>
  <si>
    <t>Uscite 13ma</t>
  </si>
  <si>
    <t>= 14ma in busta paga</t>
  </si>
  <si>
    <t>Uscite 14ma</t>
  </si>
  <si>
    <t>Uscite contributi a carico del datore di lavoro (retr.)</t>
  </si>
  <si>
    <t>Uscite contributi a carico del datore di lavoro (13ma)</t>
  </si>
  <si>
    <t>Uscite contributi a carico del datore di lavoro (14ma)</t>
  </si>
  <si>
    <t>Uscite connesse al costo del lavoro</t>
  </si>
  <si>
    <t>RI debiti verso personale</t>
  </si>
  <si>
    <t>RF debiti verso personale</t>
  </si>
  <si>
    <t>Retribuzioni da pagare a gen (N+1)</t>
  </si>
  <si>
    <t>- rilevazione debito verso personale</t>
  </si>
  <si>
    <t>- rilevazione debito v/istituti di previdenza</t>
  </si>
  <si>
    <t>- rilevazione debito v/erario</t>
  </si>
  <si>
    <t>Retribuzioni nette in busta dic (N)</t>
  </si>
  <si>
    <t>13ma (N)</t>
  </si>
  <si>
    <t>13ma netta in busta dic (N)</t>
  </si>
  <si>
    <t>14ma (N) II sem</t>
  </si>
  <si>
    <t>14ma netta</t>
  </si>
  <si>
    <t>Contributi su 14ma (N) maturati da pagare a lug (N+1)</t>
  </si>
  <si>
    <t>+ netto in busta</t>
  </si>
  <si>
    <t>+ quota a carico del lavoratore</t>
  </si>
  <si>
    <t>+ quota a carico del datore di lavoro (costo)</t>
  </si>
  <si>
    <t>contributi a carico del datore di lavoro</t>
  </si>
  <si>
    <t>Costo del lavoro di competenza</t>
  </si>
  <si>
    <t>RF debito v/istituti previdenziali</t>
  </si>
  <si>
    <t>RI debito v/erario per ritenute fiscali</t>
  </si>
  <si>
    <t>+ incremento per ritenute effettuate</t>
  </si>
  <si>
    <t>RF debito v/erario per ritenute fiscali</t>
  </si>
  <si>
    <t>costo del personale</t>
  </si>
  <si>
    <t>- var. debito personale</t>
  </si>
  <si>
    <t>- var. debiti v/istituti previdenziali</t>
  </si>
  <si>
    <t>- var. debiti v/erario per ritenute</t>
  </si>
  <si>
    <t>- var. rateo 13ma/14ma</t>
  </si>
  <si>
    <t>- var. fondo tfr</t>
  </si>
  <si>
    <t>= uscite personale</t>
  </si>
  <si>
    <t>Esborsi verso il personale</t>
  </si>
  <si>
    <t>Esborsi per contributi previdenziali</t>
  </si>
  <si>
    <t>Esborsi per ritenute fiscali</t>
  </si>
  <si>
    <t>Debiti verso personale</t>
  </si>
  <si>
    <t>Debiti verso istituti previdenziali</t>
  </si>
  <si>
    <t>Debiti verso erario</t>
  </si>
  <si>
    <t>Ratei 13ma, 14ma</t>
  </si>
  <si>
    <t>- Variazione debiti vari connessi al personale</t>
  </si>
  <si>
    <t>Tab. 35 - Budget degli investimenti in capitali fissi</t>
  </si>
  <si>
    <t>+ Investimenti</t>
  </si>
  <si>
    <t>- Dismissioni</t>
  </si>
  <si>
    <t>RI capitali fissi (valore lordo)</t>
  </si>
  <si>
    <t>RF capitali fissi (valore lordo)</t>
  </si>
  <si>
    <t xml:space="preserve">RI Fondo amm.to </t>
  </si>
  <si>
    <t xml:space="preserve">RF Fondo amm.to </t>
  </si>
  <si>
    <t>Investimenti</t>
  </si>
  <si>
    <t>gennaio</t>
  </si>
  <si>
    <t>+ Ammortamenti</t>
  </si>
  <si>
    <t>RF capitali fissi (valore netto)</t>
  </si>
  <si>
    <t>RI fornitori di capitali fissi</t>
  </si>
  <si>
    <t>RF fornitori di capitali fissi</t>
  </si>
  <si>
    <t>Esborsi per investimenti</t>
  </si>
  <si>
    <t>= Esborso personale</t>
  </si>
  <si>
    <t>+Variazione capitali fissi</t>
  </si>
  <si>
    <t>- Variazione debiti fornitori di capitali fissi</t>
  </si>
  <si>
    <t>(N)</t>
  </si>
  <si>
    <t>BUDGET (N+1)</t>
  </si>
  <si>
    <t>Debiti verso fornitori di capitali fissi</t>
  </si>
  <si>
    <t xml:space="preserve"> IVA su investimenti</t>
  </si>
  <si>
    <t>Tab. 36 - IVA</t>
  </si>
  <si>
    <t>IVA su vendite a debito</t>
  </si>
  <si>
    <t>IVA a credito</t>
  </si>
  <si>
    <t>Saldo iva debito (+)/ iva a credito (-)</t>
  </si>
  <si>
    <t>IVA da liquidare</t>
  </si>
  <si>
    <t>Rimanenza iniziale debito/(credito) IVA</t>
  </si>
  <si>
    <t>Rimanenza finale debito/(credito) IVA</t>
  </si>
  <si>
    <t>Uscite per IVA</t>
  </si>
  <si>
    <t>-Fondo svalutazione crediti</t>
  </si>
  <si>
    <t>- Svalutazione crediti</t>
  </si>
  <si>
    <t>Esborsi per rimborso quota capitale mutui</t>
  </si>
  <si>
    <t>Tab. 37 - Budget dei debiti di finanziamento diretto</t>
  </si>
  <si>
    <t>+ Erogazioni nuovi mutui</t>
  </si>
  <si>
    <t>debiti finanziari a lungo termine</t>
  </si>
  <si>
    <t>Esborsi per rimborso quota interessi sui mutui</t>
  </si>
  <si>
    <t>Esborsi connessi a debiti di finanziamento diretto di lungo termine</t>
  </si>
  <si>
    <t>PFN a breve termine</t>
  </si>
  <si>
    <t>Esborsi per pagamento interessi su PFN a breve</t>
  </si>
  <si>
    <t>Var. (PFN a breve)</t>
  </si>
  <si>
    <t>+ Var. PFN a breve termine</t>
  </si>
  <si>
    <t>PFN a breve (N)</t>
  </si>
  <si>
    <t>gen (N+1)</t>
  </si>
  <si>
    <t>feb (N+1)</t>
  </si>
  <si>
    <t>mar (N+1)</t>
  </si>
  <si>
    <t>apr (N+1)</t>
  </si>
  <si>
    <t>mag (N+1)</t>
  </si>
  <si>
    <t>giu (N+1)</t>
  </si>
  <si>
    <t>lug (N+1)</t>
  </si>
  <si>
    <t>ago (N+1)</t>
  </si>
  <si>
    <t>set (N+1)</t>
  </si>
  <si>
    <t>ott (N+1)</t>
  </si>
  <si>
    <t>nov (N+1)</t>
  </si>
  <si>
    <t>dic (N+1)</t>
  </si>
  <si>
    <t>PFN a breve (N+1)</t>
  </si>
  <si>
    <t>Oneri finanziari</t>
  </si>
  <si>
    <t>Risultato economico (ante imposte)</t>
  </si>
  <si>
    <t>- Variazione debiti finanziari a lungo termine</t>
  </si>
  <si>
    <t>+ AMMORTAMENTI</t>
  </si>
  <si>
    <t>MOL</t>
  </si>
  <si>
    <t>FCFO</t>
  </si>
  <si>
    <t>- VAR. CREDITI OPERATIVI</t>
  </si>
  <si>
    <t>- VAR. SCORTE</t>
  </si>
  <si>
    <t>+ VAR. DEBITI OPERATIVI</t>
  </si>
  <si>
    <t>AMMORTAMENTI</t>
  </si>
  <si>
    <t>- VAR. CAPITALI FISSI</t>
  </si>
  <si>
    <t>+ VAR. DEBITI DI FORN. DI CF</t>
  </si>
  <si>
    <t>= FCFI</t>
  </si>
  <si>
    <t>ONERI FINANZIARI</t>
  </si>
  <si>
    <t>+ VAR. MUTUI</t>
  </si>
  <si>
    <t>+ OP. CN</t>
  </si>
  <si>
    <t>= FCFF</t>
  </si>
  <si>
    <t>+ Var. prodotti finiti</t>
  </si>
  <si>
    <t>= Valore globale della produzione</t>
  </si>
  <si>
    <t>Personale</t>
  </si>
  <si>
    <t>Incentivi</t>
  </si>
  <si>
    <t>Totalecosto agenti</t>
  </si>
  <si>
    <t>Costo servizi di uso non durevole</t>
  </si>
  <si>
    <t>- IVA SU INVESTIMENTI</t>
  </si>
  <si>
    <t>COSTO MENSILE MOD</t>
  </si>
  <si>
    <t>COSTO MOD 1° SCHEMA</t>
  </si>
  <si>
    <t>COSTO MOD 2° SCHEMA</t>
  </si>
  <si>
    <t>Costo servizi di uso non durevole:</t>
  </si>
  <si>
    <t>Costi gen&amp;amm.</t>
  </si>
  <si>
    <t>Indiretti</t>
  </si>
  <si>
    <t>indiretti industriali</t>
  </si>
  <si>
    <t>indiretti comm</t>
  </si>
  <si>
    <t>indiretti g&amp;a</t>
  </si>
  <si>
    <t>Personale:</t>
  </si>
  <si>
    <t>Ammortamenti:</t>
  </si>
  <si>
    <t>commerciali</t>
  </si>
  <si>
    <t>industriali</t>
  </si>
  <si>
    <t>H assorbite molle</t>
  </si>
  <si>
    <t>H straordinari molle</t>
  </si>
  <si>
    <t>H molle non utilizzate</t>
  </si>
  <si>
    <t>Costo MOD assorbito ordinario</t>
  </si>
  <si>
    <t>Costo MOD non assorbito</t>
  </si>
  <si>
    <t>Costo MOD molle assorbito ordinario</t>
  </si>
  <si>
    <t>Costo MOD molle assorbito straordinario</t>
  </si>
  <si>
    <t>Costo MOD molle non assorbito</t>
  </si>
  <si>
    <t>Costo MOD totale</t>
  </si>
  <si>
    <t>H assorbite pol.</t>
  </si>
  <si>
    <t>H non utilizzate pol.</t>
  </si>
  <si>
    <t>Costo MOD pol. assorbito ordinario</t>
  </si>
  <si>
    <t>Costo MOD pol. non assorbito</t>
  </si>
  <si>
    <t>H straordinari pol.</t>
  </si>
  <si>
    <t>Costo MOD straordinario</t>
  </si>
  <si>
    <t>Costo MOD pol. assorbito straordinario</t>
  </si>
  <si>
    <t>- assenteismo</t>
  </si>
  <si>
    <t>- inventario</t>
  </si>
  <si>
    <t>H necessarie (ord+str.)</t>
  </si>
  <si>
    <t>di cui: H straordinarie</t>
  </si>
  <si>
    <t>Straordinari</t>
  </si>
  <si>
    <t>Mensilizzazione costi diretti -UOMO</t>
  </si>
  <si>
    <t>Costo MOD assorbita</t>
  </si>
  <si>
    <t>Costo MOD non assorbita</t>
  </si>
  <si>
    <t>Mensilizzazione costi indiretti -UOMO</t>
  </si>
  <si>
    <t>h macchine necessarie MOLLE</t>
  </si>
  <si>
    <t>h macchine non utilizzate MOLLE</t>
  </si>
  <si>
    <t>Costo diretto - MACCHINE assorbito</t>
  </si>
  <si>
    <t>Costo diretto - MACCHINE non assorbito</t>
  </si>
  <si>
    <t>Costo diretto MACCHINE totale</t>
  </si>
  <si>
    <t>h macchine necessarie POL.</t>
  </si>
  <si>
    <t>h macchine non utilizzate POL.</t>
  </si>
  <si>
    <t>Ammortamenti macchinari</t>
  </si>
  <si>
    <t>Assicurazioni prodotti (comm.)</t>
  </si>
  <si>
    <t>Costo LAV IND molle assorbito ordinario</t>
  </si>
  <si>
    <t>Costo LAV. IND. totale</t>
  </si>
  <si>
    <t>Costo LAV. IND. molle non assorbito</t>
  </si>
  <si>
    <t>Costo LAV. IND. pol. assorbito ordinario</t>
  </si>
  <si>
    <t>Costo LAV. IND. pol. non assorbito</t>
  </si>
  <si>
    <t>Costo LAV. IND. assorbito ordinario</t>
  </si>
  <si>
    <t>Costo LAV. IND. non assorbito</t>
  </si>
  <si>
    <t>Costo indiretto - MACCHINE assorbito</t>
  </si>
  <si>
    <t>Costo indiretto - MACCHINE non assorbito</t>
  </si>
  <si>
    <t>Affitto</t>
  </si>
  <si>
    <t>Assicurazioni industriali diretti e indiretti</t>
  </si>
  <si>
    <t>Affitti industr.</t>
  </si>
  <si>
    <t>Luce industr.</t>
  </si>
  <si>
    <t>Riscaldamento ind.</t>
  </si>
  <si>
    <t>+ Ammortamenti industriali e di prod.</t>
  </si>
  <si>
    <t>Costo LAV IND molle assorbito straordinario</t>
  </si>
  <si>
    <t>Costo LAV. IND. pol. assorbito straordinario</t>
  </si>
  <si>
    <t>Costo LAV. IND. assorbito straordinario</t>
  </si>
  <si>
    <t>Costo LAV. IND assorbito</t>
  </si>
  <si>
    <t>Tabella 9 - Budget costo del venduto per cruscotto/canale mensilizzato</t>
  </si>
  <si>
    <t>-Flusso di cassa residuale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</si>
</sst>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[$€-410]\ * #,##0.00_-;\-[$€-410]\ * #,##0.00_-;_-[$€-410]\ * &quot;-&quot;??_-;_-@_-"/>
    <numFmt numFmtId="170" formatCode="_-[$€-410]\ * #,##0_-;\-[$€-410]\ * #,##0_-;_-[$€-410]\ * &quot;-&quot;??_-;_-@_-"/>
    <numFmt numFmtId="171" formatCode="_-* #,##0.00\ [$€-410]_-;\-* #,##0.00\ [$€-410]_-;_-* &quot;-&quot;??\ [$€-410]_-;_-@_-"/>
    <numFmt numFmtId="172" formatCode="_-* #,##0.00000_-;\-* #,##0.00000_-;_-* &quot;-&quot;??_-;_-@_-"/>
    <numFmt numFmtId="173" formatCode="_-* #,##0.0_-;\-* #,##0.0_-;_-* &quot;-&quot;??_-;_-@_-"/>
    <numFmt numFmtId="174" formatCode="_-* #,##0\ &quot;€&quot;_-;\-* #,##0\ &quot;€&quot;_-;_-* &quot;-&quot;??\ &quot;€&quot;_-;_-@_-"/>
    <numFmt numFmtId="175" formatCode="_-&quot;€&quot;\ * #,##0.0_-;\-&quot;€&quot;\ * #,##0.0_-;_-&quot;€&quot;\ * &quot;-&quot;??_-;_-@_-"/>
    <numFmt numFmtId="176" formatCode="0.000%"/>
    <numFmt numFmtId="177" formatCode="0.0000%"/>
  </numFmts>
  <fonts count="42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PT Sans Narrow"/>
      <family val="2"/>
      <charset val="204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b/>
      <sz val="12"/>
      <color theme="0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indexed="9"/>
      <name val="PT Sans Narrow"/>
      <family val="2"/>
      <charset val="204"/>
    </font>
    <font>
      <b/>
      <sz val="12"/>
      <color theme="4"/>
      <name val="PT Sans Narrow"/>
      <family val="2"/>
      <charset val="204"/>
    </font>
    <font>
      <i/>
      <u/>
      <sz val="12"/>
      <name val="PT Sans Narrow"/>
      <family val="2"/>
      <charset val="204"/>
    </font>
    <font>
      <b/>
      <sz val="12"/>
      <color theme="1"/>
      <name val="Calibri"/>
      <family val="2"/>
      <scheme val="minor"/>
    </font>
    <font>
      <b/>
      <i/>
      <sz val="12"/>
      <color theme="4"/>
      <name val="PT Sans Narrow"/>
      <family val="2"/>
      <charset val="204"/>
    </font>
    <font>
      <sz val="12"/>
      <color theme="0" tint="-0.14999847407452621"/>
      <name val="Calibri"/>
      <family val="2"/>
      <scheme val="minor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  <font>
      <b/>
      <sz val="10"/>
      <name val="PT Sans Narrow"/>
      <family val="2"/>
      <charset val="204"/>
    </font>
    <font>
      <sz val="12"/>
      <color theme="0" tint="-0.34998626667073579"/>
      <name val="PT Sans Narrow"/>
      <family val="2"/>
      <charset val="204"/>
    </font>
    <font>
      <b/>
      <sz val="12"/>
      <color theme="0" tint="-0.34998626667073579"/>
      <name val="PT Sans Narrow"/>
      <family val="2"/>
      <charset val="204"/>
    </font>
    <font>
      <u/>
      <sz val="10"/>
      <name val="PT Sans Narrow"/>
      <family val="2"/>
      <charset val="204"/>
    </font>
    <font>
      <i/>
      <sz val="10"/>
      <name val="PT Sans Narrow"/>
      <family val="2"/>
      <charset val="204"/>
    </font>
    <font>
      <b/>
      <sz val="10"/>
      <color theme="0"/>
      <name val="PT Sans Narrow"/>
      <family val="2"/>
      <charset val="204"/>
    </font>
    <font>
      <b/>
      <sz val="10"/>
      <color theme="4"/>
      <name val="PT Sans Narrow"/>
      <family val="2"/>
      <charset val="204"/>
    </font>
    <font>
      <sz val="10"/>
      <color theme="4"/>
      <name val="PT Sans Narrow"/>
      <family val="2"/>
      <charset val="204"/>
    </font>
    <font>
      <sz val="12"/>
      <color theme="4"/>
      <name val="PT Sans Narrow"/>
      <family val="2"/>
      <charset val="204"/>
    </font>
    <font>
      <i/>
      <sz val="12"/>
      <color theme="4"/>
      <name val="PT Sans Narrow"/>
      <family val="2"/>
      <charset val="204"/>
    </font>
    <font>
      <i/>
      <sz val="10"/>
      <color theme="4"/>
      <name val="Arial"/>
      <family val="2"/>
    </font>
    <font>
      <b/>
      <i/>
      <sz val="10"/>
      <name val="PT Sans Narrow"/>
      <family val="2"/>
      <charset val="204"/>
    </font>
    <font>
      <sz val="12"/>
      <color rgb="FF00B050"/>
      <name val="PT Sans Narrow"/>
      <family val="2"/>
      <charset val="204"/>
    </font>
    <font>
      <b/>
      <sz val="12"/>
      <color rgb="FF00B050"/>
      <name val="PT Sans Narrow"/>
      <family val="2"/>
      <charset val="204"/>
    </font>
    <font>
      <sz val="8"/>
      <name val="Arial"/>
      <family val="2"/>
    </font>
    <font>
      <sz val="12"/>
      <color rgb="FFFF0000"/>
      <name val="PT Sans Narrow"/>
      <family val="2"/>
      <charset val="204"/>
    </font>
    <font>
      <b/>
      <sz val="12"/>
      <color rgb="FFFF0000"/>
      <name val="PT Sans Narrow"/>
      <family val="2"/>
      <charset val="204"/>
    </font>
    <font>
      <b/>
      <sz val="12"/>
      <color theme="8"/>
      <name val="PT Sans Narrow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FFB"/>
        <bgColor indexed="64"/>
      </patternFill>
    </fill>
    <fill>
      <patternFill patternType="solid">
        <fgColor rgb="FFDAABC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1119">
    <xf numFmtId="0" fontId="0" fillId="0" borderId="0" xfId="0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7" fillId="0" borderId="0" xfId="2" applyNumberFormat="1" applyFont="1" applyFill="1" applyBorder="1" applyAlignment="1"/>
    <xf numFmtId="0" fontId="7" fillId="0" borderId="11" xfId="0" applyFont="1" applyBorder="1" applyAlignment="1">
      <alignment horizontal="left"/>
    </xf>
    <xf numFmtId="3" fontId="7" fillId="0" borderId="11" xfId="0" applyNumberFormat="1" applyFont="1" applyBorder="1"/>
    <xf numFmtId="0" fontId="7" fillId="0" borderId="12" xfId="0" applyFont="1" applyBorder="1" applyAlignment="1">
      <alignment horizontal="left"/>
    </xf>
    <xf numFmtId="3" fontId="6" fillId="0" borderId="12" xfId="0" applyNumberFormat="1" applyFont="1" applyBorder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2" borderId="2" xfId="0" applyFont="1" applyFill="1" applyBorder="1"/>
    <xf numFmtId="0" fontId="6" fillId="2" borderId="0" xfId="0" applyFont="1" applyFill="1"/>
    <xf numFmtId="0" fontId="6" fillId="2" borderId="16" xfId="0" applyFont="1" applyFill="1" applyBorder="1"/>
    <xf numFmtId="165" fontId="6" fillId="0" borderId="2" xfId="2" applyNumberFormat="1" applyFont="1" applyBorder="1"/>
    <xf numFmtId="165" fontId="6" fillId="0" borderId="0" xfId="2" applyNumberFormat="1" applyFont="1" applyBorder="1"/>
    <xf numFmtId="165" fontId="6" fillId="0" borderId="7" xfId="2" applyNumberFormat="1" applyFont="1" applyBorder="1"/>
    <xf numFmtId="165" fontId="6" fillId="2" borderId="2" xfId="0" applyNumberFormat="1" applyFont="1" applyFill="1" applyBorder="1"/>
    <xf numFmtId="165" fontId="6" fillId="0" borderId="0" xfId="0" applyNumberFormat="1" applyFont="1"/>
    <xf numFmtId="0" fontId="7" fillId="0" borderId="8" xfId="0" applyFont="1" applyBorder="1" applyAlignment="1">
      <alignment horizontal="left"/>
    </xf>
    <xf numFmtId="165" fontId="7" fillId="2" borderId="8" xfId="2" applyNumberFormat="1" applyFont="1" applyFill="1" applyBorder="1"/>
    <xf numFmtId="165" fontId="7" fillId="2" borderId="13" xfId="2" applyNumberFormat="1" applyFont="1" applyFill="1" applyBorder="1"/>
    <xf numFmtId="165" fontId="7" fillId="2" borderId="15" xfId="2" applyNumberFormat="1" applyFont="1" applyFill="1" applyBorder="1"/>
    <xf numFmtId="165" fontId="7" fillId="0" borderId="0" xfId="2" applyNumberFormat="1" applyFont="1" applyFill="1" applyBorder="1"/>
    <xf numFmtId="165" fontId="6" fillId="0" borderId="2" xfId="0" applyNumberFormat="1" applyFont="1" applyBorder="1"/>
    <xf numFmtId="9" fontId="6" fillId="0" borderId="0" xfId="4" applyFont="1"/>
    <xf numFmtId="43" fontId="6" fillId="0" borderId="0" xfId="0" applyNumberFormat="1" applyFont="1"/>
    <xf numFmtId="0" fontId="7" fillId="0" borderId="0" xfId="0" applyFont="1" applyAlignment="1">
      <alignment horizontal="left"/>
    </xf>
    <xf numFmtId="165" fontId="7" fillId="0" borderId="0" xfId="2" applyNumberFormat="1" applyFont="1" applyBorder="1"/>
    <xf numFmtId="0" fontId="6" fillId="2" borderId="2" xfId="0" applyFont="1" applyFill="1" applyBorder="1" applyAlignment="1">
      <alignment horizontal="center"/>
    </xf>
    <xf numFmtId="43" fontId="6" fillId="0" borderId="0" xfId="2" applyFont="1"/>
    <xf numFmtId="0" fontId="7" fillId="3" borderId="10" xfId="0" applyFont="1" applyFill="1" applyBorder="1" applyAlignment="1">
      <alignment horizontal="center"/>
    </xf>
    <xf numFmtId="3" fontId="6" fillId="0" borderId="0" xfId="0" applyNumberFormat="1" applyFont="1"/>
    <xf numFmtId="3" fontId="6" fillId="3" borderId="0" xfId="0" applyNumberFormat="1" applyFont="1" applyFill="1"/>
    <xf numFmtId="168" fontId="7" fillId="0" borderId="0" xfId="5" applyNumberFormat="1" applyFont="1"/>
    <xf numFmtId="168" fontId="7" fillId="3" borderId="0" xfId="5" applyNumberFormat="1" applyFont="1" applyFill="1"/>
    <xf numFmtId="168" fontId="6" fillId="0" borderId="0" xfId="5" applyNumberFormat="1" applyFont="1"/>
    <xf numFmtId="10" fontId="10" fillId="0" borderId="0" xfId="4" applyNumberFormat="1" applyFont="1" applyAlignment="1">
      <alignment horizontal="center"/>
    </xf>
    <xf numFmtId="0" fontId="11" fillId="0" borderId="0" xfId="0" applyFont="1"/>
    <xf numFmtId="164" fontId="6" fillId="0" borderId="0" xfId="5" applyFont="1" applyFill="1" applyBorder="1" applyAlignment="1"/>
    <xf numFmtId="164" fontId="6" fillId="0" borderId="13" xfId="5" applyFont="1" applyFill="1" applyBorder="1" applyAlignment="1"/>
    <xf numFmtId="164" fontId="6" fillId="0" borderId="0" xfId="5" applyFont="1" applyBorder="1"/>
    <xf numFmtId="164" fontId="9" fillId="2" borderId="13" xfId="5" applyFont="1" applyFill="1" applyBorder="1"/>
    <xf numFmtId="164" fontId="8" fillId="0" borderId="0" xfId="5" applyFont="1" applyBorder="1"/>
    <xf numFmtId="168" fontId="6" fillId="0" borderId="6" xfId="5" applyNumberFormat="1" applyFont="1" applyBorder="1"/>
    <xf numFmtId="168" fontId="7" fillId="2" borderId="14" xfId="5" applyNumberFormat="1" applyFont="1" applyFill="1" applyBorder="1"/>
    <xf numFmtId="164" fontId="8" fillId="2" borderId="0" xfId="5" applyFont="1" applyFill="1" applyBorder="1"/>
    <xf numFmtId="164" fontId="7" fillId="2" borderId="13" xfId="5" applyFont="1" applyFill="1" applyBorder="1"/>
    <xf numFmtId="164" fontId="6" fillId="2" borderId="0" xfId="5" applyFont="1" applyFill="1" applyBorder="1"/>
    <xf numFmtId="168" fontId="6" fillId="2" borderId="16" xfId="5" applyNumberFormat="1" applyFont="1" applyFill="1" applyBorder="1"/>
    <xf numFmtId="168" fontId="7" fillId="2" borderId="17" xfId="5" applyNumberFormat="1" applyFont="1" applyFill="1" applyBorder="1"/>
    <xf numFmtId="164" fontId="6" fillId="0" borderId="0" xfId="5" applyFont="1"/>
    <xf numFmtId="164" fontId="6" fillId="3" borderId="0" xfId="5" applyFont="1" applyFill="1"/>
    <xf numFmtId="0" fontId="6" fillId="0" borderId="34" xfId="0" applyFont="1" applyBorder="1"/>
    <xf numFmtId="0" fontId="6" fillId="0" borderId="34" xfId="0" applyFont="1" applyBorder="1" applyAlignment="1">
      <alignment horizontal="left"/>
    </xf>
    <xf numFmtId="168" fontId="6" fillId="0" borderId="0" xfId="0" applyNumberFormat="1" applyFont="1"/>
    <xf numFmtId="164" fontId="6" fillId="0" borderId="0" xfId="0" applyNumberFormat="1" applyFont="1"/>
    <xf numFmtId="168" fontId="12" fillId="7" borderId="33" xfId="0" applyNumberFormat="1" applyFont="1" applyFill="1" applyBorder="1"/>
    <xf numFmtId="0" fontId="6" fillId="0" borderId="0" xfId="0" quotePrefix="1" applyFont="1"/>
    <xf numFmtId="164" fontId="7" fillId="0" borderId="0" xfId="0" applyNumberFormat="1" applyFont="1"/>
    <xf numFmtId="168" fontId="7" fillId="0" borderId="0" xfId="0" applyNumberFormat="1" applyFont="1"/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5" xfId="0" applyFont="1" applyBorder="1"/>
    <xf numFmtId="0" fontId="7" fillId="0" borderId="24" xfId="0" applyFont="1" applyBorder="1"/>
    <xf numFmtId="0" fontId="7" fillId="0" borderId="24" xfId="0" applyFont="1" applyBorder="1" applyAlignment="1">
      <alignment horizontal="center"/>
    </xf>
    <xf numFmtId="0" fontId="6" fillId="0" borderId="24" xfId="0" applyFont="1" applyBorder="1"/>
    <xf numFmtId="168" fontId="7" fillId="0" borderId="5" xfId="0" applyNumberFormat="1" applyFont="1" applyBorder="1"/>
    <xf numFmtId="168" fontId="7" fillId="0" borderId="24" xfId="0" applyNumberFormat="1" applyFont="1" applyBorder="1"/>
    <xf numFmtId="0" fontId="7" fillId="0" borderId="0" xfId="0" quotePrefix="1" applyFont="1"/>
    <xf numFmtId="168" fontId="6" fillId="0" borderId="0" xfId="5" applyNumberFormat="1" applyFont="1" applyFill="1" applyBorder="1"/>
    <xf numFmtId="0" fontId="15" fillId="0" borderId="0" xfId="0" applyFont="1"/>
    <xf numFmtId="0" fontId="6" fillId="0" borderId="0" xfId="0" applyFont="1" applyAlignment="1">
      <alignment vertical="center"/>
    </xf>
    <xf numFmtId="168" fontId="7" fillId="0" borderId="24" xfId="5" applyNumberFormat="1" applyFont="1" applyBorder="1"/>
    <xf numFmtId="0" fontId="6" fillId="0" borderId="0" xfId="0" applyFont="1" applyAlignment="1">
      <alignment vertical="center" wrapText="1"/>
    </xf>
    <xf numFmtId="168" fontId="6" fillId="5" borderId="0" xfId="5" applyNumberFormat="1" applyFont="1" applyFill="1"/>
    <xf numFmtId="0" fontId="6" fillId="0" borderId="21" xfId="0" applyFont="1" applyBorder="1"/>
    <xf numFmtId="0" fontId="6" fillId="0" borderId="12" xfId="0" applyFont="1" applyBorder="1"/>
    <xf numFmtId="0" fontId="7" fillId="0" borderId="32" xfId="0" applyFont="1" applyBorder="1"/>
    <xf numFmtId="9" fontId="6" fillId="5" borderId="0" xfId="0" applyNumberFormat="1" applyFont="1" applyFill="1"/>
    <xf numFmtId="168" fontId="6" fillId="0" borderId="2" xfId="5" applyNumberFormat="1" applyFont="1" applyBorder="1"/>
    <xf numFmtId="168" fontId="6" fillId="0" borderId="0" xfId="5" applyNumberFormat="1" applyFont="1" applyBorder="1"/>
    <xf numFmtId="168" fontId="7" fillId="0" borderId="11" xfId="5" applyNumberFormat="1" applyFont="1" applyBorder="1"/>
    <xf numFmtId="0" fontId="12" fillId="7" borderId="32" xfId="0" applyFont="1" applyFill="1" applyBorder="1"/>
    <xf numFmtId="168" fontId="6" fillId="8" borderId="0" xfId="0" applyNumberFormat="1" applyFont="1" applyFill="1"/>
    <xf numFmtId="10" fontId="6" fillId="0" borderId="0" xfId="4" applyNumberFormat="1" applyFont="1"/>
    <xf numFmtId="44" fontId="6" fillId="8" borderId="0" xfId="0" applyNumberFormat="1" applyFont="1" applyFill="1"/>
    <xf numFmtId="168" fontId="12" fillId="7" borderId="35" xfId="0" applyNumberFormat="1" applyFont="1" applyFill="1" applyBorder="1"/>
    <xf numFmtId="168" fontId="7" fillId="11" borderId="24" xfId="0" applyNumberFormat="1" applyFont="1" applyFill="1" applyBorder="1"/>
    <xf numFmtId="168" fontId="7" fillId="0" borderId="48" xfId="0" applyNumberFormat="1" applyFont="1" applyBorder="1"/>
    <xf numFmtId="0" fontId="15" fillId="0" borderId="0" xfId="0" quotePrefix="1" applyFont="1"/>
    <xf numFmtId="0" fontId="6" fillId="0" borderId="16" xfId="0" applyFont="1" applyBorder="1"/>
    <xf numFmtId="168" fontId="6" fillId="0" borderId="2" xfId="0" applyNumberFormat="1" applyFont="1" applyBorder="1"/>
    <xf numFmtId="168" fontId="6" fillId="0" borderId="16" xfId="0" applyNumberFormat="1" applyFont="1" applyBorder="1"/>
    <xf numFmtId="168" fontId="7" fillId="0" borderId="2" xfId="0" applyNumberFormat="1" applyFont="1" applyBorder="1"/>
    <xf numFmtId="168" fontId="7" fillId="0" borderId="16" xfId="0" applyNumberFormat="1" applyFont="1" applyBorder="1"/>
    <xf numFmtId="168" fontId="6" fillId="0" borderId="16" xfId="5" applyNumberFormat="1" applyFont="1" applyBorder="1"/>
    <xf numFmtId="168" fontId="15" fillId="0" borderId="2" xfId="0" applyNumberFormat="1" applyFont="1" applyBorder="1"/>
    <xf numFmtId="168" fontId="15" fillId="0" borderId="0" xfId="0" applyNumberFormat="1" applyFont="1"/>
    <xf numFmtId="168" fontId="15" fillId="0" borderId="16" xfId="0" applyNumberFormat="1" applyFont="1" applyBorder="1"/>
    <xf numFmtId="168" fontId="7" fillId="0" borderId="49" xfId="0" applyNumberFormat="1" applyFont="1" applyBorder="1"/>
    <xf numFmtId="168" fontId="7" fillId="0" borderId="50" xfId="0" applyNumberFormat="1" applyFont="1" applyBorder="1"/>
    <xf numFmtId="0" fontId="7" fillId="0" borderId="43" xfId="0" applyFont="1" applyBorder="1" applyAlignment="1">
      <alignment horizontal="center"/>
    </xf>
    <xf numFmtId="0" fontId="6" fillId="0" borderId="51" xfId="0" applyFont="1" applyBorder="1"/>
    <xf numFmtId="168" fontId="6" fillId="0" borderId="51" xfId="0" applyNumberFormat="1" applyFont="1" applyBorder="1"/>
    <xf numFmtId="168" fontId="7" fillId="0" borderId="51" xfId="0" applyNumberFormat="1" applyFont="1" applyBorder="1"/>
    <xf numFmtId="168" fontId="6" fillId="0" borderId="51" xfId="5" applyNumberFormat="1" applyFont="1" applyBorder="1"/>
    <xf numFmtId="168" fontId="15" fillId="0" borderId="51" xfId="0" applyNumberFormat="1" applyFont="1" applyBorder="1"/>
    <xf numFmtId="168" fontId="7" fillId="0" borderId="52" xfId="0" applyNumberFormat="1" applyFont="1" applyBorder="1"/>
    <xf numFmtId="168" fontId="12" fillId="7" borderId="43" xfId="0" applyNumberFormat="1" applyFont="1" applyFill="1" applyBorder="1"/>
    <xf numFmtId="168" fontId="12" fillId="7" borderId="32" xfId="0" applyNumberFormat="1" applyFont="1" applyFill="1" applyBorder="1"/>
    <xf numFmtId="0" fontId="7" fillId="0" borderId="43" xfId="0" applyFont="1" applyBorder="1" applyAlignment="1">
      <alignment horizontal="left"/>
    </xf>
    <xf numFmtId="0" fontId="6" fillId="0" borderId="51" xfId="0" quotePrefix="1" applyFont="1" applyBorder="1"/>
    <xf numFmtId="0" fontId="7" fillId="0" borderId="51" xfId="0" applyFont="1" applyBorder="1"/>
    <xf numFmtId="0" fontId="15" fillId="0" borderId="51" xfId="0" applyFont="1" applyBorder="1"/>
    <xf numFmtId="0" fontId="7" fillId="0" borderId="52" xfId="0" applyFont="1" applyBorder="1"/>
    <xf numFmtId="0" fontId="12" fillId="7" borderId="43" xfId="0" applyFont="1" applyFill="1" applyBorder="1"/>
    <xf numFmtId="0" fontId="7" fillId="5" borderId="40" xfId="0" applyFont="1" applyFill="1" applyBorder="1"/>
    <xf numFmtId="168" fontId="7" fillId="5" borderId="40" xfId="0" applyNumberFormat="1" applyFont="1" applyFill="1" applyBorder="1"/>
    <xf numFmtId="168" fontId="7" fillId="5" borderId="23" xfId="0" applyNumberFormat="1" applyFont="1" applyFill="1" applyBorder="1"/>
    <xf numFmtId="168" fontId="7" fillId="5" borderId="24" xfId="0" applyNumberFormat="1" applyFont="1" applyFill="1" applyBorder="1"/>
    <xf numFmtId="168" fontId="7" fillId="5" borderId="26" xfId="0" applyNumberFormat="1" applyFont="1" applyFill="1" applyBorder="1"/>
    <xf numFmtId="0" fontId="6" fillId="0" borderId="27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8" fontId="6" fillId="0" borderId="39" xfId="0" applyNumberFormat="1" applyFont="1" applyBorder="1"/>
    <xf numFmtId="168" fontId="6" fillId="0" borderId="12" xfId="0" applyNumberFormat="1" applyFont="1" applyBorder="1"/>
    <xf numFmtId="168" fontId="6" fillId="0" borderId="22" xfId="0" applyNumberFormat="1" applyFont="1" applyBorder="1"/>
    <xf numFmtId="0" fontId="6" fillId="0" borderId="53" xfId="0" applyFont="1" applyBorder="1"/>
    <xf numFmtId="168" fontId="6" fillId="0" borderId="54" xfId="0" applyNumberFormat="1" applyFont="1" applyBorder="1"/>
    <xf numFmtId="168" fontId="7" fillId="5" borderId="55" xfId="0" applyNumberFormat="1" applyFont="1" applyFill="1" applyBorder="1"/>
    <xf numFmtId="168" fontId="7" fillId="5" borderId="11" xfId="0" applyNumberFormat="1" applyFont="1" applyFill="1" applyBorder="1"/>
    <xf numFmtId="168" fontId="7" fillId="5" borderId="56" xfId="0" applyNumberFormat="1" applyFont="1" applyFill="1" applyBorder="1"/>
    <xf numFmtId="0" fontId="6" fillId="0" borderId="22" xfId="0" applyFont="1" applyBorder="1"/>
    <xf numFmtId="0" fontId="6" fillId="0" borderId="54" xfId="0" applyFont="1" applyBorder="1"/>
    <xf numFmtId="168" fontId="12" fillId="7" borderId="57" xfId="0" applyNumberFormat="1" applyFont="1" applyFill="1" applyBorder="1"/>
    <xf numFmtId="168" fontId="12" fillId="7" borderId="58" xfId="0" applyNumberFormat="1" applyFont="1" applyFill="1" applyBorder="1"/>
    <xf numFmtId="0" fontId="7" fillId="5" borderId="44" xfId="0" applyFont="1" applyFill="1" applyBorder="1"/>
    <xf numFmtId="0" fontId="7" fillId="5" borderId="23" xfId="0" applyFont="1" applyFill="1" applyBorder="1"/>
    <xf numFmtId="0" fontId="6" fillId="0" borderId="39" xfId="0" applyFont="1" applyBorder="1"/>
    <xf numFmtId="0" fontId="18" fillId="0" borderId="0" xfId="0" applyFont="1"/>
    <xf numFmtId="0" fontId="1" fillId="0" borderId="0" xfId="7"/>
    <xf numFmtId="14" fontId="1" fillId="0" borderId="0" xfId="7" applyNumberFormat="1"/>
    <xf numFmtId="164" fontId="1" fillId="0" borderId="0" xfId="5" applyFont="1"/>
    <xf numFmtId="0" fontId="1" fillId="0" borderId="0" xfId="7" applyAlignment="1">
      <alignment horizontal="center"/>
    </xf>
    <xf numFmtId="171" fontId="1" fillId="0" borderId="0" xfId="7" applyNumberFormat="1"/>
    <xf numFmtId="0" fontId="1" fillId="6" borderId="0" xfId="7" applyFill="1" applyAlignment="1">
      <alignment horizontal="center"/>
    </xf>
    <xf numFmtId="0" fontId="1" fillId="0" borderId="0" xfId="7" applyAlignment="1">
      <alignment horizontal="left"/>
    </xf>
    <xf numFmtId="10" fontId="1" fillId="6" borderId="0" xfId="7" applyNumberFormat="1" applyFill="1" applyAlignment="1">
      <alignment horizontal="center"/>
    </xf>
    <xf numFmtId="10" fontId="1" fillId="0" borderId="0" xfId="7" applyNumberFormat="1"/>
    <xf numFmtId="0" fontId="17" fillId="0" borderId="59" xfId="7" applyFont="1" applyBorder="1"/>
    <xf numFmtId="164" fontId="17" fillId="0" borderId="59" xfId="5" applyFont="1" applyBorder="1"/>
    <xf numFmtId="0" fontId="17" fillId="0" borderId="59" xfId="7" applyFont="1" applyBorder="1" applyAlignment="1">
      <alignment horizontal="center"/>
    </xf>
    <xf numFmtId="164" fontId="19" fillId="0" borderId="0" xfId="7" applyNumberFormat="1" applyFont="1" applyAlignment="1">
      <alignment horizontal="center"/>
    </xf>
    <xf numFmtId="164" fontId="1" fillId="0" borderId="0" xfId="5" applyFont="1" applyFill="1"/>
    <xf numFmtId="164" fontId="1" fillId="0" borderId="0" xfId="5" applyFont="1" applyAlignment="1">
      <alignment horizontal="center"/>
    </xf>
    <xf numFmtId="168" fontId="1" fillId="0" borderId="0" xfId="7" applyNumberFormat="1" applyAlignment="1">
      <alignment horizontal="center"/>
    </xf>
    <xf numFmtId="9" fontId="6" fillId="0" borderId="0" xfId="0" applyNumberFormat="1" applyFont="1"/>
    <xf numFmtId="170" fontId="6" fillId="0" borderId="0" xfId="0" applyNumberFormat="1" applyFont="1"/>
    <xf numFmtId="169" fontId="6" fillId="0" borderId="0" xfId="0" applyNumberFormat="1" applyFont="1"/>
    <xf numFmtId="0" fontId="6" fillId="0" borderId="7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0" fontId="6" fillId="5" borderId="19" xfId="0" applyFont="1" applyFill="1" applyBorder="1" applyAlignment="1">
      <alignment vertical="center"/>
    </xf>
    <xf numFmtId="168" fontId="6" fillId="0" borderId="19" xfId="5" applyNumberFormat="1" applyFont="1" applyBorder="1" applyAlignment="1">
      <alignment vertical="center"/>
    </xf>
    <xf numFmtId="9" fontId="6" fillId="5" borderId="19" xfId="0" applyNumberFormat="1" applyFont="1" applyFill="1" applyBorder="1" applyAlignment="1">
      <alignment vertical="center"/>
    </xf>
    <xf numFmtId="9" fontId="6" fillId="5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Border="1" applyAlignment="1">
      <alignment vertical="center"/>
    </xf>
    <xf numFmtId="168" fontId="6" fillId="5" borderId="19" xfId="0" applyNumberFormat="1" applyFont="1" applyFill="1" applyBorder="1" applyAlignment="1">
      <alignment vertical="center"/>
    </xf>
    <xf numFmtId="9" fontId="6" fillId="0" borderId="19" xfId="0" applyNumberFormat="1" applyFont="1" applyBorder="1" applyAlignment="1">
      <alignment horizontal="center" vertical="center"/>
    </xf>
    <xf numFmtId="168" fontId="6" fillId="5" borderId="19" xfId="5" applyNumberFormat="1" applyFont="1" applyFill="1" applyBorder="1" applyAlignment="1">
      <alignment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9" fontId="6" fillId="0" borderId="0" xfId="4" applyFont="1" applyAlignment="1">
      <alignment horizontal="center" vertical="center"/>
    </xf>
    <xf numFmtId="9" fontId="6" fillId="5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5" borderId="30" xfId="0" applyNumberFormat="1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9" fontId="6" fillId="5" borderId="6" xfId="0" applyNumberFormat="1" applyFont="1" applyFill="1" applyBorder="1" applyAlignment="1">
      <alignment horizontal="center" vertical="center"/>
    </xf>
    <xf numFmtId="9" fontId="6" fillId="5" borderId="6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6" fillId="5" borderId="62" xfId="0" applyNumberFormat="1" applyFont="1" applyFill="1" applyBorder="1" applyAlignment="1">
      <alignment horizontal="center" vertical="center"/>
    </xf>
    <xf numFmtId="168" fontId="6" fillId="0" borderId="65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65" fontId="6" fillId="0" borderId="19" xfId="2" applyNumberFormat="1" applyFont="1" applyFill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168" fontId="6" fillId="0" borderId="19" xfId="5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5" fontId="6" fillId="5" borderId="19" xfId="2" applyNumberFormat="1" applyFont="1" applyFill="1" applyBorder="1" applyAlignment="1">
      <alignment vertical="center"/>
    </xf>
    <xf numFmtId="165" fontId="6" fillId="5" borderId="19" xfId="2" applyNumberFormat="1" applyFont="1" applyFill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0" fontId="7" fillId="0" borderId="65" xfId="0" applyFont="1" applyBorder="1" applyAlignment="1">
      <alignment vertical="center"/>
    </xf>
    <xf numFmtId="165" fontId="6" fillId="0" borderId="19" xfId="2" applyNumberFormat="1" applyFont="1" applyBorder="1" applyAlignment="1">
      <alignment vertical="center"/>
    </xf>
    <xf numFmtId="165" fontId="6" fillId="0" borderId="19" xfId="2" applyNumberFormat="1" applyFont="1" applyBorder="1" applyAlignment="1">
      <alignment horizontal="center" vertical="center"/>
    </xf>
    <xf numFmtId="9" fontId="6" fillId="5" borderId="19" xfId="4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8" fontId="6" fillId="5" borderId="19" xfId="5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8" xfId="0" applyFont="1" applyBorder="1" applyAlignment="1">
      <alignment vertical="center"/>
    </xf>
    <xf numFmtId="0" fontId="6" fillId="11" borderId="67" xfId="0" applyFont="1" applyFill="1" applyBorder="1" applyAlignment="1">
      <alignment vertical="center"/>
    </xf>
    <xf numFmtId="168" fontId="6" fillId="0" borderId="69" xfId="0" applyNumberFormat="1" applyFont="1" applyBorder="1" applyAlignment="1">
      <alignment vertical="center"/>
    </xf>
    <xf numFmtId="168" fontId="6" fillId="11" borderId="20" xfId="0" applyNumberFormat="1" applyFont="1" applyFill="1" applyBorder="1" applyAlignment="1">
      <alignment vertical="center"/>
    </xf>
    <xf numFmtId="165" fontId="6" fillId="0" borderId="69" xfId="2" applyNumberFormat="1" applyFont="1" applyFill="1" applyBorder="1" applyAlignment="1">
      <alignment horizontal="center" vertical="center"/>
    </xf>
    <xf numFmtId="165" fontId="6" fillId="11" borderId="20" xfId="2" applyNumberFormat="1" applyFont="1" applyFill="1" applyBorder="1" applyAlignment="1">
      <alignment horizontal="center" vertical="center"/>
    </xf>
    <xf numFmtId="168" fontId="6" fillId="0" borderId="69" xfId="5" applyNumberFormat="1" applyFont="1" applyBorder="1" applyAlignment="1">
      <alignment vertical="center"/>
    </xf>
    <xf numFmtId="168" fontId="6" fillId="11" borderId="20" xfId="5" applyNumberFormat="1" applyFont="1" applyFill="1" applyBorder="1" applyAlignment="1">
      <alignment vertical="center"/>
    </xf>
    <xf numFmtId="9" fontId="6" fillId="0" borderId="69" xfId="4" applyFont="1" applyBorder="1" applyAlignment="1">
      <alignment horizontal="center" vertical="center"/>
    </xf>
    <xf numFmtId="9" fontId="6" fillId="11" borderId="20" xfId="4" applyFont="1" applyFill="1" applyBorder="1" applyAlignment="1">
      <alignment horizontal="center" vertical="center"/>
    </xf>
    <xf numFmtId="168" fontId="6" fillId="0" borderId="69" xfId="5" applyNumberFormat="1" applyFont="1" applyBorder="1" applyAlignment="1">
      <alignment horizontal="center" vertical="center"/>
    </xf>
    <xf numFmtId="168" fontId="6" fillId="11" borderId="20" xfId="5" applyNumberFormat="1" applyFont="1" applyFill="1" applyBorder="1" applyAlignment="1">
      <alignment horizontal="center" vertical="center"/>
    </xf>
    <xf numFmtId="0" fontId="6" fillId="0" borderId="69" xfId="0" applyFont="1" applyBorder="1" applyAlignment="1">
      <alignment vertical="center"/>
    </xf>
    <xf numFmtId="0" fontId="6" fillId="11" borderId="20" xfId="0" applyFont="1" applyFill="1" applyBorder="1" applyAlignment="1">
      <alignment vertical="center"/>
    </xf>
    <xf numFmtId="0" fontId="7" fillId="0" borderId="69" xfId="0" applyFont="1" applyBorder="1" applyAlignment="1">
      <alignment vertical="center"/>
    </xf>
    <xf numFmtId="0" fontId="7" fillId="11" borderId="20" xfId="0" applyFont="1" applyFill="1" applyBorder="1" applyAlignment="1">
      <alignment vertical="center"/>
    </xf>
    <xf numFmtId="168" fontId="7" fillId="0" borderId="70" xfId="0" applyNumberFormat="1" applyFont="1" applyBorder="1" applyAlignment="1">
      <alignment vertical="center"/>
    </xf>
    <xf numFmtId="168" fontId="7" fillId="0" borderId="71" xfId="0" applyNumberFormat="1" applyFont="1" applyBorder="1" applyAlignment="1">
      <alignment vertical="center"/>
    </xf>
    <xf numFmtId="168" fontId="7" fillId="11" borderId="72" xfId="0" applyNumberFormat="1" applyFont="1" applyFill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168" fontId="7" fillId="0" borderId="73" xfId="0" applyNumberFormat="1" applyFont="1" applyBorder="1" applyAlignment="1">
      <alignment vertical="center"/>
    </xf>
    <xf numFmtId="168" fontId="7" fillId="0" borderId="60" xfId="0" applyNumberFormat="1" applyFont="1" applyBorder="1" applyAlignment="1">
      <alignment vertical="center"/>
    </xf>
    <xf numFmtId="168" fontId="7" fillId="11" borderId="74" xfId="0" applyNumberFormat="1" applyFont="1" applyFill="1" applyBorder="1" applyAlignment="1">
      <alignment vertical="center"/>
    </xf>
    <xf numFmtId="0" fontId="6" fillId="12" borderId="67" xfId="0" applyFont="1" applyFill="1" applyBorder="1" applyAlignment="1">
      <alignment vertical="center"/>
    </xf>
    <xf numFmtId="168" fontId="6" fillId="12" borderId="20" xfId="0" applyNumberFormat="1" applyFont="1" applyFill="1" applyBorder="1" applyAlignment="1">
      <alignment vertical="center"/>
    </xf>
    <xf numFmtId="165" fontId="6" fillId="12" borderId="20" xfId="2" applyNumberFormat="1" applyFont="1" applyFill="1" applyBorder="1" applyAlignment="1">
      <alignment horizontal="center" vertical="center"/>
    </xf>
    <xf numFmtId="168" fontId="6" fillId="12" borderId="20" xfId="5" applyNumberFormat="1" applyFont="1" applyFill="1" applyBorder="1" applyAlignment="1">
      <alignment vertical="center"/>
    </xf>
    <xf numFmtId="168" fontId="7" fillId="12" borderId="74" xfId="0" applyNumberFormat="1" applyFont="1" applyFill="1" applyBorder="1" applyAlignment="1">
      <alignment vertical="center"/>
    </xf>
    <xf numFmtId="9" fontId="6" fillId="12" borderId="20" xfId="4" applyFont="1" applyFill="1" applyBorder="1" applyAlignment="1">
      <alignment horizontal="center" vertical="center"/>
    </xf>
    <xf numFmtId="168" fontId="6" fillId="12" borderId="20" xfId="5" applyNumberFormat="1" applyFont="1" applyFill="1" applyBorder="1" applyAlignment="1">
      <alignment horizontal="center" vertical="center"/>
    </xf>
    <xf numFmtId="0" fontId="6" fillId="12" borderId="20" xfId="0" applyFont="1" applyFill="1" applyBorder="1" applyAlignment="1">
      <alignment vertical="center"/>
    </xf>
    <xf numFmtId="0" fontId="7" fillId="12" borderId="20" xfId="0" applyFont="1" applyFill="1" applyBorder="1" applyAlignment="1">
      <alignment vertical="center"/>
    </xf>
    <xf numFmtId="168" fontId="7" fillId="12" borderId="72" xfId="0" applyNumberFormat="1" applyFont="1" applyFill="1" applyBorder="1" applyAlignment="1">
      <alignment vertical="center"/>
    </xf>
    <xf numFmtId="165" fontId="6" fillId="5" borderId="69" xfId="2" applyNumberFormat="1" applyFont="1" applyFill="1" applyBorder="1" applyAlignment="1">
      <alignment horizontal="center" vertical="center"/>
    </xf>
    <xf numFmtId="164" fontId="6" fillId="5" borderId="19" xfId="5" applyFont="1" applyFill="1" applyBorder="1" applyAlignment="1">
      <alignment horizontal="center" vertical="center"/>
    </xf>
    <xf numFmtId="9" fontId="7" fillId="0" borderId="69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9" fontId="7" fillId="11" borderId="20" xfId="0" applyNumberFormat="1" applyFont="1" applyFill="1" applyBorder="1" applyAlignment="1">
      <alignment horizontal="center" vertical="center"/>
    </xf>
    <xf numFmtId="9" fontId="7" fillId="5" borderId="19" xfId="0" applyNumberFormat="1" applyFont="1" applyFill="1" applyBorder="1" applyAlignment="1">
      <alignment horizontal="center" vertical="center"/>
    </xf>
    <xf numFmtId="9" fontId="7" fillId="12" borderId="20" xfId="0" applyNumberFormat="1" applyFont="1" applyFill="1" applyBorder="1" applyAlignment="1">
      <alignment horizontal="center" vertical="center"/>
    </xf>
    <xf numFmtId="9" fontId="7" fillId="0" borderId="69" xfId="4" applyFont="1" applyBorder="1" applyAlignment="1">
      <alignment horizontal="center" vertical="center"/>
    </xf>
    <xf numFmtId="9" fontId="7" fillId="0" borderId="19" xfId="4" applyFont="1" applyBorder="1" applyAlignment="1">
      <alignment horizontal="center" vertical="center"/>
    </xf>
    <xf numFmtId="9" fontId="7" fillId="11" borderId="20" xfId="4" applyFont="1" applyFill="1" applyBorder="1" applyAlignment="1">
      <alignment horizontal="center" vertical="center"/>
    </xf>
    <xf numFmtId="9" fontId="7" fillId="5" borderId="69" xfId="4" applyFont="1" applyFill="1" applyBorder="1" applyAlignment="1">
      <alignment horizontal="center" vertical="center"/>
    </xf>
    <xf numFmtId="9" fontId="7" fillId="12" borderId="20" xfId="4" applyFont="1" applyFill="1" applyBorder="1" applyAlignment="1">
      <alignment horizontal="center" vertical="center"/>
    </xf>
    <xf numFmtId="0" fontId="6" fillId="5" borderId="69" xfId="0" applyFont="1" applyFill="1" applyBorder="1" applyAlignment="1">
      <alignment vertical="center"/>
    </xf>
    <xf numFmtId="10" fontId="6" fillId="0" borderId="19" xfId="4" applyNumberFormat="1" applyFont="1" applyFill="1" applyBorder="1" applyAlignment="1">
      <alignment horizontal="center" vertical="center"/>
    </xf>
    <xf numFmtId="10" fontId="6" fillId="12" borderId="20" xfId="4" applyNumberFormat="1" applyFont="1" applyFill="1" applyBorder="1" applyAlignment="1">
      <alignment horizontal="center" vertical="center"/>
    </xf>
    <xf numFmtId="10" fontId="6" fillId="0" borderId="69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7" fillId="0" borderId="69" xfId="4" applyNumberFormat="1" applyFont="1" applyFill="1" applyBorder="1" applyAlignment="1">
      <alignment horizontal="center" vertical="center"/>
    </xf>
    <xf numFmtId="10" fontId="7" fillId="0" borderId="19" xfId="4" applyNumberFormat="1" applyFont="1" applyBorder="1" applyAlignment="1">
      <alignment horizontal="center" vertical="center"/>
    </xf>
    <xf numFmtId="10" fontId="7" fillId="12" borderId="20" xfId="4" applyNumberFormat="1" applyFont="1" applyFill="1" applyBorder="1" applyAlignment="1">
      <alignment horizontal="center" vertical="center"/>
    </xf>
    <xf numFmtId="10" fontId="7" fillId="0" borderId="70" xfId="4" applyNumberFormat="1" applyFont="1" applyBorder="1" applyAlignment="1">
      <alignment vertical="center"/>
    </xf>
    <xf numFmtId="10" fontId="7" fillId="0" borderId="71" xfId="4" applyNumberFormat="1" applyFont="1" applyBorder="1" applyAlignment="1">
      <alignment vertical="center"/>
    </xf>
    <xf numFmtId="10" fontId="7" fillId="12" borderId="72" xfId="4" applyNumberFormat="1" applyFont="1" applyFill="1" applyBorder="1" applyAlignment="1">
      <alignment vertical="center"/>
    </xf>
    <xf numFmtId="0" fontId="6" fillId="0" borderId="62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165" fontId="6" fillId="0" borderId="3" xfId="2" applyNumberFormat="1" applyFont="1" applyBorder="1"/>
    <xf numFmtId="168" fontId="6" fillId="0" borderId="5" xfId="5" applyNumberFormat="1" applyFont="1" applyBorder="1"/>
    <xf numFmtId="168" fontId="6" fillId="0" borderId="4" xfId="5" applyNumberFormat="1" applyFont="1" applyBorder="1"/>
    <xf numFmtId="0" fontId="6" fillId="0" borderId="31" xfId="0" applyFont="1" applyBorder="1" applyAlignment="1">
      <alignment horizontal="center"/>
    </xf>
    <xf numFmtId="0" fontId="6" fillId="0" borderId="68" xfId="0" applyFont="1" applyBorder="1"/>
    <xf numFmtId="168" fontId="6" fillId="0" borderId="9" xfId="5" applyNumberFormat="1" applyFont="1" applyBorder="1"/>
    <xf numFmtId="168" fontId="6" fillId="0" borderId="54" xfId="5" applyNumberFormat="1" applyFont="1" applyBorder="1"/>
    <xf numFmtId="0" fontId="7" fillId="0" borderId="76" xfId="0" applyFont="1" applyBorder="1"/>
    <xf numFmtId="0" fontId="7" fillId="0" borderId="15" xfId="0" applyFont="1" applyBorder="1"/>
    <xf numFmtId="0" fontId="7" fillId="0" borderId="13" xfId="0" applyFont="1" applyBorder="1"/>
    <xf numFmtId="168" fontId="7" fillId="0" borderId="14" xfId="5" applyNumberFormat="1" applyFont="1" applyBorder="1"/>
    <xf numFmtId="168" fontId="7" fillId="0" borderId="17" xfId="5" applyNumberFormat="1" applyFont="1" applyBorder="1"/>
    <xf numFmtId="0" fontId="6" fillId="0" borderId="26" xfId="0" applyFont="1" applyBorder="1" applyAlignment="1">
      <alignment horizontal="center"/>
    </xf>
    <xf numFmtId="9" fontId="6" fillId="0" borderId="5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76" xfId="0" applyFont="1" applyBorder="1" applyAlignment="1">
      <alignment horizontal="center"/>
    </xf>
    <xf numFmtId="9" fontId="6" fillId="0" borderId="21" xfId="0" applyNumberFormat="1" applyFont="1" applyBorder="1" applyAlignment="1">
      <alignment horizontal="center"/>
    </xf>
    <xf numFmtId="9" fontId="6" fillId="5" borderId="21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3" fontId="6" fillId="0" borderId="0" xfId="2" applyNumberFormat="1" applyFont="1" applyFill="1" applyBorder="1" applyAlignment="1"/>
    <xf numFmtId="0" fontId="7" fillId="0" borderId="36" xfId="0" applyFont="1" applyBorder="1" applyAlignment="1">
      <alignment horizontal="left"/>
    </xf>
    <xf numFmtId="0" fontId="7" fillId="0" borderId="59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6" fillId="0" borderId="5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64" fontId="6" fillId="0" borderId="54" xfId="5" applyFont="1" applyFill="1" applyBorder="1" applyAlignment="1"/>
    <xf numFmtId="164" fontId="6" fillId="0" borderId="17" xfId="5" applyFont="1" applyFill="1" applyBorder="1" applyAlignment="1"/>
    <xf numFmtId="0" fontId="7" fillId="3" borderId="38" xfId="0" applyFont="1" applyFill="1" applyBorder="1" applyAlignment="1">
      <alignment horizontal="center"/>
    </xf>
    <xf numFmtId="3" fontId="6" fillId="3" borderId="54" xfId="0" applyNumberFormat="1" applyFont="1" applyFill="1" applyBorder="1"/>
    <xf numFmtId="164" fontId="6" fillId="3" borderId="54" xfId="5" applyFont="1" applyFill="1" applyBorder="1"/>
    <xf numFmtId="168" fontId="7" fillId="0" borderId="13" xfId="5" applyNumberFormat="1" applyFont="1" applyBorder="1"/>
    <xf numFmtId="168" fontId="7" fillId="3" borderId="17" xfId="5" applyNumberFormat="1" applyFont="1" applyFill="1" applyBorder="1"/>
    <xf numFmtId="168" fontId="6" fillId="0" borderId="7" xfId="5" applyNumberFormat="1" applyFont="1" applyBorder="1"/>
    <xf numFmtId="168" fontId="6" fillId="0" borderId="3" xfId="5" applyNumberFormat="1" applyFont="1" applyBorder="1"/>
    <xf numFmtId="168" fontId="6" fillId="0" borderId="62" xfId="5" applyNumberFormat="1" applyFont="1" applyBorder="1"/>
    <xf numFmtId="168" fontId="6" fillId="0" borderId="30" xfId="5" applyNumberFormat="1" applyFont="1" applyBorder="1"/>
    <xf numFmtId="0" fontId="6" fillId="0" borderId="29" xfId="0" applyFont="1" applyBorder="1"/>
    <xf numFmtId="0" fontId="6" fillId="12" borderId="67" xfId="0" applyFont="1" applyFill="1" applyBorder="1" applyAlignment="1">
      <alignment horizontal="center"/>
    </xf>
    <xf numFmtId="0" fontId="6" fillId="0" borderId="66" xfId="0" applyFont="1" applyBorder="1"/>
    <xf numFmtId="168" fontId="7" fillId="12" borderId="67" xfId="5" applyNumberFormat="1" applyFont="1" applyFill="1" applyBorder="1"/>
    <xf numFmtId="168" fontId="7" fillId="12" borderId="20" xfId="5" applyNumberFormat="1" applyFont="1" applyFill="1" applyBorder="1"/>
    <xf numFmtId="168" fontId="7" fillId="12" borderId="46" xfId="5" applyNumberFormat="1" applyFont="1" applyFill="1" applyBorder="1"/>
    <xf numFmtId="0" fontId="7" fillId="0" borderId="70" xfId="0" applyFont="1" applyBorder="1"/>
    <xf numFmtId="168" fontId="7" fillId="0" borderId="15" xfId="5" applyNumberFormat="1" applyFont="1" applyBorder="1"/>
    <xf numFmtId="168" fontId="7" fillId="12" borderId="45" xfId="5" applyNumberFormat="1" applyFont="1" applyFill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165" fontId="6" fillId="0" borderId="0" xfId="2" applyNumberFormat="1" applyFont="1" applyBorder="1" applyAlignment="1">
      <alignment horizontal="center" vertical="center"/>
    </xf>
    <xf numFmtId="0" fontId="13" fillId="10" borderId="43" xfId="0" applyFont="1" applyFill="1" applyBorder="1" applyAlignment="1">
      <alignment vertical="center"/>
    </xf>
    <xf numFmtId="165" fontId="6" fillId="5" borderId="0" xfId="2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65" fontId="7" fillId="0" borderId="57" xfId="2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12" borderId="20" xfId="0" applyFont="1" applyFill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6" fillId="0" borderId="69" xfId="0" quotePrefix="1" applyFont="1" applyBorder="1" applyAlignment="1">
      <alignment vertical="center"/>
    </xf>
    <xf numFmtId="0" fontId="7" fillId="0" borderId="73" xfId="0" quotePrefix="1" applyFont="1" applyBorder="1" applyAlignment="1">
      <alignment vertical="center"/>
    </xf>
    <xf numFmtId="0" fontId="6" fillId="12" borderId="41" xfId="0" applyFont="1" applyFill="1" applyBorder="1" applyAlignment="1">
      <alignment horizontal="center" vertical="center"/>
    </xf>
    <xf numFmtId="0" fontId="6" fillId="0" borderId="54" xfId="0" applyFont="1" applyBorder="1" applyAlignment="1">
      <alignment vertical="center"/>
    </xf>
    <xf numFmtId="3" fontId="6" fillId="0" borderId="53" xfId="0" applyNumberFormat="1" applyFont="1" applyBorder="1" applyAlignment="1">
      <alignment vertical="center"/>
    </xf>
    <xf numFmtId="3" fontId="6" fillId="0" borderId="54" xfId="0" applyNumberFormat="1" applyFont="1" applyBorder="1" applyAlignment="1">
      <alignment vertical="center"/>
    </xf>
    <xf numFmtId="165" fontId="7" fillId="12" borderId="74" xfId="2" applyNumberFormat="1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2" fontId="6" fillId="5" borderId="0" xfId="0" applyNumberFormat="1" applyFont="1" applyFill="1" applyAlignment="1">
      <alignment horizontal="right" vertical="center"/>
    </xf>
    <xf numFmtId="9" fontId="7" fillId="0" borderId="76" xfId="0" applyNumberFormat="1" applyFont="1" applyBorder="1" applyAlignment="1">
      <alignment horizontal="center" vertical="center"/>
    </xf>
    <xf numFmtId="9" fontId="7" fillId="0" borderId="79" xfId="0" applyNumberFormat="1" applyFont="1" applyBorder="1" applyAlignment="1">
      <alignment horizontal="center" vertical="center"/>
    </xf>
    <xf numFmtId="0" fontId="6" fillId="9" borderId="67" xfId="0" applyFont="1" applyFill="1" applyBorder="1" applyAlignment="1">
      <alignment vertical="center"/>
    </xf>
    <xf numFmtId="168" fontId="6" fillId="9" borderId="20" xfId="0" applyNumberFormat="1" applyFont="1" applyFill="1" applyBorder="1" applyAlignment="1">
      <alignment vertical="center"/>
    </xf>
    <xf numFmtId="165" fontId="6" fillId="9" borderId="20" xfId="2" applyNumberFormat="1" applyFont="1" applyFill="1" applyBorder="1" applyAlignment="1">
      <alignment horizontal="center" vertical="center"/>
    </xf>
    <xf numFmtId="168" fontId="6" fillId="9" borderId="20" xfId="5" applyNumberFormat="1" applyFont="1" applyFill="1" applyBorder="1" applyAlignment="1">
      <alignment vertical="center"/>
    </xf>
    <xf numFmtId="168" fontId="7" fillId="9" borderId="74" xfId="0" applyNumberFormat="1" applyFont="1" applyFill="1" applyBorder="1" applyAlignment="1">
      <alignment vertical="center"/>
    </xf>
    <xf numFmtId="9" fontId="7" fillId="9" borderId="45" xfId="0" applyNumberFormat="1" applyFont="1" applyFill="1" applyBorder="1" applyAlignment="1">
      <alignment horizontal="center" vertical="center"/>
    </xf>
    <xf numFmtId="168" fontId="6" fillId="0" borderId="69" xfId="5" applyNumberFormat="1" applyFont="1" applyFill="1" applyBorder="1" applyAlignment="1">
      <alignment vertical="center"/>
    </xf>
    <xf numFmtId="168" fontId="6" fillId="0" borderId="19" xfId="5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0" fontId="21" fillId="0" borderId="53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6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164" fontId="22" fillId="0" borderId="0" xfId="5" applyFont="1" applyBorder="1" applyAlignment="1">
      <alignment vertical="center"/>
    </xf>
    <xf numFmtId="164" fontId="21" fillId="0" borderId="54" xfId="5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64" fontId="22" fillId="0" borderId="17" xfId="5" applyFont="1" applyBorder="1" applyAlignment="1">
      <alignment horizontal="center" vertical="center"/>
    </xf>
    <xf numFmtId="164" fontId="21" fillId="0" borderId="0" xfId="5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 wrapText="1"/>
    </xf>
    <xf numFmtId="0" fontId="23" fillId="0" borderId="77" xfId="0" applyFont="1" applyBorder="1" applyAlignment="1">
      <alignment vertical="center"/>
    </xf>
    <xf numFmtId="0" fontId="23" fillId="0" borderId="78" xfId="0" applyFont="1" applyBorder="1" applyAlignment="1">
      <alignment vertical="center"/>
    </xf>
    <xf numFmtId="0" fontId="21" fillId="16" borderId="81" xfId="0" applyFont="1" applyFill="1" applyBorder="1" applyAlignment="1">
      <alignment horizontal="center" vertical="center"/>
    </xf>
    <xf numFmtId="0" fontId="7" fillId="0" borderId="69" xfId="0" applyFont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69" xfId="0" applyFont="1" applyBorder="1" applyAlignment="1">
      <alignment horizontal="right" vertical="center"/>
    </xf>
    <xf numFmtId="165" fontId="6" fillId="0" borderId="53" xfId="0" applyNumberFormat="1" applyFont="1" applyBorder="1" applyAlignment="1">
      <alignment vertical="center"/>
    </xf>
    <xf numFmtId="165" fontId="7" fillId="0" borderId="32" xfId="2" applyNumberFormat="1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54" xfId="2" applyNumberFormat="1" applyFont="1" applyBorder="1" applyAlignment="1">
      <alignment vertical="center"/>
    </xf>
    <xf numFmtId="0" fontId="7" fillId="14" borderId="82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65" fontId="6" fillId="0" borderId="51" xfId="0" applyNumberFormat="1" applyFont="1" applyBorder="1" applyAlignment="1">
      <alignment vertical="center"/>
    </xf>
    <xf numFmtId="3" fontId="6" fillId="0" borderId="83" xfId="0" applyNumberFormat="1" applyFont="1" applyBorder="1" applyAlignment="1">
      <alignment vertical="center"/>
    </xf>
    <xf numFmtId="165" fontId="21" fillId="0" borderId="54" xfId="2" applyNumberFormat="1" applyFont="1" applyBorder="1" applyAlignment="1">
      <alignment horizontal="center" vertical="center"/>
    </xf>
    <xf numFmtId="165" fontId="21" fillId="0" borderId="17" xfId="2" applyNumberFormat="1" applyFont="1" applyBorder="1" applyAlignment="1">
      <alignment horizontal="center" vertical="center"/>
    </xf>
    <xf numFmtId="9" fontId="21" fillId="5" borderId="0" xfId="0" applyNumberFormat="1" applyFont="1" applyFill="1" applyAlignment="1">
      <alignment horizontal="center" vertical="center"/>
    </xf>
    <xf numFmtId="164" fontId="21" fillId="16" borderId="0" xfId="5" applyFont="1" applyFill="1" applyBorder="1" applyAlignment="1">
      <alignment horizontal="center" vertical="center"/>
    </xf>
    <xf numFmtId="164" fontId="21" fillId="5" borderId="0" xfId="5" applyFont="1" applyFill="1" applyAlignment="1">
      <alignment horizontal="center" vertical="center"/>
    </xf>
    <xf numFmtId="2" fontId="21" fillId="16" borderId="0" xfId="2" applyNumberFormat="1" applyFont="1" applyFill="1" applyBorder="1" applyAlignment="1">
      <alignment horizontal="center" vertical="center"/>
    </xf>
    <xf numFmtId="0" fontId="21" fillId="12" borderId="81" xfId="0" applyFont="1" applyFill="1" applyBorder="1" applyAlignment="1">
      <alignment horizontal="center" vertical="center"/>
    </xf>
    <xf numFmtId="43" fontId="21" fillId="0" borderId="54" xfId="2" applyFont="1" applyBorder="1" applyAlignment="1">
      <alignment horizontal="center" vertical="center"/>
    </xf>
    <xf numFmtId="43" fontId="21" fillId="0" borderId="17" xfId="2" applyFont="1" applyBorder="1" applyAlignment="1">
      <alignment horizontal="center" vertical="center"/>
    </xf>
    <xf numFmtId="165" fontId="21" fillId="16" borderId="54" xfId="2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vertical="center"/>
    </xf>
    <xf numFmtId="164" fontId="8" fillId="0" borderId="0" xfId="5" applyFont="1" applyFill="1" applyBorder="1" applyAlignment="1">
      <alignment horizontal="right" vertical="center"/>
    </xf>
    <xf numFmtId="168" fontId="6" fillId="0" borderId="0" xfId="5" applyNumberFormat="1" applyFont="1" applyFill="1" applyBorder="1" applyAlignment="1">
      <alignment horizontal="center" vertical="center"/>
    </xf>
    <xf numFmtId="168" fontId="6" fillId="0" borderId="0" xfId="5" applyNumberFormat="1" applyFont="1" applyBorder="1" applyAlignment="1">
      <alignment horizontal="center" vertical="center"/>
    </xf>
    <xf numFmtId="168" fontId="7" fillId="0" borderId="57" xfId="5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12" borderId="69" xfId="0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/>
    </xf>
    <xf numFmtId="0" fontId="6" fillId="12" borderId="69" xfId="0" applyFont="1" applyFill="1" applyBorder="1" applyAlignment="1">
      <alignment vertical="center"/>
    </xf>
    <xf numFmtId="168" fontId="6" fillId="12" borderId="0" xfId="5" applyNumberFormat="1" applyFont="1" applyFill="1" applyBorder="1" applyAlignment="1">
      <alignment horizontal="center" vertical="center"/>
    </xf>
    <xf numFmtId="0" fontId="6" fillId="12" borderId="69" xfId="0" quotePrefix="1" applyFont="1" applyFill="1" applyBorder="1" applyAlignment="1">
      <alignment vertical="center"/>
    </xf>
    <xf numFmtId="0" fontId="7" fillId="12" borderId="73" xfId="0" quotePrefix="1" applyFont="1" applyFill="1" applyBorder="1" applyAlignment="1">
      <alignment vertical="center"/>
    </xf>
    <xf numFmtId="168" fontId="7" fillId="12" borderId="57" xfId="5" applyNumberFormat="1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right"/>
    </xf>
    <xf numFmtId="0" fontId="7" fillId="0" borderId="83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0" xfId="5" applyFont="1"/>
    <xf numFmtId="0" fontId="24" fillId="0" borderId="30" xfId="0" applyFont="1" applyBorder="1" applyAlignment="1">
      <alignment horizontal="center"/>
    </xf>
    <xf numFmtId="164" fontId="24" fillId="0" borderId="30" xfId="5" applyFont="1" applyBorder="1" applyAlignment="1">
      <alignment horizontal="center"/>
    </xf>
    <xf numFmtId="164" fontId="5" fillId="11" borderId="0" xfId="5" applyFont="1" applyFill="1"/>
    <xf numFmtId="164" fontId="24" fillId="11" borderId="30" xfId="5" applyFont="1" applyFill="1" applyBorder="1" applyAlignment="1">
      <alignment horizontal="center"/>
    </xf>
    <xf numFmtId="10" fontId="5" fillId="5" borderId="0" xfId="0" applyNumberFormat="1" applyFont="1" applyFill="1"/>
    <xf numFmtId="0" fontId="24" fillId="0" borderId="0" xfId="0" applyFont="1"/>
    <xf numFmtId="0" fontId="24" fillId="11" borderId="32" xfId="0" applyFont="1" applyFill="1" applyBorder="1"/>
    <xf numFmtId="0" fontId="24" fillId="11" borderId="57" xfId="0" applyFont="1" applyFill="1" applyBorder="1"/>
    <xf numFmtId="164" fontId="24" fillId="11" borderId="57" xfId="0" applyNumberFormat="1" applyFont="1" applyFill="1" applyBorder="1"/>
    <xf numFmtId="164" fontId="24" fillId="11" borderId="58" xfId="0" applyNumberFormat="1" applyFont="1" applyFill="1" applyBorder="1"/>
    <xf numFmtId="0" fontId="2" fillId="0" borderId="0" xfId="0" applyFont="1"/>
    <xf numFmtId="0" fontId="6" fillId="11" borderId="18" xfId="0" applyFont="1" applyFill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0" borderId="27" xfId="0" applyFont="1" applyBorder="1"/>
    <xf numFmtId="168" fontId="7" fillId="11" borderId="18" xfId="0" applyNumberFormat="1" applyFont="1" applyFill="1" applyBorder="1"/>
    <xf numFmtId="168" fontId="7" fillId="0" borderId="41" xfId="0" applyNumberFormat="1" applyFont="1" applyBorder="1"/>
    <xf numFmtId="0" fontId="6" fillId="0" borderId="69" xfId="0" applyFont="1" applyBorder="1"/>
    <xf numFmtId="168" fontId="6" fillId="11" borderId="19" xfId="0" applyNumberFormat="1" applyFont="1" applyFill="1" applyBorder="1"/>
    <xf numFmtId="168" fontId="6" fillId="0" borderId="20" xfId="0" applyNumberFormat="1" applyFont="1" applyBorder="1"/>
    <xf numFmtId="0" fontId="6" fillId="11" borderId="19" xfId="0" applyFont="1" applyFill="1" applyBorder="1"/>
    <xf numFmtId="0" fontId="6" fillId="0" borderId="20" xfId="0" applyFont="1" applyBorder="1"/>
    <xf numFmtId="0" fontId="6" fillId="0" borderId="26" xfId="0" applyFont="1" applyBorder="1"/>
    <xf numFmtId="0" fontId="7" fillId="11" borderId="70" xfId="0" applyFont="1" applyFill="1" applyBorder="1"/>
    <xf numFmtId="0" fontId="7" fillId="11" borderId="11" xfId="0" applyFont="1" applyFill="1" applyBorder="1" applyAlignment="1">
      <alignment horizontal="center"/>
    </xf>
    <xf numFmtId="168" fontId="7" fillId="11" borderId="11" xfId="5" applyNumberFormat="1" applyFont="1" applyFill="1" applyBorder="1"/>
    <xf numFmtId="168" fontId="7" fillId="11" borderId="71" xfId="0" applyNumberFormat="1" applyFont="1" applyFill="1" applyBorder="1"/>
    <xf numFmtId="168" fontId="7" fillId="0" borderId="72" xfId="0" applyNumberFormat="1" applyFont="1" applyBorder="1"/>
    <xf numFmtId="0" fontId="7" fillId="0" borderId="1" xfId="0" applyFont="1" applyBorder="1"/>
    <xf numFmtId="168" fontId="7" fillId="5" borderId="24" xfId="5" applyNumberFormat="1" applyFont="1" applyFill="1" applyBorder="1"/>
    <xf numFmtId="168" fontId="15" fillId="0" borderId="24" xfId="5" applyNumberFormat="1" applyFont="1" applyBorder="1"/>
    <xf numFmtId="168" fontId="15" fillId="11" borderId="18" xfId="0" applyNumberFormat="1" applyFont="1" applyFill="1" applyBorder="1"/>
    <xf numFmtId="168" fontId="15" fillId="0" borderId="41" xfId="0" applyNumberFormat="1" applyFont="1" applyBorder="1"/>
    <xf numFmtId="0" fontId="7" fillId="0" borderId="69" xfId="0" applyFont="1" applyBorder="1" applyAlignment="1">
      <alignment horizontal="right"/>
    </xf>
    <xf numFmtId="168" fontId="7" fillId="0" borderId="73" xfId="5" applyNumberFormat="1" applyFont="1" applyBorder="1" applyAlignment="1">
      <alignment horizontal="left" vertical="center"/>
    </xf>
    <xf numFmtId="0" fontId="25" fillId="0" borderId="69" xfId="0" applyFont="1" applyBorder="1"/>
    <xf numFmtId="0" fontId="25" fillId="0" borderId="0" xfId="0" applyFont="1"/>
    <xf numFmtId="168" fontId="26" fillId="0" borderId="73" xfId="5" applyNumberFormat="1" applyFont="1" applyBorder="1" applyAlignment="1">
      <alignment horizontal="left" vertical="center"/>
    </xf>
    <xf numFmtId="168" fontId="26" fillId="0" borderId="57" xfId="5" applyNumberFormat="1" applyFont="1" applyBorder="1" applyAlignment="1">
      <alignment horizontal="center" vertical="center"/>
    </xf>
    <xf numFmtId="0" fontId="7" fillId="12" borderId="69" xfId="0" applyFont="1" applyFill="1" applyBorder="1" applyAlignment="1">
      <alignment horizontal="right"/>
    </xf>
    <xf numFmtId="0" fontId="6" fillId="12" borderId="69" xfId="0" applyFont="1" applyFill="1" applyBorder="1"/>
    <xf numFmtId="168" fontId="7" fillId="12" borderId="73" xfId="5" applyNumberFormat="1" applyFont="1" applyFill="1" applyBorder="1" applyAlignment="1">
      <alignment horizontal="left" vertical="center"/>
    </xf>
    <xf numFmtId="168" fontId="0" fillId="8" borderId="0" xfId="0" applyNumberFormat="1" applyFill="1"/>
    <xf numFmtId="0" fontId="6" fillId="12" borderId="20" xfId="0" applyFont="1" applyFill="1" applyBorder="1"/>
    <xf numFmtId="168" fontId="6" fillId="12" borderId="20" xfId="5" applyNumberFormat="1" applyFont="1" applyFill="1" applyBorder="1"/>
    <xf numFmtId="168" fontId="7" fillId="12" borderId="74" xfId="5" applyNumberFormat="1" applyFont="1" applyFill="1" applyBorder="1" applyAlignment="1">
      <alignment horizontal="center" vertical="center"/>
    </xf>
    <xf numFmtId="168" fontId="25" fillId="12" borderId="20" xfId="5" applyNumberFormat="1" applyFont="1" applyFill="1" applyBorder="1"/>
    <xf numFmtId="168" fontId="26" fillId="12" borderId="74" xfId="5" applyNumberFormat="1" applyFont="1" applyFill="1" applyBorder="1" applyAlignment="1">
      <alignment horizontal="center" vertical="center"/>
    </xf>
    <xf numFmtId="0" fontId="6" fillId="0" borderId="69" xfId="0" quotePrefix="1" applyFont="1" applyBorder="1"/>
    <xf numFmtId="0" fontId="7" fillId="0" borderId="73" xfId="0" quotePrefix="1" applyFont="1" applyBorder="1"/>
    <xf numFmtId="168" fontId="6" fillId="0" borderId="0" xfId="5" applyNumberFormat="1" applyFont="1" applyBorder="1" applyAlignment="1">
      <alignment horizontal="center"/>
    </xf>
    <xf numFmtId="168" fontId="25" fillId="0" borderId="0" xfId="5" applyNumberFormat="1" applyFont="1" applyBorder="1" applyAlignment="1">
      <alignment horizontal="center"/>
    </xf>
    <xf numFmtId="168" fontId="6" fillId="12" borderId="0" xfId="5" applyNumberFormat="1" applyFont="1" applyFill="1" applyBorder="1" applyAlignment="1">
      <alignment horizontal="center"/>
    </xf>
    <xf numFmtId="168" fontId="6" fillId="12" borderId="0" xfId="5" applyNumberFormat="1" applyFont="1" applyFill="1" applyBorder="1"/>
    <xf numFmtId="168" fontId="5" fillId="0" borderId="0" xfId="5" applyNumberFormat="1" applyFont="1"/>
    <xf numFmtId="0" fontId="5" fillId="0" borderId="1" xfId="0" applyFont="1" applyBorder="1"/>
    <xf numFmtId="168" fontId="5" fillId="16" borderId="22" xfId="5" applyNumberFormat="1" applyFont="1" applyFill="1" applyBorder="1" applyAlignment="1">
      <alignment horizontal="center"/>
    </xf>
    <xf numFmtId="0" fontId="5" fillId="0" borderId="53" xfId="0" applyFont="1" applyBorder="1"/>
    <xf numFmtId="168" fontId="5" fillId="0" borderId="54" xfId="5" applyNumberFormat="1" applyFont="1" applyBorder="1"/>
    <xf numFmtId="0" fontId="24" fillId="0" borderId="32" xfId="0" applyFont="1" applyBorder="1"/>
    <xf numFmtId="168" fontId="24" fillId="0" borderId="58" xfId="5" applyNumberFormat="1" applyFont="1" applyBorder="1"/>
    <xf numFmtId="168" fontId="5" fillId="0" borderId="22" xfId="5" applyNumberFormat="1" applyFont="1" applyBorder="1"/>
    <xf numFmtId="0" fontId="27" fillId="0" borderId="53" xfId="0" applyFont="1" applyBorder="1"/>
    <xf numFmtId="168" fontId="5" fillId="0" borderId="0" xfId="5" applyNumberFormat="1" applyFont="1" applyBorder="1"/>
    <xf numFmtId="0" fontId="27" fillId="0" borderId="0" xfId="0" applyFont="1"/>
    <xf numFmtId="168" fontId="24" fillId="0" borderId="0" xfId="5" applyNumberFormat="1" applyFont="1" applyBorder="1"/>
    <xf numFmtId="0" fontId="5" fillId="0" borderId="0" xfId="0" applyFont="1" applyAlignment="1">
      <alignment horizontal="center"/>
    </xf>
    <xf numFmtId="168" fontId="5" fillId="0" borderId="28" xfId="5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5" fillId="0" borderId="7" xfId="5" applyNumberFormat="1" applyFont="1" applyBorder="1"/>
    <xf numFmtId="168" fontId="5" fillId="0" borderId="6" xfId="0" applyNumberFormat="1" applyFont="1" applyBorder="1"/>
    <xf numFmtId="0" fontId="5" fillId="0" borderId="6" xfId="0" applyFont="1" applyBorder="1"/>
    <xf numFmtId="168" fontId="5" fillId="0" borderId="6" xfId="5" applyNumberFormat="1" applyFont="1" applyBorder="1"/>
    <xf numFmtId="0" fontId="5" fillId="0" borderId="18" xfId="0" applyFont="1" applyBorder="1" applyAlignment="1">
      <alignment horizontal="center"/>
    </xf>
    <xf numFmtId="9" fontId="5" fillId="0" borderId="19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28" xfId="0" applyFont="1" applyBorder="1" applyAlignment="1">
      <alignment horizontal="center"/>
    </xf>
    <xf numFmtId="168" fontId="5" fillId="0" borderId="0" xfId="0" applyNumberFormat="1" applyFont="1"/>
    <xf numFmtId="0" fontId="5" fillId="0" borderId="26" xfId="0" applyFont="1" applyBorder="1" applyAlignment="1">
      <alignment horizontal="center"/>
    </xf>
    <xf numFmtId="0" fontId="5" fillId="0" borderId="68" xfId="0" applyFont="1" applyBorder="1"/>
    <xf numFmtId="168" fontId="5" fillId="0" borderId="54" xfId="0" applyNumberFormat="1" applyFont="1" applyBorder="1"/>
    <xf numFmtId="0" fontId="5" fillId="0" borderId="69" xfId="0" applyFont="1" applyBorder="1"/>
    <xf numFmtId="0" fontId="24" fillId="0" borderId="69" xfId="0" applyFont="1" applyBorder="1"/>
    <xf numFmtId="0" fontId="28" fillId="0" borderId="69" xfId="0" applyFont="1" applyBorder="1" applyAlignment="1">
      <alignment horizontal="left" indent="1"/>
    </xf>
    <xf numFmtId="0" fontId="5" fillId="0" borderId="54" xfId="0" applyFont="1" applyBorder="1"/>
    <xf numFmtId="0" fontId="5" fillId="0" borderId="69" xfId="0" applyFont="1" applyBorder="1" applyAlignment="1">
      <alignment horizontal="left" indent="1"/>
    </xf>
    <xf numFmtId="0" fontId="5" fillId="0" borderId="76" xfId="0" applyFont="1" applyBorder="1" applyAlignment="1">
      <alignment horizontal="left" indent="1"/>
    </xf>
    <xf numFmtId="168" fontId="5" fillId="0" borderId="15" xfId="5" applyNumberFormat="1" applyFont="1" applyBorder="1"/>
    <xf numFmtId="168" fontId="5" fillId="0" borderId="13" xfId="5" applyNumberFormat="1" applyFont="1" applyBorder="1"/>
    <xf numFmtId="168" fontId="5" fillId="0" borderId="14" xfId="5" applyNumberFormat="1" applyFont="1" applyBorder="1"/>
    <xf numFmtId="0" fontId="5" fillId="0" borderId="79" xfId="0" applyFont="1" applyBorder="1"/>
    <xf numFmtId="168" fontId="5" fillId="0" borderId="17" xfId="5" applyNumberFormat="1" applyFont="1" applyBorder="1"/>
    <xf numFmtId="0" fontId="24" fillId="0" borderId="73" xfId="0" applyFont="1" applyBorder="1"/>
    <xf numFmtId="168" fontId="24" fillId="0" borderId="42" xfId="5" applyNumberFormat="1" applyFont="1" applyBorder="1"/>
    <xf numFmtId="168" fontId="24" fillId="0" borderId="57" xfId="5" applyNumberFormat="1" applyFont="1" applyBorder="1"/>
    <xf numFmtId="168" fontId="24" fillId="0" borderId="32" xfId="5" applyNumberFormat="1" applyFont="1" applyBorder="1"/>
    <xf numFmtId="168" fontId="5" fillId="0" borderId="7" xfId="0" applyNumberFormat="1" applyFont="1" applyBorder="1"/>
    <xf numFmtId="0" fontId="5" fillId="0" borderId="7" xfId="0" applyFont="1" applyBorder="1"/>
    <xf numFmtId="168" fontId="24" fillId="0" borderId="28" xfId="5" applyNumberFormat="1" applyFont="1" applyBorder="1"/>
    <xf numFmtId="168" fontId="24" fillId="0" borderId="25" xfId="5" applyNumberFormat="1" applyFont="1" applyBorder="1"/>
    <xf numFmtId="168" fontId="29" fillId="7" borderId="0" xfId="5" applyNumberFormat="1" applyFont="1" applyFill="1" applyBorder="1"/>
    <xf numFmtId="0" fontId="24" fillId="0" borderId="77" xfId="0" applyFont="1" applyBorder="1" applyAlignment="1">
      <alignment horizontal="left" vertical="center"/>
    </xf>
    <xf numFmtId="0" fontId="24" fillId="0" borderId="68" xfId="0" applyFont="1" applyBorder="1" applyAlignment="1">
      <alignment horizontal="right"/>
    </xf>
    <xf numFmtId="2" fontId="5" fillId="0" borderId="7" xfId="5" applyNumberFormat="1" applyFont="1" applyBorder="1" applyAlignment="1">
      <alignment horizontal="center"/>
    </xf>
    <xf numFmtId="2" fontId="5" fillId="0" borderId="54" xfId="5" applyNumberFormat="1" applyFont="1" applyBorder="1" applyAlignment="1">
      <alignment horizontal="center" vertical="center"/>
    </xf>
    <xf numFmtId="0" fontId="24" fillId="0" borderId="76" xfId="0" applyFont="1" applyBorder="1"/>
    <xf numFmtId="2" fontId="24" fillId="0" borderId="15" xfId="5" applyNumberFormat="1" applyFont="1" applyBorder="1" applyAlignment="1">
      <alignment horizontal="center"/>
    </xf>
    <xf numFmtId="2" fontId="24" fillId="0" borderId="17" xfId="5" applyNumberFormat="1" applyFont="1" applyBorder="1" applyAlignment="1">
      <alignment horizontal="center" vertical="center"/>
    </xf>
    <xf numFmtId="0" fontId="24" fillId="0" borderId="68" xfId="0" applyFont="1" applyBorder="1" applyAlignment="1">
      <alignment horizontal="left"/>
    </xf>
    <xf numFmtId="168" fontId="24" fillId="0" borderId="38" xfId="5" applyNumberFormat="1" applyFont="1" applyFill="1" applyBorder="1" applyAlignment="1"/>
    <xf numFmtId="165" fontId="5" fillId="0" borderId="54" xfId="2" applyNumberFormat="1" applyFont="1" applyBorder="1" applyAlignment="1">
      <alignment horizontal="center" vertical="center"/>
    </xf>
    <xf numFmtId="0" fontId="5" fillId="0" borderId="76" xfId="0" applyFont="1" applyBorder="1"/>
    <xf numFmtId="165" fontId="5" fillId="0" borderId="17" xfId="2" applyNumberFormat="1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168" fontId="24" fillId="0" borderId="38" xfId="5" applyNumberFormat="1" applyFont="1" applyFill="1" applyBorder="1" applyAlignment="1">
      <alignment horizontal="center"/>
    </xf>
    <xf numFmtId="0" fontId="23" fillId="0" borderId="1" xfId="0" applyFont="1" applyBorder="1" applyAlignment="1">
      <alignment vertical="center"/>
    </xf>
    <xf numFmtId="165" fontId="21" fillId="0" borderId="20" xfId="2" applyNumberFormat="1" applyFont="1" applyBorder="1" applyAlignment="1">
      <alignment horizontal="center" vertical="center"/>
    </xf>
    <xf numFmtId="165" fontId="21" fillId="0" borderId="45" xfId="2" applyNumberFormat="1" applyFont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54" xfId="0" applyFont="1" applyBorder="1" applyAlignment="1">
      <alignment horizontal="center"/>
    </xf>
    <xf numFmtId="1" fontId="5" fillId="0" borderId="54" xfId="2" applyNumberFormat="1" applyFont="1" applyBorder="1" applyAlignment="1">
      <alignment horizontal="center" vertical="center"/>
    </xf>
    <xf numFmtId="1" fontId="5" fillId="0" borderId="17" xfId="2" applyNumberFormat="1" applyFont="1" applyBorder="1" applyAlignment="1">
      <alignment horizontal="center" vertical="center"/>
    </xf>
    <xf numFmtId="9" fontId="5" fillId="5" borderId="0" xfId="0" applyNumberFormat="1" applyFont="1" applyFill="1"/>
    <xf numFmtId="0" fontId="5" fillId="0" borderId="13" xfId="0" applyFont="1" applyBorder="1" applyAlignment="1">
      <alignment horizontal="center"/>
    </xf>
    <xf numFmtId="0" fontId="7" fillId="0" borderId="69" xfId="0" quotePrefix="1" applyFont="1" applyBorder="1" applyAlignment="1">
      <alignment horizontal="right"/>
    </xf>
    <xf numFmtId="165" fontId="6" fillId="12" borderId="2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12" borderId="20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6" fillId="12" borderId="20" xfId="0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43" fontId="6" fillId="12" borderId="20" xfId="0" applyNumberFormat="1" applyFont="1" applyFill="1" applyBorder="1" applyAlignment="1">
      <alignment horizontal="right" vertical="center"/>
    </xf>
    <xf numFmtId="0" fontId="15" fillId="0" borderId="69" xfId="0" quotePrefix="1" applyFont="1" applyBorder="1"/>
    <xf numFmtId="165" fontId="15" fillId="0" borderId="0" xfId="2" applyNumberFormat="1" applyFont="1" applyBorder="1" applyAlignment="1">
      <alignment horizontal="center" vertical="center"/>
    </xf>
    <xf numFmtId="165" fontId="15" fillId="12" borderId="20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53" xfId="0" applyBorder="1"/>
    <xf numFmtId="0" fontId="0" fillId="0" borderId="54" xfId="0" applyBorder="1"/>
    <xf numFmtId="0" fontId="2" fillId="0" borderId="53" xfId="0" applyFont="1" applyBorder="1"/>
    <xf numFmtId="0" fontId="0" fillId="0" borderId="8" xfId="0" applyBorder="1"/>
    <xf numFmtId="43" fontId="0" fillId="0" borderId="13" xfId="2" applyFont="1" applyBorder="1"/>
    <xf numFmtId="0" fontId="0" fillId="0" borderId="13" xfId="0" applyBorder="1"/>
    <xf numFmtId="0" fontId="0" fillId="0" borderId="17" xfId="0" applyBorder="1"/>
    <xf numFmtId="1" fontId="6" fillId="0" borderId="0" xfId="0" applyNumberFormat="1" applyFont="1" applyAlignment="1">
      <alignment horizontal="right" vertical="center"/>
    </xf>
    <xf numFmtId="165" fontId="7" fillId="11" borderId="57" xfId="2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24" fillId="0" borderId="7" xfId="0" applyFont="1" applyBorder="1" applyAlignment="1">
      <alignment horizontal="right"/>
    </xf>
    <xf numFmtId="0" fontId="5" fillId="12" borderId="64" xfId="0" applyFont="1" applyFill="1" applyBorder="1" applyAlignment="1">
      <alignment horizontal="center"/>
    </xf>
    <xf numFmtId="164" fontId="5" fillId="0" borderId="19" xfId="5" applyFont="1" applyBorder="1"/>
    <xf numFmtId="0" fontId="24" fillId="0" borderId="28" xfId="0" applyFont="1" applyBorder="1"/>
    <xf numFmtId="164" fontId="24" fillId="0" borderId="18" xfId="0" applyNumberFormat="1" applyFont="1" applyBorder="1"/>
    <xf numFmtId="165" fontId="5" fillId="0" borderId="0" xfId="2" applyNumberFormat="1" applyFont="1" applyBorder="1"/>
    <xf numFmtId="165" fontId="5" fillId="0" borderId="54" xfId="2" applyNumberFormat="1" applyFont="1" applyBorder="1"/>
    <xf numFmtId="168" fontId="5" fillId="5" borderId="54" xfId="5" applyNumberFormat="1" applyFont="1" applyFill="1" applyBorder="1"/>
    <xf numFmtId="0" fontId="5" fillId="0" borderId="8" xfId="0" applyFont="1" applyBorder="1"/>
    <xf numFmtId="164" fontId="5" fillId="0" borderId="13" xfId="0" applyNumberFormat="1" applyFont="1" applyBorder="1"/>
    <xf numFmtId="164" fontId="5" fillId="0" borderId="17" xfId="5" applyFont="1" applyBorder="1"/>
    <xf numFmtId="164" fontId="5" fillId="0" borderId="0" xfId="0" applyNumberFormat="1" applyFont="1"/>
    <xf numFmtId="164" fontId="5" fillId="0" borderId="0" xfId="5" applyFont="1" applyBorder="1"/>
    <xf numFmtId="164" fontId="5" fillId="0" borderId="54" xfId="5" applyFont="1" applyBorder="1"/>
    <xf numFmtId="164" fontId="5" fillId="0" borderId="54" xfId="0" applyNumberFormat="1" applyFont="1" applyBorder="1"/>
    <xf numFmtId="0" fontId="30" fillId="0" borderId="32" xfId="0" applyFont="1" applyBorder="1"/>
    <xf numFmtId="0" fontId="5" fillId="0" borderId="57" xfId="0" applyFont="1" applyBorder="1"/>
    <xf numFmtId="0" fontId="5" fillId="0" borderId="58" xfId="0" applyFont="1" applyBorder="1"/>
    <xf numFmtId="0" fontId="5" fillId="0" borderId="36" xfId="0" applyFont="1" applyBorder="1"/>
    <xf numFmtId="0" fontId="24" fillId="0" borderId="59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168" fontId="5" fillId="0" borderId="19" xfId="5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68" fontId="24" fillId="0" borderId="18" xfId="5" applyNumberFormat="1" applyFont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164" fontId="5" fillId="0" borderId="19" xfId="5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5" fontId="5" fillId="0" borderId="5" xfId="2" applyNumberFormat="1" applyFont="1" applyBorder="1" applyAlignment="1">
      <alignment vertical="center"/>
    </xf>
    <xf numFmtId="165" fontId="5" fillId="0" borderId="4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5" fillId="0" borderId="6" xfId="2" applyNumberFormat="1" applyFont="1" applyBorder="1" applyAlignment="1">
      <alignment vertical="center"/>
    </xf>
    <xf numFmtId="165" fontId="5" fillId="0" borderId="30" xfId="2" applyNumberFormat="1" applyFont="1" applyBorder="1" applyAlignment="1">
      <alignment vertical="center"/>
    </xf>
    <xf numFmtId="165" fontId="5" fillId="0" borderId="63" xfId="2" applyNumberFormat="1" applyFont="1" applyBorder="1" applyAlignment="1">
      <alignment vertical="center"/>
    </xf>
    <xf numFmtId="165" fontId="5" fillId="0" borderId="3" xfId="2" applyNumberFormat="1" applyFont="1" applyBorder="1" applyAlignment="1">
      <alignment vertical="center"/>
    </xf>
    <xf numFmtId="165" fontId="5" fillId="0" borderId="7" xfId="2" applyNumberFormat="1" applyFont="1" applyBorder="1" applyAlignment="1">
      <alignment vertical="center"/>
    </xf>
    <xf numFmtId="165" fontId="5" fillId="0" borderId="62" xfId="2" applyNumberFormat="1" applyFont="1" applyBorder="1" applyAlignment="1">
      <alignment vertical="center"/>
    </xf>
    <xf numFmtId="173" fontId="5" fillId="0" borderId="19" xfId="2" applyNumberFormat="1" applyFont="1" applyBorder="1" applyAlignment="1">
      <alignment vertical="center"/>
    </xf>
    <xf numFmtId="173" fontId="5" fillId="0" borderId="65" xfId="2" applyNumberFormat="1" applyFont="1" applyBorder="1" applyAlignment="1">
      <alignment vertical="center"/>
    </xf>
    <xf numFmtId="168" fontId="5" fillId="0" borderId="0" xfId="0" applyNumberFormat="1" applyFont="1" applyAlignment="1">
      <alignment vertical="center"/>
    </xf>
    <xf numFmtId="168" fontId="5" fillId="0" borderId="6" xfId="0" applyNumberFormat="1" applyFont="1" applyBorder="1" applyAlignment="1">
      <alignment vertical="center"/>
    </xf>
    <xf numFmtId="168" fontId="5" fillId="0" borderId="7" xfId="5" applyNumberFormat="1" applyFont="1" applyBorder="1" applyAlignment="1">
      <alignment vertical="center"/>
    </xf>
    <xf numFmtId="168" fontId="24" fillId="0" borderId="28" xfId="5" applyNumberFormat="1" applyFont="1" applyBorder="1" applyAlignment="1">
      <alignment vertical="center"/>
    </xf>
    <xf numFmtId="168" fontId="24" fillId="0" borderId="25" xfId="5" applyNumberFormat="1" applyFont="1" applyBorder="1" applyAlignment="1">
      <alignment vertical="center"/>
    </xf>
    <xf numFmtId="168" fontId="5" fillId="0" borderId="0" xfId="5" applyNumberFormat="1" applyFont="1" applyBorder="1" applyAlignment="1">
      <alignment vertical="center"/>
    </xf>
    <xf numFmtId="168" fontId="5" fillId="0" borderId="6" xfId="5" applyNumberFormat="1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5" fillId="0" borderId="61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7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165" fontId="5" fillId="0" borderId="9" xfId="2" applyNumberFormat="1" applyFont="1" applyBorder="1" applyAlignment="1">
      <alignment vertical="center"/>
    </xf>
    <xf numFmtId="165" fontId="5" fillId="0" borderId="54" xfId="2" applyNumberFormat="1" applyFont="1" applyBorder="1" applyAlignment="1">
      <alignment vertical="center"/>
    </xf>
    <xf numFmtId="165" fontId="5" fillId="0" borderId="31" xfId="2" applyNumberFormat="1" applyFont="1" applyBorder="1" applyAlignment="1">
      <alignment vertical="center"/>
    </xf>
    <xf numFmtId="0" fontId="5" fillId="0" borderId="69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168" fontId="24" fillId="0" borderId="26" xfId="5" applyNumberFormat="1" applyFont="1" applyBorder="1" applyAlignment="1">
      <alignment vertical="center"/>
    </xf>
    <xf numFmtId="168" fontId="5" fillId="0" borderId="54" xfId="5" applyNumberFormat="1" applyFont="1" applyBorder="1" applyAlignment="1">
      <alignment vertical="center"/>
    </xf>
    <xf numFmtId="0" fontId="24" fillId="0" borderId="70" xfId="0" applyFont="1" applyBorder="1" applyAlignment="1">
      <alignment vertical="center"/>
    </xf>
    <xf numFmtId="168" fontId="24" fillId="0" borderId="71" xfId="5" applyNumberFormat="1" applyFont="1" applyBorder="1" applyAlignment="1">
      <alignment vertical="center"/>
    </xf>
    <xf numFmtId="0" fontId="5" fillId="0" borderId="79" xfId="0" applyFont="1" applyBorder="1" applyAlignment="1">
      <alignment horizontal="center" vertical="center"/>
    </xf>
    <xf numFmtId="168" fontId="24" fillId="0" borderId="84" xfId="5" applyNumberFormat="1" applyFont="1" applyBorder="1" applyAlignment="1">
      <alignment vertical="center"/>
    </xf>
    <xf numFmtId="168" fontId="24" fillId="0" borderId="85" xfId="5" applyNumberFormat="1" applyFont="1" applyBorder="1" applyAlignment="1">
      <alignment vertical="center"/>
    </xf>
    <xf numFmtId="168" fontId="24" fillId="0" borderId="11" xfId="5" applyNumberFormat="1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168" fontId="24" fillId="0" borderId="56" xfId="5" applyNumberFormat="1" applyFont="1" applyBorder="1" applyAlignment="1">
      <alignment vertical="center"/>
    </xf>
    <xf numFmtId="0" fontId="5" fillId="12" borderId="61" xfId="0" applyFont="1" applyFill="1" applyBorder="1" applyAlignment="1">
      <alignment horizontal="center" vertical="center"/>
    </xf>
    <xf numFmtId="168" fontId="24" fillId="17" borderId="84" xfId="5" applyNumberFormat="1" applyFont="1" applyFill="1" applyBorder="1" applyAlignment="1">
      <alignment vertical="center"/>
    </xf>
    <xf numFmtId="168" fontId="24" fillId="17" borderId="85" xfId="5" applyNumberFormat="1" applyFont="1" applyFill="1" applyBorder="1" applyAlignment="1">
      <alignment vertical="center"/>
    </xf>
    <xf numFmtId="168" fontId="5" fillId="17" borderId="0" xfId="5" applyNumberFormat="1" applyFont="1" applyFill="1" applyBorder="1"/>
    <xf numFmtId="168" fontId="5" fillId="0" borderId="54" xfId="5" applyNumberFormat="1" applyFont="1" applyFill="1" applyBorder="1"/>
    <xf numFmtId="168" fontId="24" fillId="18" borderId="24" xfId="5" applyNumberFormat="1" applyFont="1" applyFill="1" applyBorder="1" applyAlignment="1">
      <alignment vertical="center"/>
    </xf>
    <xf numFmtId="168" fontId="24" fillId="18" borderId="25" xfId="5" applyNumberFormat="1" applyFont="1" applyFill="1" applyBorder="1" applyAlignment="1">
      <alignment vertical="center"/>
    </xf>
    <xf numFmtId="168" fontId="31" fillId="0" borderId="0" xfId="5" applyNumberFormat="1" applyFont="1" applyBorder="1"/>
    <xf numFmtId="168" fontId="5" fillId="18" borderId="54" xfId="5" applyNumberFormat="1" applyFont="1" applyFill="1" applyBorder="1"/>
    <xf numFmtId="168" fontId="24" fillId="19" borderId="24" xfId="5" applyNumberFormat="1" applyFont="1" applyFill="1" applyBorder="1" applyAlignment="1">
      <alignment vertical="center"/>
    </xf>
    <xf numFmtId="168" fontId="24" fillId="19" borderId="25" xfId="5" applyNumberFormat="1" applyFont="1" applyFill="1" applyBorder="1" applyAlignment="1">
      <alignment vertical="center"/>
    </xf>
    <xf numFmtId="168" fontId="5" fillId="0" borderId="0" xfId="5" applyNumberFormat="1" applyFont="1" applyFill="1" applyBorder="1"/>
    <xf numFmtId="168" fontId="5" fillId="19" borderId="54" xfId="5" applyNumberFormat="1" applyFont="1" applyFill="1" applyBorder="1"/>
    <xf numFmtId="0" fontId="5" fillId="13" borderId="32" xfId="0" applyFont="1" applyFill="1" applyBorder="1"/>
    <xf numFmtId="168" fontId="5" fillId="13" borderId="57" xfId="0" applyNumberFormat="1" applyFont="1" applyFill="1" applyBorder="1"/>
    <xf numFmtId="168" fontId="5" fillId="13" borderId="58" xfId="0" applyNumberFormat="1" applyFont="1" applyFill="1" applyBorder="1"/>
    <xf numFmtId="10" fontId="7" fillId="0" borderId="0" xfId="4" applyNumberFormat="1" applyFont="1"/>
    <xf numFmtId="168" fontId="6" fillId="5" borderId="0" xfId="5" applyNumberFormat="1" applyFont="1" applyFill="1" applyAlignment="1">
      <alignment vertical="center"/>
    </xf>
    <xf numFmtId="0" fontId="6" fillId="0" borderId="31" xfId="0" applyFont="1" applyBorder="1" applyAlignment="1">
      <alignment horizontal="center" vertical="center"/>
    </xf>
    <xf numFmtId="168" fontId="6" fillId="20" borderId="0" xfId="5" applyNumberFormat="1" applyFont="1" applyFill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68" fontId="6" fillId="0" borderId="54" xfId="5" applyNumberFormat="1" applyFont="1" applyBorder="1" applyAlignment="1">
      <alignment horizontal="center" vertical="center"/>
    </xf>
    <xf numFmtId="10" fontId="6" fillId="0" borderId="0" xfId="4" applyNumberFormat="1" applyFont="1" applyBorder="1" applyAlignment="1">
      <alignment horizontal="center" vertical="center"/>
    </xf>
    <xf numFmtId="168" fontId="6" fillId="20" borderId="0" xfId="5" applyNumberFormat="1" applyFont="1" applyFill="1" applyBorder="1" applyAlignment="1">
      <alignment vertical="center"/>
    </xf>
    <xf numFmtId="0" fontId="15" fillId="0" borderId="27" xfId="0" applyFont="1" applyBorder="1" applyAlignment="1">
      <alignment vertical="center"/>
    </xf>
    <xf numFmtId="168" fontId="15" fillId="0" borderId="24" xfId="5" applyNumberFormat="1" applyFont="1" applyBorder="1" applyAlignment="1">
      <alignment vertical="center"/>
    </xf>
    <xf numFmtId="9" fontId="15" fillId="0" borderId="24" xfId="4" applyFont="1" applyBorder="1" applyAlignment="1">
      <alignment horizontal="center" vertical="center"/>
    </xf>
    <xf numFmtId="168" fontId="15" fillId="0" borderId="26" xfId="5" applyNumberFormat="1" applyFont="1" applyBorder="1" applyAlignment="1">
      <alignment vertical="center"/>
    </xf>
    <xf numFmtId="10" fontId="15" fillId="0" borderId="24" xfId="4" applyNumberFormat="1" applyFont="1" applyBorder="1" applyAlignment="1">
      <alignment horizontal="center" vertical="center"/>
    </xf>
    <xf numFmtId="168" fontId="6" fillId="0" borderId="0" xfId="5" applyNumberFormat="1" applyFont="1" applyBorder="1" applyAlignment="1">
      <alignment vertical="center"/>
    </xf>
    <xf numFmtId="0" fontId="7" fillId="5" borderId="27" xfId="0" applyFont="1" applyFill="1" applyBorder="1" applyAlignment="1">
      <alignment vertical="center"/>
    </xf>
    <xf numFmtId="168" fontId="7" fillId="5" borderId="24" xfId="5" applyNumberFormat="1" applyFont="1" applyFill="1" applyBorder="1" applyAlignment="1">
      <alignment vertical="center"/>
    </xf>
    <xf numFmtId="9" fontId="7" fillId="5" borderId="24" xfId="4" applyFont="1" applyFill="1" applyBorder="1" applyAlignment="1">
      <alignment horizontal="center" vertical="center"/>
    </xf>
    <xf numFmtId="168" fontId="7" fillId="5" borderId="26" xfId="5" applyNumberFormat="1" applyFont="1" applyFill="1" applyBorder="1" applyAlignment="1">
      <alignment vertical="center"/>
    </xf>
    <xf numFmtId="10" fontId="7" fillId="5" borderId="24" xfId="4" applyNumberFormat="1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vertical="center"/>
    </xf>
    <xf numFmtId="168" fontId="7" fillId="5" borderId="11" xfId="5" applyNumberFormat="1" applyFont="1" applyFill="1" applyBorder="1" applyAlignment="1">
      <alignment vertical="center"/>
    </xf>
    <xf numFmtId="9" fontId="7" fillId="5" borderId="11" xfId="4" applyFont="1" applyFill="1" applyBorder="1" applyAlignment="1">
      <alignment horizontal="center" vertical="center"/>
    </xf>
    <xf numFmtId="168" fontId="7" fillId="5" borderId="56" xfId="5" applyNumberFormat="1" applyFont="1" applyFill="1" applyBorder="1" applyAlignment="1">
      <alignment vertical="center"/>
    </xf>
    <xf numFmtId="168" fontId="6" fillId="8" borderId="0" xfId="0" applyNumberFormat="1" applyFont="1" applyFill="1" applyAlignment="1">
      <alignment vertical="center"/>
    </xf>
    <xf numFmtId="10" fontId="7" fillId="5" borderId="11" xfId="4" applyNumberFormat="1" applyFont="1" applyFill="1" applyBorder="1" applyAlignment="1">
      <alignment horizontal="center" vertical="center"/>
    </xf>
    <xf numFmtId="168" fontId="6" fillId="0" borderId="54" xfId="5" applyNumberFormat="1" applyFont="1" applyBorder="1" applyAlignment="1">
      <alignment vertical="center"/>
    </xf>
    <xf numFmtId="168" fontId="6" fillId="0" borderId="53" xfId="5" applyNumberFormat="1" applyFont="1" applyBorder="1" applyAlignment="1">
      <alignment horizontal="center" vertical="center"/>
    </xf>
    <xf numFmtId="168" fontId="15" fillId="0" borderId="23" xfId="5" applyNumberFormat="1" applyFont="1" applyBorder="1" applyAlignment="1">
      <alignment vertical="center"/>
    </xf>
    <xf numFmtId="168" fontId="6" fillId="20" borderId="53" xfId="5" applyNumberFormat="1" applyFont="1" applyFill="1" applyBorder="1" applyAlignment="1">
      <alignment vertical="center"/>
    </xf>
    <xf numFmtId="168" fontId="7" fillId="5" borderId="23" xfId="5" applyNumberFormat="1" applyFont="1" applyFill="1" applyBorder="1" applyAlignment="1">
      <alignment vertical="center"/>
    </xf>
    <xf numFmtId="168" fontId="6" fillId="0" borderId="53" xfId="5" applyNumberFormat="1" applyFont="1" applyBorder="1" applyAlignment="1">
      <alignment vertical="center"/>
    </xf>
    <xf numFmtId="168" fontId="7" fillId="5" borderId="44" xfId="5" applyNumberFormat="1" applyFont="1" applyFill="1" applyBorder="1" applyAlignment="1">
      <alignment vertical="center"/>
    </xf>
    <xf numFmtId="168" fontId="32" fillId="0" borderId="0" xfId="5" applyNumberFormat="1" applyFont="1" applyFill="1" applyBorder="1" applyAlignment="1">
      <alignment horizontal="center" vertical="center"/>
    </xf>
    <xf numFmtId="168" fontId="32" fillId="0" borderId="0" xfId="5" applyNumberFormat="1" applyFont="1" applyBorder="1" applyAlignment="1">
      <alignment horizontal="center" vertical="center"/>
    </xf>
    <xf numFmtId="168" fontId="32" fillId="0" borderId="53" xfId="5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right"/>
    </xf>
    <xf numFmtId="168" fontId="7" fillId="0" borderId="84" xfId="5" applyNumberFormat="1" applyFont="1" applyBorder="1"/>
    <xf numFmtId="168" fontId="7" fillId="0" borderId="85" xfId="5" applyNumberFormat="1" applyFont="1" applyBorder="1"/>
    <xf numFmtId="168" fontId="7" fillId="12" borderId="72" xfId="5" applyNumberFormat="1" applyFont="1" applyFill="1" applyBorder="1"/>
    <xf numFmtId="0" fontId="6" fillId="0" borderId="78" xfId="0" applyFont="1" applyBorder="1"/>
    <xf numFmtId="0" fontId="6" fillId="12" borderId="53" xfId="0" applyFont="1" applyFill="1" applyBorder="1"/>
    <xf numFmtId="168" fontId="6" fillId="12" borderId="7" xfId="5" applyNumberFormat="1" applyFont="1" applyFill="1" applyBorder="1"/>
    <xf numFmtId="0" fontId="8" fillId="12" borderId="53" xfId="0" applyFont="1" applyFill="1" applyBorder="1" applyAlignment="1">
      <alignment horizontal="right"/>
    </xf>
    <xf numFmtId="0" fontId="6" fillId="12" borderId="78" xfId="0" applyFont="1" applyFill="1" applyBorder="1"/>
    <xf numFmtId="168" fontId="6" fillId="12" borderId="30" xfId="5" applyNumberFormat="1" applyFont="1" applyFill="1" applyBorder="1"/>
    <xf numFmtId="0" fontId="7" fillId="12" borderId="70" xfId="0" applyFont="1" applyFill="1" applyBorder="1"/>
    <xf numFmtId="168" fontId="7" fillId="12" borderId="13" xfId="5" applyNumberFormat="1" applyFont="1" applyFill="1" applyBorder="1"/>
    <xf numFmtId="0" fontId="6" fillId="12" borderId="41" xfId="0" applyFont="1" applyFill="1" applyBorder="1" applyAlignment="1">
      <alignment horizontal="center"/>
    </xf>
    <xf numFmtId="165" fontId="7" fillId="12" borderId="20" xfId="2" applyNumberFormat="1" applyFont="1" applyFill="1" applyBorder="1"/>
    <xf numFmtId="0" fontId="33" fillId="0" borderId="53" xfId="0" applyFont="1" applyBorder="1" applyAlignment="1">
      <alignment horizontal="left" indent="1"/>
    </xf>
    <xf numFmtId="168" fontId="33" fillId="0" borderId="7" xfId="5" applyNumberFormat="1" applyFont="1" applyBorder="1"/>
    <xf numFmtId="168" fontId="33" fillId="0" borderId="0" xfId="5" applyNumberFormat="1" applyFont="1" applyBorder="1"/>
    <xf numFmtId="168" fontId="18" fillId="12" borderId="20" xfId="5" applyNumberFormat="1" applyFont="1" applyFill="1" applyBorder="1"/>
    <xf numFmtId="0" fontId="34" fillId="0" borderId="0" xfId="0" applyFont="1"/>
    <xf numFmtId="168" fontId="0" fillId="0" borderId="0" xfId="0" applyNumberFormat="1"/>
    <xf numFmtId="0" fontId="0" fillId="12" borderId="20" xfId="0" applyFill="1" applyBorder="1"/>
    <xf numFmtId="0" fontId="28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8" fontId="6" fillId="0" borderId="7" xfId="5" applyNumberFormat="1" applyFont="1" applyBorder="1" applyAlignment="1">
      <alignment vertical="center"/>
    </xf>
    <xf numFmtId="10" fontId="28" fillId="0" borderId="6" xfId="4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168" fontId="7" fillId="0" borderId="28" xfId="0" applyNumberFormat="1" applyFont="1" applyBorder="1" applyAlignment="1">
      <alignment vertical="center"/>
    </xf>
    <xf numFmtId="10" fontId="35" fillId="0" borderId="25" xfId="4" applyNumberFormat="1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68" fontId="7" fillId="0" borderId="7" xfId="0" applyNumberFormat="1" applyFont="1" applyBorder="1" applyAlignment="1">
      <alignment vertical="center"/>
    </xf>
    <xf numFmtId="10" fontId="35" fillId="0" borderId="6" xfId="4" applyNumberFormat="1" applyFont="1" applyBorder="1" applyAlignment="1">
      <alignment horizontal="center" vertical="center"/>
    </xf>
    <xf numFmtId="168" fontId="6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86" xfId="0" applyBorder="1"/>
    <xf numFmtId="0" fontId="0" fillId="0" borderId="7" xfId="0" applyBorder="1"/>
    <xf numFmtId="0" fontId="0" fillId="0" borderId="6" xfId="0" applyBorder="1"/>
    <xf numFmtId="168" fontId="7" fillId="11" borderId="57" xfId="5" applyNumberFormat="1" applyFont="1" applyFill="1" applyBorder="1" applyAlignment="1">
      <alignment horizontal="center" vertical="center"/>
    </xf>
    <xf numFmtId="165" fontId="6" fillId="0" borderId="0" xfId="2" applyNumberFormat="1" applyFont="1" applyAlignment="1">
      <alignment vertical="center"/>
    </xf>
    <xf numFmtId="165" fontId="28" fillId="0" borderId="0" xfId="2" applyNumberFormat="1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168" fontId="6" fillId="0" borderId="0" xfId="5" applyNumberFormat="1" applyFont="1" applyAlignment="1">
      <alignment vertical="center"/>
    </xf>
    <xf numFmtId="168" fontId="28" fillId="0" borderId="0" xfId="5" applyNumberFormat="1" applyFont="1" applyAlignment="1">
      <alignment horizontal="center" vertical="center"/>
    </xf>
    <xf numFmtId="168" fontId="7" fillId="0" borderId="0" xfId="5" applyNumberFormat="1" applyFont="1" applyAlignment="1">
      <alignment vertical="center"/>
    </xf>
    <xf numFmtId="168" fontId="35" fillId="0" borderId="0" xfId="5" applyNumberFormat="1" applyFont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0" fontId="35" fillId="0" borderId="0" xfId="0" applyFont="1" applyAlignment="1">
      <alignment horizontal="center" vertical="center"/>
    </xf>
    <xf numFmtId="0" fontId="8" fillId="0" borderId="78" xfId="0" applyFont="1" applyBorder="1" applyAlignment="1">
      <alignment horizontal="right" vertical="center"/>
    </xf>
    <xf numFmtId="0" fontId="8" fillId="0" borderId="69" xfId="0" quotePrefix="1" applyFont="1" applyBorder="1" applyAlignment="1">
      <alignment horizontal="right" vertical="center"/>
    </xf>
    <xf numFmtId="0" fontId="6" fillId="0" borderId="23" xfId="0" applyFont="1" applyBorder="1" applyAlignment="1">
      <alignment horizontal="center"/>
    </xf>
    <xf numFmtId="168" fontId="6" fillId="0" borderId="0" xfId="0" applyNumberFormat="1" applyFont="1" applyAlignment="1">
      <alignment vertical="center"/>
    </xf>
    <xf numFmtId="168" fontId="7" fillId="0" borderId="24" xfId="0" applyNumberFormat="1" applyFont="1" applyBorder="1" applyAlignment="1">
      <alignment vertical="center"/>
    </xf>
    <xf numFmtId="168" fontId="6" fillId="0" borderId="5" xfId="5" applyNumberFormat="1" applyFont="1" applyBorder="1" applyAlignment="1">
      <alignment vertical="center"/>
    </xf>
    <xf numFmtId="168" fontId="7" fillId="0" borderId="57" xfId="5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168" fontId="32" fillId="0" borderId="0" xfId="5" applyNumberFormat="1" applyFont="1" applyBorder="1" applyAlignment="1">
      <alignment vertical="center"/>
    </xf>
    <xf numFmtId="168" fontId="32" fillId="0" borderId="5" xfId="5" applyNumberFormat="1" applyFont="1" applyBorder="1" applyAlignment="1">
      <alignment vertical="center"/>
    </xf>
    <xf numFmtId="168" fontId="32" fillId="0" borderId="0" xfId="0" applyNumberFormat="1" applyFont="1" applyAlignment="1">
      <alignment vertical="center"/>
    </xf>
    <xf numFmtId="0" fontId="7" fillId="0" borderId="27" xfId="0" applyFont="1" applyBorder="1" applyAlignment="1">
      <alignment vertical="center"/>
    </xf>
    <xf numFmtId="168" fontId="7" fillId="12" borderId="41" xfId="0" applyNumberFormat="1" applyFont="1" applyFill="1" applyBorder="1" applyAlignment="1">
      <alignment vertical="center"/>
    </xf>
    <xf numFmtId="0" fontId="32" fillId="0" borderId="69" xfId="0" applyFont="1" applyBorder="1" applyAlignment="1">
      <alignment vertical="center"/>
    </xf>
    <xf numFmtId="168" fontId="15" fillId="12" borderId="20" xfId="5" applyNumberFormat="1" applyFont="1" applyFill="1" applyBorder="1"/>
    <xf numFmtId="0" fontId="32" fillId="0" borderId="69" xfId="0" quotePrefix="1" applyFont="1" applyBorder="1" applyAlignment="1">
      <alignment vertical="center"/>
    </xf>
    <xf numFmtId="0" fontId="32" fillId="0" borderId="68" xfId="0" applyFont="1" applyBorder="1" applyAlignment="1">
      <alignment vertical="center"/>
    </xf>
    <xf numFmtId="168" fontId="15" fillId="12" borderId="67" xfId="5" applyNumberFormat="1" applyFont="1" applyFill="1" applyBorder="1" applyAlignment="1">
      <alignment vertical="center"/>
    </xf>
    <xf numFmtId="168" fontId="7" fillId="12" borderId="67" xfId="5" applyNumberFormat="1" applyFont="1" applyFill="1" applyBorder="1" applyAlignment="1">
      <alignment vertical="center"/>
    </xf>
    <xf numFmtId="0" fontId="7" fillId="0" borderId="70" xfId="0" applyFont="1" applyBorder="1" applyAlignment="1">
      <alignment vertical="center"/>
    </xf>
    <xf numFmtId="168" fontId="7" fillId="0" borderId="11" xfId="0" applyNumberFormat="1" applyFont="1" applyBorder="1" applyAlignment="1">
      <alignment vertical="center"/>
    </xf>
    <xf numFmtId="44" fontId="5" fillId="0" borderId="0" xfId="0" applyNumberFormat="1" applyFont="1"/>
    <xf numFmtId="43" fontId="5" fillId="0" borderId="0" xfId="2" applyFont="1"/>
    <xf numFmtId="0" fontId="6" fillId="0" borderId="77" xfId="0" applyFont="1" applyBorder="1"/>
    <xf numFmtId="168" fontId="7" fillId="0" borderId="56" xfId="0" applyNumberFormat="1" applyFont="1" applyBorder="1" applyAlignment="1">
      <alignment vertical="center"/>
    </xf>
    <xf numFmtId="0" fontId="8" fillId="0" borderId="69" xfId="0" applyFont="1" applyBorder="1" applyAlignment="1">
      <alignment horizontal="right"/>
    </xf>
    <xf numFmtId="0" fontId="7" fillId="0" borderId="73" xfId="0" applyFont="1" applyBorder="1"/>
    <xf numFmtId="168" fontId="7" fillId="0" borderId="57" xfId="0" applyNumberFormat="1" applyFont="1" applyBorder="1" applyAlignment="1">
      <alignment vertical="center"/>
    </xf>
    <xf numFmtId="168" fontId="7" fillId="0" borderId="58" xfId="0" applyNumberFormat="1" applyFont="1" applyBorder="1" applyAlignment="1">
      <alignment vertical="center"/>
    </xf>
    <xf numFmtId="0" fontId="6" fillId="12" borderId="0" xfId="0" applyFont="1" applyFill="1"/>
    <xf numFmtId="168" fontId="7" fillId="12" borderId="11" xfId="0" applyNumberFormat="1" applyFont="1" applyFill="1" applyBorder="1" applyAlignment="1">
      <alignment vertical="center"/>
    </xf>
    <xf numFmtId="0" fontId="6" fillId="12" borderId="7" xfId="0" applyFont="1" applyFill="1" applyBorder="1"/>
    <xf numFmtId="168" fontId="6" fillId="0" borderId="53" xfId="5" applyNumberFormat="1" applyFont="1" applyBorder="1"/>
    <xf numFmtId="168" fontId="6" fillId="12" borderId="20" xfId="0" applyNumberFormat="1" applyFont="1" applyFill="1" applyBorder="1"/>
    <xf numFmtId="168" fontId="7" fillId="0" borderId="44" xfId="5" applyNumberFormat="1" applyFont="1" applyBorder="1" applyAlignment="1">
      <alignment vertical="center"/>
    </xf>
    <xf numFmtId="0" fontId="6" fillId="0" borderId="3" xfId="0" applyFont="1" applyBorder="1"/>
    <xf numFmtId="0" fontId="8" fillId="0" borderId="7" xfId="0" applyFont="1" applyBorder="1" applyAlignment="1">
      <alignment horizontal="right"/>
    </xf>
    <xf numFmtId="0" fontId="7" fillId="0" borderId="84" xfId="0" applyFont="1" applyBorder="1"/>
    <xf numFmtId="168" fontId="7" fillId="0" borderId="44" xfId="0" applyNumberFormat="1" applyFont="1" applyBorder="1" applyAlignment="1">
      <alignment vertical="center"/>
    </xf>
    <xf numFmtId="168" fontId="6" fillId="16" borderId="0" xfId="5" applyNumberFormat="1" applyFont="1" applyFill="1" applyBorder="1"/>
    <xf numFmtId="168" fontId="6" fillId="16" borderId="54" xfId="5" applyNumberFormat="1" applyFont="1" applyFill="1" applyBorder="1"/>
    <xf numFmtId="168" fontId="6" fillId="14" borderId="0" xfId="5" applyNumberFormat="1" applyFont="1" applyFill="1" applyBorder="1"/>
    <xf numFmtId="168" fontId="6" fillId="14" borderId="54" xfId="5" applyNumberFormat="1" applyFont="1" applyFill="1" applyBorder="1"/>
    <xf numFmtId="168" fontId="6" fillId="11" borderId="0" xfId="5" applyNumberFormat="1" applyFont="1" applyFill="1" applyBorder="1"/>
    <xf numFmtId="168" fontId="6" fillId="8" borderId="0" xfId="5" applyNumberFormat="1" applyFont="1" applyFill="1" applyBorder="1"/>
    <xf numFmtId="168" fontId="6" fillId="8" borderId="54" xfId="5" applyNumberFormat="1" applyFont="1" applyFill="1" applyBorder="1"/>
    <xf numFmtId="0" fontId="18" fillId="0" borderId="7" xfId="0" applyFont="1" applyBorder="1" applyAlignment="1">
      <alignment horizontal="right"/>
    </xf>
    <xf numFmtId="0" fontId="6" fillId="0" borderId="7" xfId="0" quotePrefix="1" applyFont="1" applyBorder="1"/>
    <xf numFmtId="168" fontId="6" fillId="0" borderId="53" xfId="0" applyNumberFormat="1" applyFont="1" applyBorder="1"/>
    <xf numFmtId="0" fontId="6" fillId="12" borderId="54" xfId="0" applyFont="1" applyFill="1" applyBorder="1"/>
    <xf numFmtId="168" fontId="6" fillId="12" borderId="53" xfId="5" applyNumberFormat="1" applyFont="1" applyFill="1" applyBorder="1"/>
    <xf numFmtId="0" fontId="6" fillId="12" borderId="7" xfId="0" quotePrefix="1" applyFont="1" applyFill="1" applyBorder="1"/>
    <xf numFmtId="0" fontId="7" fillId="12" borderId="84" xfId="0" applyFont="1" applyFill="1" applyBorder="1"/>
    <xf numFmtId="168" fontId="7" fillId="12" borderId="44" xfId="0" applyNumberFormat="1" applyFont="1" applyFill="1" applyBorder="1" applyAlignment="1">
      <alignment vertical="center"/>
    </xf>
    <xf numFmtId="168" fontId="7" fillId="12" borderId="56" xfId="0" applyNumberFormat="1" applyFont="1" applyFill="1" applyBorder="1" applyAlignment="1">
      <alignment vertical="center"/>
    </xf>
    <xf numFmtId="168" fontId="7" fillId="12" borderId="44" xfId="5" applyNumberFormat="1" applyFont="1" applyFill="1" applyBorder="1" applyAlignment="1">
      <alignment vertical="center"/>
    </xf>
    <xf numFmtId="0" fontId="7" fillId="0" borderId="57" xfId="0" applyFont="1" applyBorder="1"/>
    <xf numFmtId="168" fontId="7" fillId="0" borderId="57" xfId="0" applyNumberFormat="1" applyFont="1" applyBorder="1"/>
    <xf numFmtId="168" fontId="7" fillId="0" borderId="58" xfId="0" applyNumberFormat="1" applyFont="1" applyBorder="1"/>
    <xf numFmtId="9" fontId="6" fillId="0" borderId="0" xfId="0" applyNumberFormat="1" applyFont="1" applyAlignment="1">
      <alignment horizontal="left"/>
    </xf>
    <xf numFmtId="168" fontId="6" fillId="21" borderId="0" xfId="5" applyNumberFormat="1" applyFont="1" applyFill="1" applyBorder="1"/>
    <xf numFmtId="168" fontId="6" fillId="12" borderId="0" xfId="0" applyNumberFormat="1" applyFont="1" applyFill="1"/>
    <xf numFmtId="168" fontId="7" fillId="0" borderId="55" xfId="0" applyNumberFormat="1" applyFont="1" applyBorder="1" applyAlignment="1">
      <alignment vertical="center"/>
    </xf>
    <xf numFmtId="168" fontId="6" fillId="21" borderId="54" xfId="5" applyNumberFormat="1" applyFont="1" applyFill="1" applyBorder="1"/>
    <xf numFmtId="0" fontId="6" fillId="0" borderId="87" xfId="0" applyFont="1" applyBorder="1"/>
    <xf numFmtId="0" fontId="6" fillId="0" borderId="51" xfId="0" applyFont="1" applyBorder="1" applyAlignment="1">
      <alignment horizontal="right"/>
    </xf>
    <xf numFmtId="0" fontId="6" fillId="0" borderId="88" xfId="0" applyFont="1" applyBorder="1"/>
    <xf numFmtId="0" fontId="7" fillId="0" borderId="55" xfId="0" applyFont="1" applyBorder="1"/>
    <xf numFmtId="0" fontId="18" fillId="0" borderId="51" xfId="0" applyFont="1" applyBorder="1" applyAlignment="1">
      <alignment horizontal="right"/>
    </xf>
    <xf numFmtId="0" fontId="6" fillId="12" borderId="51" xfId="0" applyFont="1" applyFill="1" applyBorder="1"/>
    <xf numFmtId="0" fontId="6" fillId="12" borderId="51" xfId="0" quotePrefix="1" applyFont="1" applyFill="1" applyBorder="1"/>
    <xf numFmtId="0" fontId="7" fillId="12" borderId="55" xfId="0" applyFont="1" applyFill="1" applyBorder="1"/>
    <xf numFmtId="0" fontId="7" fillId="0" borderId="56" xfId="0" applyFont="1" applyBorder="1"/>
    <xf numFmtId="0" fontId="6" fillId="11" borderId="7" xfId="0" quotePrefix="1" applyFont="1" applyFill="1" applyBorder="1"/>
    <xf numFmtId="0" fontId="6" fillId="11" borderId="53" xfId="0" applyFont="1" applyFill="1" applyBorder="1"/>
    <xf numFmtId="0" fontId="6" fillId="11" borderId="0" xfId="0" applyFont="1" applyFill="1"/>
    <xf numFmtId="0" fontId="6" fillId="11" borderId="54" xfId="0" applyFont="1" applyFill="1" applyBorder="1"/>
    <xf numFmtId="168" fontId="6" fillId="11" borderId="53" xfId="5" applyNumberFormat="1" applyFont="1" applyFill="1" applyBorder="1"/>
    <xf numFmtId="168" fontId="6" fillId="11" borderId="20" xfId="0" applyNumberFormat="1" applyFont="1" applyFill="1" applyBorder="1"/>
    <xf numFmtId="0" fontId="6" fillId="11" borderId="51" xfId="0" quotePrefix="1" applyFont="1" applyFill="1" applyBorder="1"/>
    <xf numFmtId="168" fontId="7" fillId="0" borderId="11" xfId="0" applyNumberFormat="1" applyFont="1" applyBorder="1"/>
    <xf numFmtId="0" fontId="6" fillId="8" borderId="51" xfId="0" applyFont="1" applyFill="1" applyBorder="1"/>
    <xf numFmtId="0" fontId="6" fillId="8" borderId="54" xfId="0" applyFont="1" applyFill="1" applyBorder="1"/>
    <xf numFmtId="168" fontId="6" fillId="0" borderId="54" xfId="5" applyNumberFormat="1" applyFont="1" applyBorder="1" applyAlignment="1">
      <alignment horizontal="center"/>
    </xf>
    <xf numFmtId="0" fontId="7" fillId="0" borderId="55" xfId="0" applyFont="1" applyBorder="1" applyAlignment="1">
      <alignment wrapText="1"/>
    </xf>
    <xf numFmtId="0" fontId="6" fillId="12" borderId="1" xfId="0" applyFont="1" applyFill="1" applyBorder="1"/>
    <xf numFmtId="0" fontId="6" fillId="12" borderId="12" xfId="0" applyFont="1" applyFill="1" applyBorder="1"/>
    <xf numFmtId="168" fontId="6" fillId="12" borderId="12" xfId="0" applyNumberFormat="1" applyFont="1" applyFill="1" applyBorder="1"/>
    <xf numFmtId="168" fontId="6" fillId="12" borderId="22" xfId="0" applyNumberFormat="1" applyFont="1" applyFill="1" applyBorder="1"/>
    <xf numFmtId="168" fontId="6" fillId="12" borderId="54" xfId="0" applyNumberFormat="1" applyFont="1" applyFill="1" applyBorder="1"/>
    <xf numFmtId="0" fontId="6" fillId="12" borderId="8" xfId="0" applyFont="1" applyFill="1" applyBorder="1"/>
    <xf numFmtId="0" fontId="6" fillId="12" borderId="13" xfId="0" applyFont="1" applyFill="1" applyBorder="1"/>
    <xf numFmtId="168" fontId="6" fillId="12" borderId="13" xfId="0" applyNumberFormat="1" applyFont="1" applyFill="1" applyBorder="1"/>
    <xf numFmtId="168" fontId="6" fillId="12" borderId="17" xfId="0" applyNumberFormat="1" applyFont="1" applyFill="1" applyBorder="1"/>
    <xf numFmtId="168" fontId="15" fillId="0" borderId="53" xfId="0" applyNumberFormat="1" applyFont="1" applyBorder="1"/>
    <xf numFmtId="168" fontId="15" fillId="0" borderId="54" xfId="0" applyNumberFormat="1" applyFont="1" applyBorder="1"/>
    <xf numFmtId="164" fontId="6" fillId="0" borderId="54" xfId="5" applyFont="1" applyBorder="1"/>
    <xf numFmtId="0" fontId="6" fillId="0" borderId="53" xfId="0" quotePrefix="1" applyFont="1" applyBorder="1"/>
    <xf numFmtId="0" fontId="7" fillId="0" borderId="53" xfId="0" applyFont="1" applyBorder="1"/>
    <xf numFmtId="164" fontId="7" fillId="0" borderId="54" xfId="5" applyFont="1" applyBorder="1"/>
    <xf numFmtId="0" fontId="6" fillId="0" borderId="8" xfId="0" applyFont="1" applyBorder="1"/>
    <xf numFmtId="164" fontId="6" fillId="8" borderId="17" xfId="5" applyFont="1" applyFill="1" applyBorder="1"/>
    <xf numFmtId="0" fontId="7" fillId="0" borderId="44" xfId="0" applyFont="1" applyBorder="1"/>
    <xf numFmtId="0" fontId="6" fillId="12" borderId="82" xfId="0" applyFont="1" applyFill="1" applyBorder="1" applyAlignment="1">
      <alignment horizontal="center" vertical="center"/>
    </xf>
    <xf numFmtId="0" fontId="6" fillId="12" borderId="51" xfId="0" applyFont="1" applyFill="1" applyBorder="1" applyAlignment="1">
      <alignment horizontal="center" vertical="center"/>
    </xf>
    <xf numFmtId="0" fontId="7" fillId="12" borderId="43" xfId="0" applyFont="1" applyFill="1" applyBorder="1" applyAlignment="1">
      <alignment horizontal="center" vertical="center"/>
    </xf>
    <xf numFmtId="168" fontId="6" fillId="12" borderId="51" xfId="5" applyNumberFormat="1" applyFont="1" applyFill="1" applyBorder="1"/>
    <xf numFmtId="168" fontId="7" fillId="12" borderId="43" xfId="5" applyNumberFormat="1" applyFont="1" applyFill="1" applyBorder="1" applyAlignment="1">
      <alignment horizontal="center" vertical="center"/>
    </xf>
    <xf numFmtId="168" fontId="25" fillId="12" borderId="51" xfId="5" applyNumberFormat="1" applyFont="1" applyFill="1" applyBorder="1"/>
    <xf numFmtId="168" fontId="26" fillId="12" borderId="43" xfId="5" applyNumberFormat="1" applyFont="1" applyFill="1" applyBorder="1" applyAlignment="1">
      <alignment horizontal="center" vertical="center"/>
    </xf>
    <xf numFmtId="168" fontId="6" fillId="12" borderId="51" xfId="5" applyNumberFormat="1" applyFont="1" applyFill="1" applyBorder="1" applyAlignment="1">
      <alignment horizontal="center"/>
    </xf>
    <xf numFmtId="168" fontId="7" fillId="0" borderId="11" xfId="5" applyNumberFormat="1" applyFont="1" applyBorder="1" applyAlignment="1">
      <alignment vertical="center"/>
    </xf>
    <xf numFmtId="0" fontId="36" fillId="0" borderId="0" xfId="0" applyFont="1"/>
    <xf numFmtId="168" fontId="36" fillId="5" borderId="0" xfId="5" applyNumberFormat="1" applyFont="1" applyFill="1"/>
    <xf numFmtId="0" fontId="37" fillId="0" borderId="0" xfId="0" applyFont="1"/>
    <xf numFmtId="168" fontId="37" fillId="0" borderId="0" xfId="5" applyNumberFormat="1" applyFont="1"/>
    <xf numFmtId="168" fontId="7" fillId="5" borderId="0" xfId="5" applyNumberFormat="1" applyFont="1" applyFill="1"/>
    <xf numFmtId="168" fontId="6" fillId="0" borderId="0" xfId="0" quotePrefix="1" applyNumberFormat="1" applyFont="1"/>
    <xf numFmtId="0" fontId="7" fillId="0" borderId="53" xfId="0" quotePrefix="1" applyFont="1" applyBorder="1"/>
    <xf numFmtId="168" fontId="7" fillId="0" borderId="54" xfId="0" applyNumberFormat="1" applyFont="1" applyBorder="1"/>
    <xf numFmtId="0" fontId="7" fillId="0" borderId="8" xfId="0" quotePrefix="1" applyFont="1" applyBorder="1"/>
    <xf numFmtId="168" fontId="7" fillId="0" borderId="13" xfId="0" applyNumberFormat="1" applyFont="1" applyBorder="1"/>
    <xf numFmtId="168" fontId="7" fillId="0" borderId="17" xfId="0" applyNumberFormat="1" applyFont="1" applyBorder="1"/>
    <xf numFmtId="0" fontId="7" fillId="0" borderId="1" xfId="0" quotePrefix="1" applyFont="1" applyBorder="1"/>
    <xf numFmtId="168" fontId="7" fillId="0" borderId="12" xfId="0" applyNumberFormat="1" applyFont="1" applyBorder="1"/>
    <xf numFmtId="168" fontId="7" fillId="0" borderId="22" xfId="0" applyNumberFormat="1" applyFont="1" applyBorder="1"/>
    <xf numFmtId="168" fontId="7" fillId="0" borderId="56" xfId="0" applyNumberFormat="1" applyFont="1" applyBorder="1"/>
    <xf numFmtId="168" fontId="6" fillId="0" borderId="54" xfId="5" applyNumberFormat="1" applyFont="1" applyFill="1" applyBorder="1"/>
    <xf numFmtId="168" fontId="7" fillId="0" borderId="0" xfId="5" applyNumberFormat="1" applyFont="1" applyFill="1" applyBorder="1"/>
    <xf numFmtId="168" fontId="7" fillId="0" borderId="54" xfId="5" applyNumberFormat="1" applyFont="1" applyFill="1" applyBorder="1"/>
    <xf numFmtId="0" fontId="7" fillId="0" borderId="8" xfId="0" applyFont="1" applyBorder="1"/>
    <xf numFmtId="168" fontId="6" fillId="0" borderId="7" xfId="5" applyNumberFormat="1" applyFont="1" applyFill="1" applyBorder="1"/>
    <xf numFmtId="168" fontId="7" fillId="0" borderId="84" xfId="5" applyNumberFormat="1" applyFont="1" applyFill="1" applyBorder="1" applyAlignment="1">
      <alignment vertical="center"/>
    </xf>
    <xf numFmtId="168" fontId="7" fillId="0" borderId="56" xfId="5" applyNumberFormat="1" applyFont="1" applyBorder="1" applyAlignment="1">
      <alignment vertical="center"/>
    </xf>
    <xf numFmtId="164" fontId="6" fillId="5" borderId="0" xfId="5" applyFont="1" applyFill="1" applyBorder="1"/>
    <xf numFmtId="168" fontId="7" fillId="12" borderId="57" xfId="0" applyNumberFormat="1" applyFont="1" applyFill="1" applyBorder="1"/>
    <xf numFmtId="168" fontId="7" fillId="12" borderId="58" xfId="0" applyNumberFormat="1" applyFont="1" applyFill="1" applyBorder="1"/>
    <xf numFmtId="168" fontId="7" fillId="0" borderId="26" xfId="0" applyNumberFormat="1" applyFont="1" applyBorder="1"/>
    <xf numFmtId="168" fontId="6" fillId="4" borderId="58" xfId="5" applyNumberFormat="1" applyFont="1" applyFill="1" applyBorder="1"/>
    <xf numFmtId="0" fontId="7" fillId="12" borderId="43" xfId="0" applyFont="1" applyFill="1" applyBorder="1"/>
    <xf numFmtId="0" fontId="7" fillId="0" borderId="40" xfId="0" applyFont="1" applyBorder="1"/>
    <xf numFmtId="0" fontId="7" fillId="0" borderId="39" xfId="0" applyFont="1" applyBorder="1"/>
    <xf numFmtId="0" fontId="7" fillId="0" borderId="83" xfId="0" applyFont="1" applyBorder="1"/>
    <xf numFmtId="168" fontId="6" fillId="0" borderId="51" xfId="5" applyNumberFormat="1" applyFont="1" applyFill="1" applyBorder="1"/>
    <xf numFmtId="0" fontId="1" fillId="13" borderId="1" xfId="7" applyFill="1" applyBorder="1" applyAlignment="1">
      <alignment horizontal="center"/>
    </xf>
    <xf numFmtId="0" fontId="1" fillId="13" borderId="12" xfId="7" applyFill="1" applyBorder="1" applyAlignment="1">
      <alignment horizontal="center"/>
    </xf>
    <xf numFmtId="14" fontId="1" fillId="13" borderId="12" xfId="7" applyNumberFormat="1" applyFill="1" applyBorder="1"/>
    <xf numFmtId="164" fontId="1" fillId="13" borderId="12" xfId="5" applyFont="1" applyFill="1" applyBorder="1"/>
    <xf numFmtId="168" fontId="1" fillId="13" borderId="12" xfId="7" applyNumberFormat="1" applyFill="1" applyBorder="1" applyAlignment="1">
      <alignment horizontal="center"/>
    </xf>
    <xf numFmtId="171" fontId="1" fillId="13" borderId="12" xfId="7" applyNumberFormat="1" applyFill="1" applyBorder="1"/>
    <xf numFmtId="171" fontId="1" fillId="13" borderId="22" xfId="7" applyNumberFormat="1" applyFill="1" applyBorder="1"/>
    <xf numFmtId="0" fontId="1" fillId="13" borderId="53" xfId="7" applyFill="1" applyBorder="1" applyAlignment="1">
      <alignment horizontal="center"/>
    </xf>
    <xf numFmtId="0" fontId="1" fillId="13" borderId="0" xfId="7" applyFill="1" applyAlignment="1">
      <alignment horizontal="center"/>
    </xf>
    <xf numFmtId="14" fontId="1" fillId="13" borderId="0" xfId="7" applyNumberFormat="1" applyFill="1"/>
    <xf numFmtId="164" fontId="1" fillId="13" borderId="0" xfId="5" applyFont="1" applyFill="1" applyBorder="1"/>
    <xf numFmtId="168" fontId="1" fillId="13" borderId="0" xfId="7" applyNumberFormat="1" applyFill="1" applyAlignment="1">
      <alignment horizontal="center"/>
    </xf>
    <xf numFmtId="171" fontId="1" fillId="13" borderId="0" xfId="7" applyNumberFormat="1" applyFill="1"/>
    <xf numFmtId="171" fontId="1" fillId="13" borderId="54" xfId="7" applyNumberFormat="1" applyFill="1" applyBorder="1"/>
    <xf numFmtId="0" fontId="1" fillId="13" borderId="8" xfId="7" applyFill="1" applyBorder="1" applyAlignment="1">
      <alignment horizontal="center"/>
    </xf>
    <xf numFmtId="0" fontId="1" fillId="13" borderId="13" xfId="7" applyFill="1" applyBorder="1" applyAlignment="1">
      <alignment horizontal="center"/>
    </xf>
    <xf numFmtId="14" fontId="1" fillId="13" borderId="13" xfId="7" applyNumberFormat="1" applyFill="1" applyBorder="1"/>
    <xf numFmtId="164" fontId="1" fillId="13" borderId="13" xfId="5" applyFont="1" applyFill="1" applyBorder="1"/>
    <xf numFmtId="168" fontId="1" fillId="13" borderId="13" xfId="7" applyNumberFormat="1" applyFill="1" applyBorder="1" applyAlignment="1">
      <alignment horizontal="center"/>
    </xf>
    <xf numFmtId="171" fontId="1" fillId="13" borderId="13" xfId="7" applyNumberFormat="1" applyFill="1" applyBorder="1"/>
    <xf numFmtId="171" fontId="1" fillId="13" borderId="17" xfId="7" applyNumberFormat="1" applyFill="1" applyBorder="1"/>
    <xf numFmtId="170" fontId="6" fillId="0" borderId="54" xfId="0" applyNumberFormat="1" applyFont="1" applyBorder="1"/>
    <xf numFmtId="0" fontId="13" fillId="5" borderId="51" xfId="0" applyFont="1" applyFill="1" applyBorder="1"/>
    <xf numFmtId="170" fontId="13" fillId="5" borderId="51" xfId="0" applyNumberFormat="1" applyFont="1" applyFill="1" applyBorder="1"/>
    <xf numFmtId="168" fontId="13" fillId="5" borderId="51" xfId="0" applyNumberFormat="1" applyFont="1" applyFill="1" applyBorder="1"/>
    <xf numFmtId="170" fontId="7" fillId="0" borderId="24" xfId="0" applyNumberFormat="1" applyFont="1" applyBorder="1"/>
    <xf numFmtId="170" fontId="7" fillId="0" borderId="26" xfId="0" applyNumberFormat="1" applyFont="1" applyBorder="1"/>
    <xf numFmtId="170" fontId="12" fillId="5" borderId="40" xfId="0" applyNumberFormat="1" applyFont="1" applyFill="1" applyBorder="1"/>
    <xf numFmtId="0" fontId="9" fillId="0" borderId="69" xfId="0" applyFont="1" applyBorder="1" applyAlignment="1">
      <alignment horizontal="right"/>
    </xf>
    <xf numFmtId="174" fontId="6" fillId="0" borderId="0" xfId="0" applyNumberFormat="1" applyFont="1"/>
    <xf numFmtId="174" fontId="6" fillId="0" borderId="54" xfId="0" applyNumberFormat="1" applyFont="1" applyBorder="1"/>
    <xf numFmtId="10" fontId="6" fillId="0" borderId="0" xfId="4" applyNumberFormat="1" applyFont="1" applyBorder="1"/>
    <xf numFmtId="168" fontId="12" fillId="5" borderId="55" xfId="0" applyNumberFormat="1" applyFont="1" applyFill="1" applyBorder="1"/>
    <xf numFmtId="174" fontId="7" fillId="0" borderId="11" xfId="0" applyNumberFormat="1" applyFont="1" applyBorder="1"/>
    <xf numFmtId="174" fontId="7" fillId="0" borderId="56" xfId="0" applyNumberFormat="1" applyFont="1" applyBorder="1"/>
    <xf numFmtId="168" fontId="13" fillId="5" borderId="39" xfId="0" applyNumberFormat="1" applyFont="1" applyFill="1" applyBorder="1"/>
    <xf numFmtId="168" fontId="12" fillId="5" borderId="40" xfId="0" applyNumberFormat="1" applyFont="1" applyFill="1" applyBorder="1"/>
    <xf numFmtId="0" fontId="6" fillId="0" borderId="59" xfId="0" applyFont="1" applyBorder="1" applyAlignment="1">
      <alignment horizontal="center"/>
    </xf>
    <xf numFmtId="0" fontId="6" fillId="12" borderId="81" xfId="0" applyFont="1" applyFill="1" applyBorder="1" applyAlignment="1">
      <alignment horizontal="center"/>
    </xf>
    <xf numFmtId="168" fontId="7" fillId="12" borderId="26" xfId="0" applyNumberFormat="1" applyFont="1" applyFill="1" applyBorder="1"/>
    <xf numFmtId="168" fontId="7" fillId="12" borderId="54" xfId="0" applyNumberFormat="1" applyFont="1" applyFill="1" applyBorder="1"/>
    <xf numFmtId="168" fontId="18" fillId="0" borderId="0" xfId="0" applyNumberFormat="1" applyFont="1"/>
    <xf numFmtId="0" fontId="18" fillId="12" borderId="54" xfId="0" applyFont="1" applyFill="1" applyBorder="1"/>
    <xf numFmtId="168" fontId="12" fillId="7" borderId="13" xfId="0" applyNumberFormat="1" applyFont="1" applyFill="1" applyBorder="1"/>
    <xf numFmtId="0" fontId="6" fillId="0" borderId="17" xfId="0" applyFont="1" applyBorder="1"/>
    <xf numFmtId="0" fontId="7" fillId="0" borderId="89" xfId="0" applyFont="1" applyBorder="1" applyAlignment="1">
      <alignment horizontal="left"/>
    </xf>
    <xf numFmtId="0" fontId="7" fillId="0" borderId="69" xfId="0" applyFont="1" applyBorder="1"/>
    <xf numFmtId="0" fontId="7" fillId="11" borderId="27" xfId="0" applyFont="1" applyFill="1" applyBorder="1"/>
    <xf numFmtId="0" fontId="18" fillId="0" borderId="69" xfId="0" applyFont="1" applyBorder="1"/>
    <xf numFmtId="0" fontId="12" fillId="7" borderId="76" xfId="0" quotePrefix="1" applyFont="1" applyFill="1" applyBorder="1"/>
    <xf numFmtId="168" fontId="6" fillId="0" borderId="0" xfId="5" quotePrefix="1" applyNumberFormat="1" applyFont="1"/>
    <xf numFmtId="168" fontId="28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168" fontId="7" fillId="0" borderId="11" xfId="5" applyNumberFormat="1" applyFont="1" applyFill="1" applyBorder="1" applyAlignment="1">
      <alignment vertical="center"/>
    </xf>
    <xf numFmtId="0" fontId="6" fillId="0" borderId="77" xfId="0" quotePrefix="1" applyFont="1" applyBorder="1"/>
    <xf numFmtId="164" fontId="28" fillId="0" borderId="0" xfId="5" applyFont="1" applyAlignment="1">
      <alignment horizontal="center" vertical="center"/>
    </xf>
    <xf numFmtId="168" fontId="34" fillId="0" borderId="0" xfId="0" applyNumberFormat="1" applyFont="1"/>
    <xf numFmtId="168" fontId="6" fillId="8" borderId="53" xfId="5" applyNumberFormat="1" applyFont="1" applyFill="1" applyBorder="1"/>
    <xf numFmtId="168" fontId="6" fillId="21" borderId="53" xfId="5" applyNumberFormat="1" applyFont="1" applyFill="1" applyBorder="1"/>
    <xf numFmtId="168" fontId="6" fillId="8" borderId="0" xfId="5" applyNumberFormat="1" applyFont="1" applyFill="1" applyAlignment="1">
      <alignment vertical="center"/>
    </xf>
    <xf numFmtId="168" fontId="28" fillId="8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8" fontId="39" fillId="0" borderId="0" xfId="5" applyNumberFormat="1" applyFont="1" applyAlignment="1">
      <alignment vertical="center"/>
    </xf>
    <xf numFmtId="168" fontId="0" fillId="0" borderId="80" xfId="0" applyNumberFormat="1" applyBorder="1"/>
    <xf numFmtId="168" fontId="39" fillId="8" borderId="0" xfId="5" applyNumberFormat="1" applyFont="1" applyFill="1" applyAlignment="1">
      <alignment vertical="center"/>
    </xf>
    <xf numFmtId="175" fontId="0" fillId="0" borderId="0" xfId="5" applyNumberFormat="1" applyFont="1"/>
    <xf numFmtId="175" fontId="0" fillId="0" borderId="0" xfId="0" applyNumberFormat="1"/>
    <xf numFmtId="168" fontId="24" fillId="0" borderId="0" xfId="0" applyNumberFormat="1" applyFont="1"/>
    <xf numFmtId="2" fontId="6" fillId="0" borderId="0" xfId="0" applyNumberFormat="1" applyFont="1" applyAlignment="1">
      <alignment horizontal="center" vertical="center"/>
    </xf>
    <xf numFmtId="1" fontId="7" fillId="0" borderId="57" xfId="0" applyNumberFormat="1" applyFont="1" applyBorder="1" applyAlignment="1">
      <alignment horizontal="center" vertical="center"/>
    </xf>
    <xf numFmtId="1" fontId="7" fillId="12" borderId="74" xfId="0" applyNumberFormat="1" applyFont="1" applyFill="1" applyBorder="1" applyAlignment="1">
      <alignment horizontal="center" vertical="center"/>
    </xf>
    <xf numFmtId="1" fontId="6" fillId="12" borderId="20" xfId="0" applyNumberFormat="1" applyFont="1" applyFill="1" applyBorder="1" applyAlignment="1">
      <alignment horizontal="right" vertical="center"/>
    </xf>
    <xf numFmtId="165" fontId="24" fillId="0" borderId="0" xfId="0" applyNumberFormat="1" applyFont="1"/>
    <xf numFmtId="176" fontId="6" fillId="0" borderId="0" xfId="4" applyNumberFormat="1" applyFont="1"/>
    <xf numFmtId="0" fontId="6" fillId="12" borderId="54" xfId="0" applyFont="1" applyFill="1" applyBorder="1" applyAlignment="1">
      <alignment horizontal="center" vertical="center"/>
    </xf>
    <xf numFmtId="165" fontId="24" fillId="0" borderId="0" xfId="2" applyNumberFormat="1" applyFont="1" applyBorder="1"/>
    <xf numFmtId="165" fontId="24" fillId="0" borderId="54" xfId="0" applyNumberFormat="1" applyFont="1" applyBorder="1"/>
    <xf numFmtId="168" fontId="24" fillId="0" borderId="54" xfId="0" applyNumberFormat="1" applyFont="1" applyBorder="1"/>
    <xf numFmtId="0" fontId="24" fillId="0" borderId="8" xfId="0" applyFont="1" applyBorder="1"/>
    <xf numFmtId="168" fontId="24" fillId="0" borderId="13" xfId="0" applyNumberFormat="1" applyFont="1" applyBorder="1"/>
    <xf numFmtId="168" fontId="24" fillId="0" borderId="17" xfId="0" applyNumberFormat="1" applyFont="1" applyBorder="1"/>
    <xf numFmtId="0" fontId="6" fillId="0" borderId="77" xfId="0" applyFont="1" applyBorder="1" applyAlignment="1">
      <alignment vertical="center"/>
    </xf>
    <xf numFmtId="0" fontId="41" fillId="0" borderId="69" xfId="0" applyFont="1" applyBorder="1"/>
    <xf numFmtId="0" fontId="35" fillId="0" borderId="69" xfId="0" applyFont="1" applyBorder="1" applyAlignment="1">
      <alignment horizontal="right"/>
    </xf>
    <xf numFmtId="0" fontId="35" fillId="0" borderId="68" xfId="0" applyFont="1" applyBorder="1" applyAlignment="1">
      <alignment horizontal="right"/>
    </xf>
    <xf numFmtId="0" fontId="5" fillId="0" borderId="5" xfId="0" applyFont="1" applyBorder="1"/>
    <xf numFmtId="0" fontId="5" fillId="0" borderId="9" xfId="0" applyFont="1" applyBorder="1"/>
    <xf numFmtId="0" fontId="24" fillId="0" borderId="70" xfId="0" applyFont="1" applyBorder="1"/>
    <xf numFmtId="168" fontId="24" fillId="0" borderId="11" xfId="0" applyNumberFormat="1" applyFont="1" applyBorder="1"/>
    <xf numFmtId="168" fontId="24" fillId="0" borderId="56" xfId="0" applyNumberFormat="1" applyFont="1" applyBorder="1"/>
    <xf numFmtId="0" fontId="24" fillId="12" borderId="1" xfId="0" applyFont="1" applyFill="1" applyBorder="1"/>
    <xf numFmtId="168" fontId="24" fillId="12" borderId="12" xfId="0" applyNumberFormat="1" applyFont="1" applyFill="1" applyBorder="1"/>
    <xf numFmtId="168" fontId="24" fillId="12" borderId="22" xfId="0" applyNumberFormat="1" applyFont="1" applyFill="1" applyBorder="1"/>
    <xf numFmtId="0" fontId="24" fillId="12" borderId="8" xfId="0" applyFont="1" applyFill="1" applyBorder="1"/>
    <xf numFmtId="168" fontId="24" fillId="12" borderId="13" xfId="0" applyNumberFormat="1" applyFont="1" applyFill="1" applyBorder="1"/>
    <xf numFmtId="168" fontId="24" fillId="12" borderId="17" xfId="0" applyNumberFormat="1" applyFont="1" applyFill="1" applyBorder="1"/>
    <xf numFmtId="168" fontId="24" fillId="12" borderId="80" xfId="0" applyNumberFormat="1" applyFont="1" applyFill="1" applyBorder="1"/>
    <xf numFmtId="168" fontId="24" fillId="12" borderId="15" xfId="0" applyNumberFormat="1" applyFont="1" applyFill="1" applyBorder="1"/>
    <xf numFmtId="168" fontId="24" fillId="12" borderId="86" xfId="0" applyNumberFormat="1" applyFont="1" applyFill="1" applyBorder="1"/>
    <xf numFmtId="168" fontId="24" fillId="12" borderId="14" xfId="0" applyNumberFormat="1" applyFont="1" applyFill="1" applyBorder="1"/>
    <xf numFmtId="168" fontId="5" fillId="0" borderId="43" xfId="0" applyNumberFormat="1" applyFont="1" applyBorder="1"/>
    <xf numFmtId="165" fontId="5" fillId="0" borderId="12" xfId="2" applyNumberFormat="1" applyFont="1" applyBorder="1"/>
    <xf numFmtId="0" fontId="5" fillId="0" borderId="22" xfId="0" applyFont="1" applyBorder="1"/>
    <xf numFmtId="0" fontId="5" fillId="12" borderId="53" xfId="0" applyFont="1" applyFill="1" applyBorder="1"/>
    <xf numFmtId="168" fontId="5" fillId="12" borderId="0" xfId="5" applyNumberFormat="1" applyFont="1" applyFill="1" applyBorder="1"/>
    <xf numFmtId="168" fontId="5" fillId="12" borderId="54" xfId="0" applyNumberFormat="1" applyFont="1" applyFill="1" applyBorder="1"/>
    <xf numFmtId="0" fontId="24" fillId="12" borderId="44" xfId="0" applyFont="1" applyFill="1" applyBorder="1"/>
    <xf numFmtId="168" fontId="24" fillId="12" borderId="11" xfId="0" applyNumberFormat="1" applyFont="1" applyFill="1" applyBorder="1"/>
    <xf numFmtId="168" fontId="24" fillId="12" borderId="56" xfId="0" applyNumberFormat="1" applyFont="1" applyFill="1" applyBorder="1"/>
    <xf numFmtId="165" fontId="5" fillId="0" borderId="54" xfId="0" applyNumberFormat="1" applyFont="1" applyBorder="1"/>
    <xf numFmtId="0" fontId="5" fillId="0" borderId="12" xfId="0" applyFont="1" applyBorder="1"/>
    <xf numFmtId="0" fontId="5" fillId="8" borderId="1" xfId="0" applyFont="1" applyFill="1" applyBorder="1"/>
    <xf numFmtId="0" fontId="5" fillId="8" borderId="12" xfId="0" applyFont="1" applyFill="1" applyBorder="1"/>
    <xf numFmtId="0" fontId="5" fillId="8" borderId="22" xfId="0" applyFont="1" applyFill="1" applyBorder="1"/>
    <xf numFmtId="0" fontId="5" fillId="8" borderId="53" xfId="0" applyFont="1" applyFill="1" applyBorder="1"/>
    <xf numFmtId="168" fontId="5" fillId="8" borderId="0" xfId="0" applyNumberFormat="1" applyFont="1" applyFill="1"/>
    <xf numFmtId="168" fontId="5" fillId="8" borderId="54" xfId="0" applyNumberFormat="1" applyFont="1" applyFill="1" applyBorder="1"/>
    <xf numFmtId="0" fontId="5" fillId="8" borderId="8" xfId="0" applyFont="1" applyFill="1" applyBorder="1"/>
    <xf numFmtId="168" fontId="5" fillId="8" borderId="13" xfId="0" applyNumberFormat="1" applyFont="1" applyFill="1" applyBorder="1"/>
    <xf numFmtId="168" fontId="5" fillId="8" borderId="17" xfId="0" applyNumberFormat="1" applyFont="1" applyFill="1" applyBorder="1"/>
    <xf numFmtId="177" fontId="6" fillId="0" borderId="0" xfId="4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11" borderId="36" xfId="0" applyFont="1" applyFill="1" applyBorder="1" applyAlignment="1">
      <alignment horizontal="center" vertical="center"/>
    </xf>
    <xf numFmtId="0" fontId="7" fillId="11" borderId="59" xfId="0" applyFont="1" applyFill="1" applyBorder="1" applyAlignment="1">
      <alignment horizontal="center" vertical="center"/>
    </xf>
    <xf numFmtId="0" fontId="7" fillId="11" borderId="38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11" borderId="67" xfId="0" applyFont="1" applyFill="1" applyBorder="1" applyAlignment="1">
      <alignment horizontal="center" vertical="center"/>
    </xf>
    <xf numFmtId="0" fontId="7" fillId="11" borderId="46" xfId="0" applyFont="1" applyFill="1" applyBorder="1" applyAlignment="1">
      <alignment horizontal="center" vertical="center"/>
    </xf>
    <xf numFmtId="0" fontId="7" fillId="12" borderId="36" xfId="0" applyFont="1" applyFill="1" applyBorder="1" applyAlignment="1">
      <alignment horizontal="center" vertical="center"/>
    </xf>
    <xf numFmtId="0" fontId="7" fillId="12" borderId="59" xfId="0" applyFont="1" applyFill="1" applyBorder="1" applyAlignment="1">
      <alignment horizontal="center" vertical="center"/>
    </xf>
    <xf numFmtId="0" fontId="7" fillId="12" borderId="38" xfId="0" applyFont="1" applyFill="1" applyBorder="1" applyAlignment="1">
      <alignment horizontal="center" vertical="center"/>
    </xf>
    <xf numFmtId="0" fontId="7" fillId="12" borderId="67" xfId="0" applyFont="1" applyFill="1" applyBorder="1" applyAlignment="1">
      <alignment horizontal="center" vertical="center"/>
    </xf>
    <xf numFmtId="0" fontId="7" fillId="12" borderId="46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/>
    </xf>
    <xf numFmtId="0" fontId="7" fillId="9" borderId="59" xfId="0" applyFont="1" applyFill="1" applyBorder="1" applyAlignment="1">
      <alignment horizontal="center" vertical="center"/>
    </xf>
    <xf numFmtId="0" fontId="7" fillId="9" borderId="38" xfId="0" applyFont="1" applyFill="1" applyBorder="1" applyAlignment="1">
      <alignment horizontal="center" vertical="center"/>
    </xf>
    <xf numFmtId="0" fontId="7" fillId="9" borderId="67" xfId="0" applyFont="1" applyFill="1" applyBorder="1" applyAlignment="1">
      <alignment horizontal="center" vertical="center"/>
    </xf>
    <xf numFmtId="0" fontId="7" fillId="9" borderId="46" xfId="0" applyFont="1" applyFill="1" applyBorder="1" applyAlignment="1">
      <alignment horizontal="center" vertical="center"/>
    </xf>
    <xf numFmtId="0" fontId="7" fillId="12" borderId="36" xfId="0" applyFont="1" applyFill="1" applyBorder="1" applyAlignment="1">
      <alignment horizontal="center"/>
    </xf>
    <xf numFmtId="0" fontId="7" fillId="12" borderId="59" xfId="0" applyFont="1" applyFill="1" applyBorder="1" applyAlignment="1">
      <alignment horizontal="center"/>
    </xf>
    <xf numFmtId="0" fontId="7" fillId="12" borderId="38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11" borderId="36" xfId="0" applyFont="1" applyFill="1" applyBorder="1" applyAlignment="1">
      <alignment horizontal="center"/>
    </xf>
    <xf numFmtId="0" fontId="7" fillId="11" borderId="59" xfId="0" applyFont="1" applyFill="1" applyBorder="1" applyAlignment="1">
      <alignment horizontal="center"/>
    </xf>
    <xf numFmtId="0" fontId="7" fillId="11" borderId="38" xfId="0" applyFont="1" applyFill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78" xfId="0" applyFont="1" applyBorder="1" applyAlignment="1">
      <alignment horizontal="center"/>
    </xf>
    <xf numFmtId="0" fontId="7" fillId="12" borderId="75" xfId="0" applyFont="1" applyFill="1" applyBorder="1" applyAlignment="1">
      <alignment horizontal="center"/>
    </xf>
    <xf numFmtId="0" fontId="7" fillId="11" borderId="7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7" fillId="12" borderId="75" xfId="0" applyFont="1" applyFill="1" applyBorder="1" applyAlignment="1">
      <alignment horizontal="center" vertical="center"/>
    </xf>
    <xf numFmtId="0" fontId="7" fillId="14" borderId="36" xfId="0" applyFont="1" applyFill="1" applyBorder="1" applyAlignment="1">
      <alignment horizontal="center" vertical="center"/>
    </xf>
    <xf numFmtId="0" fontId="7" fillId="14" borderId="59" xfId="0" applyFont="1" applyFill="1" applyBorder="1" applyAlignment="1">
      <alignment horizontal="center" vertical="center"/>
    </xf>
    <xf numFmtId="0" fontId="7" fillId="14" borderId="38" xfId="0" applyFont="1" applyFill="1" applyBorder="1" applyAlignment="1">
      <alignment horizontal="center" vertical="center"/>
    </xf>
    <xf numFmtId="0" fontId="21" fillId="11" borderId="75" xfId="0" applyFont="1" applyFill="1" applyBorder="1" applyAlignment="1">
      <alignment horizontal="center" vertical="center"/>
    </xf>
    <xf numFmtId="0" fontId="21" fillId="11" borderId="38" xfId="0" applyFont="1" applyFill="1" applyBorder="1" applyAlignment="1">
      <alignment horizontal="center" vertical="center"/>
    </xf>
    <xf numFmtId="0" fontId="23" fillId="15" borderId="77" xfId="0" applyFont="1" applyFill="1" applyBorder="1" applyAlignment="1">
      <alignment horizontal="left" vertical="center"/>
    </xf>
    <xf numFmtId="0" fontId="23" fillId="15" borderId="78" xfId="0" applyFont="1" applyFill="1" applyBorder="1" applyAlignment="1">
      <alignment horizontal="left" vertical="center"/>
    </xf>
    <xf numFmtId="0" fontId="21" fillId="11" borderId="80" xfId="0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horizontal="center" vertical="center"/>
    </xf>
    <xf numFmtId="0" fontId="21" fillId="11" borderId="22" xfId="0" applyFont="1" applyFill="1" applyBorder="1" applyAlignment="1">
      <alignment horizontal="center" vertical="center"/>
    </xf>
    <xf numFmtId="0" fontId="21" fillId="12" borderId="80" xfId="0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/>
    </xf>
    <xf numFmtId="0" fontId="21" fillId="12" borderId="22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/>
    </xf>
    <xf numFmtId="0" fontId="7" fillId="11" borderId="80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7" fillId="11" borderId="22" xfId="0" applyFont="1" applyFill="1" applyBorder="1" applyAlignment="1">
      <alignment horizontal="center"/>
    </xf>
    <xf numFmtId="168" fontId="24" fillId="11" borderId="80" xfId="5" applyNumberFormat="1" applyFont="1" applyFill="1" applyBorder="1" applyAlignment="1">
      <alignment horizontal="center"/>
    </xf>
    <xf numFmtId="168" fontId="24" fillId="11" borderId="12" xfId="5" applyNumberFormat="1" applyFont="1" applyFill="1" applyBorder="1" applyAlignment="1">
      <alignment horizontal="center"/>
    </xf>
    <xf numFmtId="168" fontId="24" fillId="11" borderId="22" xfId="5" applyNumberFormat="1" applyFont="1" applyFill="1" applyBorder="1" applyAlignment="1">
      <alignment horizontal="center"/>
    </xf>
    <xf numFmtId="0" fontId="24" fillId="0" borderId="77" xfId="0" applyFont="1" applyBorder="1" applyAlignment="1">
      <alignment horizontal="left" vertical="center"/>
    </xf>
    <xf numFmtId="0" fontId="24" fillId="0" borderId="78" xfId="0" applyFont="1" applyBorder="1" applyAlignment="1">
      <alignment horizontal="left" vertical="center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8" fontId="24" fillId="16" borderId="80" xfId="5" applyNumberFormat="1" applyFont="1" applyFill="1" applyBorder="1" applyAlignment="1">
      <alignment horizontal="center"/>
    </xf>
    <xf numFmtId="168" fontId="24" fillId="16" borderId="12" xfId="5" applyNumberFormat="1" applyFont="1" applyFill="1" applyBorder="1" applyAlignment="1">
      <alignment horizontal="center"/>
    </xf>
    <xf numFmtId="168" fontId="24" fillId="16" borderId="22" xfId="5" applyNumberFormat="1" applyFont="1" applyFill="1" applyBorder="1" applyAlignment="1">
      <alignment horizontal="center"/>
    </xf>
    <xf numFmtId="168" fontId="24" fillId="16" borderId="75" xfId="5" applyNumberFormat="1" applyFont="1" applyFill="1" applyBorder="1" applyAlignment="1">
      <alignment horizontal="center"/>
    </xf>
    <xf numFmtId="168" fontId="24" fillId="16" borderId="38" xfId="5" applyNumberFormat="1" applyFont="1" applyFill="1" applyBorder="1" applyAlignment="1">
      <alignment horizontal="center"/>
    </xf>
    <xf numFmtId="0" fontId="7" fillId="11" borderId="75" xfId="0" applyFont="1" applyFill="1" applyBorder="1" applyAlignment="1">
      <alignment horizontal="center" vertical="center"/>
    </xf>
    <xf numFmtId="0" fontId="7" fillId="12" borderId="28" xfId="0" applyFont="1" applyFill="1" applyBorder="1" applyAlignment="1">
      <alignment horizontal="center" vertical="center"/>
    </xf>
    <xf numFmtId="0" fontId="7" fillId="12" borderId="24" xfId="0" applyFont="1" applyFill="1" applyBorder="1" applyAlignment="1">
      <alignment horizontal="center" vertical="center"/>
    </xf>
    <xf numFmtId="0" fontId="7" fillId="12" borderId="25" xfId="0" applyFont="1" applyFill="1" applyBorder="1" applyAlignment="1">
      <alignment horizontal="center" vertical="center"/>
    </xf>
    <xf numFmtId="0" fontId="17" fillId="0" borderId="13" xfId="7" applyFont="1" applyBorder="1" applyAlignment="1">
      <alignment horizontal="center"/>
    </xf>
    <xf numFmtId="168" fontId="14" fillId="3" borderId="39" xfId="5" applyNumberFormat="1" applyFont="1" applyFill="1" applyBorder="1" applyAlignment="1">
      <alignment horizontal="center" vertical="center"/>
    </xf>
    <xf numFmtId="168" fontId="14" fillId="3" borderId="83" xfId="5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/>
    </xf>
    <xf numFmtId="0" fontId="7" fillId="12" borderId="12" xfId="0" applyFont="1" applyFill="1" applyBorder="1" applyAlignment="1">
      <alignment horizontal="center"/>
    </xf>
    <xf numFmtId="0" fontId="7" fillId="12" borderId="22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>
        <top style="medium">
          <color indexed="64"/>
        </top>
      </border>
    </dxf>
    <dxf>
      <font>
        <b/>
      </font>
      <fill>
        <patternFill patternType="solid">
          <fgColor indexed="64"/>
          <bgColor rgb="FFFFF4D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7FF77"/>
      <color rgb="FFFFF7C7"/>
      <color rgb="FFFFF4D7"/>
      <color rgb="FFDAABC5"/>
      <color rgb="FFFF6FFB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5'!$B$15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5'!$C$6:$N$6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5'!$C$15:$N$15</c:f>
              <c:numCache>
                <c:formatCode>_-* #,##0_-;\-* #,##0_-;_-* "-"??_-;_-@_-</c:formatCode>
                <c:ptCount val="12"/>
                <c:pt idx="0">
                  <c:v>53085.140425531914</c:v>
                </c:pt>
                <c:pt idx="1">
                  <c:v>60115.491160451427</c:v>
                </c:pt>
                <c:pt idx="2">
                  <c:v>67407.192253488931</c:v>
                </c:pt>
                <c:pt idx="3">
                  <c:v>61932.663829787227</c:v>
                </c:pt>
                <c:pt idx="4">
                  <c:v>61932.663829787234</c:v>
                </c:pt>
                <c:pt idx="5">
                  <c:v>64881.83829787228</c:v>
                </c:pt>
                <c:pt idx="6">
                  <c:v>57041.838297872368</c:v>
                </c:pt>
                <c:pt idx="7">
                  <c:v>35390.093617021274</c:v>
                </c:pt>
                <c:pt idx="8">
                  <c:v>61002.600772020145</c:v>
                </c:pt>
                <c:pt idx="9">
                  <c:v>53809.840677835746</c:v>
                </c:pt>
                <c:pt idx="10">
                  <c:v>54092.663829787234</c:v>
                </c:pt>
                <c:pt idx="11">
                  <c:v>35390.093617021274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5'!$B$13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5'!$C$13:$N$13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5'!$B$15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5'!$C$6:$N$6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5'!$C$28:$N$28</c:f>
              <c:numCache>
                <c:formatCode>_-* #,##0_-;\-* #,##0_-;_-* "-"??_-;_-@_-</c:formatCode>
                <c:ptCount val="12"/>
                <c:pt idx="0">
                  <c:v>3608.3732687165466</c:v>
                </c:pt>
                <c:pt idx="1">
                  <c:v>3741.1687639396068</c:v>
                </c:pt>
                <c:pt idx="2">
                  <c:v>3919.3196574605463</c:v>
                </c:pt>
                <c:pt idx="3">
                  <c:v>3919.3196574605317</c:v>
                </c:pt>
                <c:pt idx="4">
                  <c:v>2503.4253543994564</c:v>
                </c:pt>
                <c:pt idx="5">
                  <c:v>4551.6595744680817</c:v>
                </c:pt>
                <c:pt idx="6">
                  <c:v>4001.6595744680872</c:v>
                </c:pt>
                <c:pt idx="7">
                  <c:v>2482.7234042553191</c:v>
                </c:pt>
                <c:pt idx="8">
                  <c:v>3008.4665511662315</c:v>
                </c:pt>
                <c:pt idx="9">
                  <c:v>4344.765957446808</c:v>
                </c:pt>
                <c:pt idx="10">
                  <c:v>3794.765957446808</c:v>
                </c:pt>
                <c:pt idx="11">
                  <c:v>2482.7234042553191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5'!$B$26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5'!$C$26:$N$26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12'!$B$10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12'!$C$5:$N$5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12'!$C$10:$N$10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15483.165957446807</c:v>
                </c:pt>
                <c:pt idx="4">
                  <c:v>15483.165957446809</c:v>
                </c:pt>
                <c:pt idx="5">
                  <c:v>16220.45957446807</c:v>
                </c:pt>
                <c:pt idx="6">
                  <c:v>14260.459574468092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13523.165957446809</c:v>
                </c:pt>
                <c:pt idx="11">
                  <c:v>8847.5234042553184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D-D54F-BC64-99A969F9C681}"/>
            </c:ext>
          </c:extLst>
        </c:ser>
        <c:ser>
          <c:idx val="1"/>
          <c:order val="1"/>
          <c:tx>
            <c:strRef>
              <c:f>'Tab. 12'!$B$17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12'!$C$17:$N$17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14745.872340425531</c:v>
                </c:pt>
                <c:pt idx="2">
                  <c:v>16957.753191489363</c:v>
                </c:pt>
                <c:pt idx="3">
                  <c:v>15483.165957446809</c:v>
                </c:pt>
                <c:pt idx="4">
                  <c:v>15483.165957446809</c:v>
                </c:pt>
                <c:pt idx="5">
                  <c:v>16220.459574468085</c:v>
                </c:pt>
                <c:pt idx="6">
                  <c:v>16220.459574468085</c:v>
                </c:pt>
                <c:pt idx="7">
                  <c:v>8847.5234042553184</c:v>
                </c:pt>
                <c:pt idx="8">
                  <c:v>16220.459574468085</c:v>
                </c:pt>
                <c:pt idx="9">
                  <c:v>15483.165957446809</c:v>
                </c:pt>
                <c:pt idx="10">
                  <c:v>15483.165957446809</c:v>
                </c:pt>
                <c:pt idx="11">
                  <c:v>8847.5234042553184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D-D54F-BC64-99A969F9C681}"/>
            </c:ext>
          </c:extLst>
        </c:ser>
        <c:ser>
          <c:idx val="2"/>
          <c:order val="2"/>
          <c:tx>
            <c:strRef>
              <c:f>'Tab. 12'!$B$23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12'!$C$23:$N$23</c:f>
              <c:numCache>
                <c:formatCode>_-* #,##0_-;\-* #,##0_-;_-* "-"??_-;_-@_-</c:formatCode>
                <c:ptCount val="12"/>
                <c:pt idx="0">
                  <c:v>13271.285106382978</c:v>
                </c:pt>
                <c:pt idx="1">
                  <c:v>15028.872790112857</c:v>
                </c:pt>
                <c:pt idx="2">
                  <c:v>16851.798063372233</c:v>
                </c:pt>
                <c:pt idx="3">
                  <c:v>15483.165957446807</c:v>
                </c:pt>
                <c:pt idx="4">
                  <c:v>15483.165957446807</c:v>
                </c:pt>
                <c:pt idx="5">
                  <c:v>16220.45957446807</c:v>
                </c:pt>
                <c:pt idx="6">
                  <c:v>14260.459574468092</c:v>
                </c:pt>
                <c:pt idx="7">
                  <c:v>8847.5234042553184</c:v>
                </c:pt>
                <c:pt idx="8">
                  <c:v>15250.650193005036</c:v>
                </c:pt>
                <c:pt idx="9">
                  <c:v>13452.460169458936</c:v>
                </c:pt>
                <c:pt idx="10">
                  <c:v>13523.165957446809</c:v>
                </c:pt>
                <c:pt idx="11">
                  <c:v>8847.5234042553184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D-D54F-BC64-99A969F9C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UOMO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12'!$B$40</c:f>
              <c:strCache>
                <c:ptCount val="1"/>
                <c:pt idx="0">
                  <c:v>H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12'!$C$5:$N$5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12'!$C$40:$N$40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1496.4675055758428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1600.663829787235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1517.9063829787233</c:v>
                </c:pt>
                <c:pt idx="11">
                  <c:v>993.08936170212769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F543-8331-8AA9EBD47889}"/>
            </c:ext>
          </c:extLst>
        </c:ser>
        <c:ser>
          <c:idx val="1"/>
          <c:order val="1"/>
          <c:tx>
            <c:strRef>
              <c:f>'Tab. 12'!$B$47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12'!$C$47:$N$47</c:f>
              <c:numCache>
                <c:formatCode>_-* #,##0_-;\-* #,##0_-;_-* "-"??_-;_-@_-</c:formatCode>
                <c:ptCount val="12"/>
                <c:pt idx="0">
                  <c:v>1489.6340425531914</c:v>
                </c:pt>
                <c:pt idx="1">
                  <c:v>1655.1489361702127</c:v>
                </c:pt>
                <c:pt idx="2">
                  <c:v>1903.4212765957445</c:v>
                </c:pt>
                <c:pt idx="3">
                  <c:v>1737.9063829787233</c:v>
                </c:pt>
                <c:pt idx="4">
                  <c:v>1737.9063829787233</c:v>
                </c:pt>
                <c:pt idx="5">
                  <c:v>1820.6638297872339</c:v>
                </c:pt>
                <c:pt idx="6">
                  <c:v>1820.6638297872339</c:v>
                </c:pt>
                <c:pt idx="7">
                  <c:v>993.08936170212769</c:v>
                </c:pt>
                <c:pt idx="8">
                  <c:v>1820.6638297872339</c:v>
                </c:pt>
                <c:pt idx="9">
                  <c:v>1737.9063829787233</c:v>
                </c:pt>
                <c:pt idx="10">
                  <c:v>1737.9063829787233</c:v>
                </c:pt>
                <c:pt idx="11">
                  <c:v>993.08936170212769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F543-8331-8AA9EBD47889}"/>
            </c:ext>
          </c:extLst>
        </c:ser>
        <c:ser>
          <c:idx val="2"/>
          <c:order val="2"/>
          <c:tx>
            <c:strRef>
              <c:f>'Tab. 12'!$B$53</c:f>
              <c:strCache>
                <c:ptCount val="1"/>
                <c:pt idx="0">
                  <c:v>H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12'!$C$53:$N$53</c:f>
              <c:numCache>
                <c:formatCode>_-* #,##0_-;\-* #,##0_-;_-* "-"??_-;_-@_-</c:formatCode>
                <c:ptCount val="12"/>
                <c:pt idx="0">
                  <c:v>1443.3493074866187</c:v>
                </c:pt>
                <c:pt idx="1">
                  <c:v>1496.4675055758457</c:v>
                </c:pt>
                <c:pt idx="2">
                  <c:v>1567.7278629842185</c:v>
                </c:pt>
                <c:pt idx="3">
                  <c:v>1567.7278629842128</c:v>
                </c:pt>
                <c:pt idx="4">
                  <c:v>1001.3701417597827</c:v>
                </c:pt>
                <c:pt idx="5">
                  <c:v>1820.6638297872328</c:v>
                </c:pt>
                <c:pt idx="6">
                  <c:v>1600.663829787235</c:v>
                </c:pt>
                <c:pt idx="7">
                  <c:v>993.08936170212769</c:v>
                </c:pt>
                <c:pt idx="8">
                  <c:v>1203.3866204664926</c:v>
                </c:pt>
                <c:pt idx="9">
                  <c:v>1737.9063829787233</c:v>
                </c:pt>
                <c:pt idx="10">
                  <c:v>1517.9063829787233</c:v>
                </c:pt>
                <c:pt idx="11">
                  <c:v>993.08936170212769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7-F543-8331-8AA9EBD47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MACCHINA -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13'!$B$10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13'!$C$5:$N$5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13'!$C$10:$N$10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1405.7731631205661</c:v>
                </c:pt>
                <c:pt idx="6">
                  <c:v>1235.9064964539014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1172.0077163120568</c:v>
                </c:pt>
                <c:pt idx="11">
                  <c:v>766.7853617021276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B-8B43-922E-1657747A51CB}"/>
            </c:ext>
          </c:extLst>
        </c:ser>
        <c:ser>
          <c:idx val="1"/>
          <c:order val="1"/>
          <c:tx>
            <c:strRef>
              <c:f>'Tab. 13'!$B$18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13'!$C$18:$N$18</c:f>
              <c:numCache>
                <c:formatCode>_-* #,##0_-;\-* #,##0_-;_-* "-"??_-;_-@_-</c:formatCode>
                <c:ptCount val="12"/>
                <c:pt idx="0">
                  <c:v>1224</c:v>
                </c:pt>
                <c:pt idx="1">
                  <c:v>1368</c:v>
                </c:pt>
                <c:pt idx="2">
                  <c:v>1584</c:v>
                </c:pt>
                <c:pt idx="3">
                  <c:v>1440</c:v>
                </c:pt>
                <c:pt idx="4">
                  <c:v>1440</c:v>
                </c:pt>
                <c:pt idx="5">
                  <c:v>1512</c:v>
                </c:pt>
                <c:pt idx="6">
                  <c:v>1512</c:v>
                </c:pt>
                <c:pt idx="7">
                  <c:v>792</c:v>
                </c:pt>
                <c:pt idx="8">
                  <c:v>1512</c:v>
                </c:pt>
                <c:pt idx="9">
                  <c:v>1440</c:v>
                </c:pt>
                <c:pt idx="10">
                  <c:v>1440</c:v>
                </c:pt>
                <c:pt idx="11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B-8B43-922E-1657747A51CB}"/>
            </c:ext>
          </c:extLst>
        </c:ser>
        <c:ser>
          <c:idx val="2"/>
          <c:order val="2"/>
          <c:tx>
            <c:strRef>
              <c:f>'Tab. 13'!$B$22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13'!$C$22:$N$22</c:f>
              <c:numCache>
                <c:formatCode>_-* #,##0_-;\-* #,##0_-;_-* "-"??_-;_-@_-</c:formatCode>
                <c:ptCount val="12"/>
                <c:pt idx="0">
                  <c:v>1150.1780425531915</c:v>
                </c:pt>
                <c:pt idx="1">
                  <c:v>1302.5023084764475</c:v>
                </c:pt>
                <c:pt idx="2">
                  <c:v>1460.4891654922603</c:v>
                </c:pt>
                <c:pt idx="3">
                  <c:v>1341.8743829787234</c:v>
                </c:pt>
                <c:pt idx="4">
                  <c:v>1341.8743829787234</c:v>
                </c:pt>
                <c:pt idx="5">
                  <c:v>1405.7731631205661</c:v>
                </c:pt>
                <c:pt idx="6">
                  <c:v>1235.9064964539014</c:v>
                </c:pt>
                <c:pt idx="7">
                  <c:v>766.7853617021276</c:v>
                </c:pt>
                <c:pt idx="8">
                  <c:v>1321.7230167271032</c:v>
                </c:pt>
                <c:pt idx="9">
                  <c:v>1165.879881353108</c:v>
                </c:pt>
                <c:pt idx="10">
                  <c:v>1172.0077163120568</c:v>
                </c:pt>
                <c:pt idx="11">
                  <c:v>766.7853617021276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B-8B43-922E-1657747A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Check capacità produttiva MACCHINE - Poliuretano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'Tab. 13'!$B$32</c:f>
              <c:strCache>
                <c:ptCount val="1"/>
                <c:pt idx="0">
                  <c:v>H macchine necessarie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'Tab. 13'!$C$5:$N$5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'Tab. 13'!$C$32:$N$32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137.17618801111891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146.72751773049654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139.14141843971629</c:v>
                </c:pt>
                <c:pt idx="11">
                  <c:v>91.033191489361698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E-9946-99AC-D02DDA6F1176}"/>
            </c:ext>
          </c:extLst>
        </c:ser>
        <c:ser>
          <c:idx val="1"/>
          <c:order val="1"/>
          <c:tx>
            <c:strRef>
              <c:f>'Tab. 13'!$B$40</c:f>
              <c:strCache>
                <c:ptCount val="1"/>
                <c:pt idx="0">
                  <c:v>h disponibili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'Tab. 13'!$C$40:$N$40</c:f>
              <c:numCache>
                <c:formatCode>_-* #,##0_-;\-* #,##0_-;_-* "-"??_-;_-@_-</c:formatCode>
                <c:ptCount val="12"/>
                <c:pt idx="0">
                  <c:v>272</c:v>
                </c:pt>
                <c:pt idx="1">
                  <c:v>304</c:v>
                </c:pt>
                <c:pt idx="2">
                  <c:v>352</c:v>
                </c:pt>
                <c:pt idx="3">
                  <c:v>320</c:v>
                </c:pt>
                <c:pt idx="4">
                  <c:v>320</c:v>
                </c:pt>
                <c:pt idx="5">
                  <c:v>336</c:v>
                </c:pt>
                <c:pt idx="6">
                  <c:v>336</c:v>
                </c:pt>
                <c:pt idx="7">
                  <c:v>176</c:v>
                </c:pt>
                <c:pt idx="8">
                  <c:v>336</c:v>
                </c:pt>
                <c:pt idx="9">
                  <c:v>320</c:v>
                </c:pt>
                <c:pt idx="10">
                  <c:v>320</c:v>
                </c:pt>
                <c:pt idx="11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E-9946-99AC-D02DDA6F1176}"/>
            </c:ext>
          </c:extLst>
        </c:ser>
        <c:ser>
          <c:idx val="2"/>
          <c:order val="2"/>
          <c:tx>
            <c:strRef>
              <c:f>'Tab. 13'!$B$44</c:f>
              <c:strCache>
                <c:ptCount val="1"/>
                <c:pt idx="0">
                  <c:v>H macchine necessarie (nuovo)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'Tab. 13'!$C$44:$N$44</c:f>
              <c:numCache>
                <c:formatCode>_-* #,##0_-;\-* #,##0_-;_-* "-"??_-;_-@_-</c:formatCode>
                <c:ptCount val="12"/>
                <c:pt idx="0">
                  <c:v>132.30701985294004</c:v>
                </c:pt>
                <c:pt idx="1">
                  <c:v>137.17618801111919</c:v>
                </c:pt>
                <c:pt idx="2">
                  <c:v>143.70838744022004</c:v>
                </c:pt>
                <c:pt idx="3">
                  <c:v>143.7083874402195</c:v>
                </c:pt>
                <c:pt idx="4">
                  <c:v>91.792262994646734</c:v>
                </c:pt>
                <c:pt idx="5">
                  <c:v>166.894184397163</c:v>
                </c:pt>
                <c:pt idx="6">
                  <c:v>146.72751773049654</c:v>
                </c:pt>
                <c:pt idx="7">
                  <c:v>91.033191489361698</c:v>
                </c:pt>
                <c:pt idx="8">
                  <c:v>110.31044020942849</c:v>
                </c:pt>
                <c:pt idx="9">
                  <c:v>159.30808510638295</c:v>
                </c:pt>
                <c:pt idx="10">
                  <c:v>139.14141843971629</c:v>
                </c:pt>
                <c:pt idx="11">
                  <c:v>91.033191489361698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E-9946-99AC-D02DDA6F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0175728"/>
        <c:axId val="1950177376"/>
      </c:lineChart>
      <c:catAx>
        <c:axId val="195017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7376"/>
        <c:crosses val="autoZero"/>
        <c:auto val="1"/>
        <c:lblAlgn val="ctr"/>
        <c:lblOffset val="100"/>
        <c:noMultiLvlLbl val="0"/>
      </c:catAx>
      <c:valAx>
        <c:axId val="1950177376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5017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Relazione fatturato</a:t>
            </a:r>
            <a:r>
              <a:rPr lang="it-IT" baseline="0"/>
              <a:t> ed entrate operative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'30.Entrate Operative'!$B$12</c:f>
              <c:strCache>
                <c:ptCount val="1"/>
                <c:pt idx="0">
                  <c:v>Totale fatturato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'30.Entrate Operative'!$I$5:$T$5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'30.Entrate Operative'!$I$12:$T$12</c:f>
              <c:numCache>
                <c:formatCode>_-"€"\ * #,##0_-;\-"€"\ * #,##0_-;_-"€"\ * "-"??_-;_-@_-</c:formatCode>
                <c:ptCount val="12"/>
                <c:pt idx="0">
                  <c:v>11015187.875085792</c:v>
                </c:pt>
                <c:pt idx="1">
                  <c:v>12239097.638984215</c:v>
                </c:pt>
                <c:pt idx="2">
                  <c:v>14074962.284831846</c:v>
                </c:pt>
                <c:pt idx="3">
                  <c:v>12851052.520933423</c:v>
                </c:pt>
                <c:pt idx="4">
                  <c:v>12851052.520933423</c:v>
                </c:pt>
                <c:pt idx="5">
                  <c:v>13463007.402882634</c:v>
                </c:pt>
                <c:pt idx="6">
                  <c:v>13463007.402882634</c:v>
                </c:pt>
                <c:pt idx="7">
                  <c:v>7343458.5833905274</c:v>
                </c:pt>
                <c:pt idx="8">
                  <c:v>13463007.402882634</c:v>
                </c:pt>
                <c:pt idx="9">
                  <c:v>12851052.520933423</c:v>
                </c:pt>
                <c:pt idx="10">
                  <c:v>12851052.520933423</c:v>
                </c:pt>
                <c:pt idx="11">
                  <c:v>7343458.5833905274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2-9648-ADEF-23AE06ED94AA}"/>
            </c:ext>
          </c:extLst>
        </c:ser>
        <c:ser>
          <c:idx val="1"/>
          <c:order val="1"/>
          <c:tx>
            <c:v>Entrate da vendita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'30.Entrate Operative'!$I$37:$T$37</c:f>
              <c:numCache>
                <c:formatCode>_-"€"\ * #,##0_-;\-"€"\ * #,##0_-;_-"€"\ * "-"??_-;_-@_-</c:formatCode>
                <c:ptCount val="12"/>
                <c:pt idx="0">
                  <c:v>10701144.6</c:v>
                </c:pt>
                <c:pt idx="1">
                  <c:v>14059635.108255317</c:v>
                </c:pt>
                <c:pt idx="2">
                  <c:v>12528193.653617021</c:v>
                </c:pt>
                <c:pt idx="3">
                  <c:v>15584178.613562113</c:v>
                </c:pt>
                <c:pt idx="4">
                  <c:v>14711174.328411803</c:v>
                </c:pt>
                <c:pt idx="5">
                  <c:v>16004844.676175702</c:v>
                </c:pt>
                <c:pt idx="6">
                  <c:v>16010839.795028139</c:v>
                </c:pt>
                <c:pt idx="7">
                  <c:v>16225767.454602607</c:v>
                </c:pt>
                <c:pt idx="8">
                  <c:v>12311243.751516815</c:v>
                </c:pt>
                <c:pt idx="9">
                  <c:v>16353226.478325326</c:v>
                </c:pt>
                <c:pt idx="10">
                  <c:v>13313229.457778996</c:v>
                </c:pt>
                <c:pt idx="11">
                  <c:v>16020670.758835962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82-9648-ADEF-23AE06ED9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5007472"/>
        <c:axId val="2020799344"/>
      </c:lineChart>
      <c:catAx>
        <c:axId val="19450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2020799344"/>
        <c:crosses val="autoZero"/>
        <c:auto val="1"/>
        <c:lblAlgn val="ctr"/>
        <c:lblOffset val="100"/>
        <c:noMultiLvlLbl val="0"/>
      </c:catAx>
      <c:valAx>
        <c:axId val="2020799344"/>
        <c:scaling>
          <c:orientation val="minMax"/>
        </c:scaling>
        <c:delete val="0"/>
        <c:axPos val="l"/>
        <c:numFmt formatCode="_-&quot;€&quot;\ * #,##0_-;\-&quot;€&quot;\ * #,##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4500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 sz="1200"/>
              <a:t>Relazione costo d'acquisto materie prime e uscite per materie</a:t>
            </a:r>
            <a:r>
              <a:rPr lang="it-IT" sz="1200" baseline="0"/>
              <a:t> prime</a:t>
            </a:r>
            <a:endParaRPr lang="it-I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'31.Uscite mp'!$B$12</c:f>
              <c:strCache>
                <c:ptCount val="1"/>
                <c:pt idx="0">
                  <c:v>Acquisti materie prime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'30.Entrate Operative'!$I$5:$T$5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'31.Uscite mp'!$I$12:$T$12</c:f>
              <c:numCache>
                <c:formatCode>_-"€"\ * #,##0_-;\-"€"\ * #,##0_-;_-"€"\ * "-"??_-;_-@_-</c:formatCode>
                <c:ptCount val="12"/>
                <c:pt idx="0">
                  <c:v>6454699.5822317358</c:v>
                </c:pt>
                <c:pt idx="1">
                  <c:v>7286215.4702423373</c:v>
                </c:pt>
                <c:pt idx="2">
                  <c:v>8050730.498720794</c:v>
                </c:pt>
                <c:pt idx="3">
                  <c:v>7442361.3877202189</c:v>
                </c:pt>
                <c:pt idx="4">
                  <c:v>7303495.0472512841</c:v>
                </c:pt>
                <c:pt idx="5">
                  <c:v>7853833.9722076533</c:v>
                </c:pt>
                <c:pt idx="6">
                  <c:v>6919460.8738672379</c:v>
                </c:pt>
                <c:pt idx="7">
                  <c:v>4321654.7706176294</c:v>
                </c:pt>
                <c:pt idx="8">
                  <c:v>7266433.1549180066</c:v>
                </c:pt>
                <c:pt idx="9">
                  <c:v>6628962.1062278468</c:v>
                </c:pt>
                <c:pt idx="10">
                  <c:v>6576187.7784187235</c:v>
                </c:pt>
                <c:pt idx="11">
                  <c:v>4375537.6398723517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D-9849-BF25-9D06E99AC274}"/>
            </c:ext>
          </c:extLst>
        </c:ser>
        <c:ser>
          <c:idx val="1"/>
          <c:order val="1"/>
          <c:tx>
            <c:v>Uscite per acquisto materie prime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'31.Uscite mp'!$I$37:$T$37</c:f>
              <c:numCache>
                <c:formatCode>_-"€"\ * #,##0_-;\-"€"\ * #,##0_-;_-"€"\ * "-"??_-;_-@_-</c:formatCode>
                <c:ptCount val="12"/>
                <c:pt idx="0">
                  <c:v>8012136.5</c:v>
                </c:pt>
                <c:pt idx="1">
                  <c:v>8049553.8999999994</c:v>
                </c:pt>
                <c:pt idx="2">
                  <c:v>7437452.3225806784</c:v>
                </c:pt>
                <c:pt idx="3">
                  <c:v>7633751.8635852709</c:v>
                </c:pt>
                <c:pt idx="4">
                  <c:v>8868747.6115383469</c:v>
                </c:pt>
                <c:pt idx="5">
                  <c:v>9403161.5458982643</c:v>
                </c:pt>
                <c:pt idx="6">
                  <c:v>9222879.2380308174</c:v>
                </c:pt>
                <c:pt idx="7">
                  <c:v>9120471.5636012852</c:v>
                </c:pt>
                <c:pt idx="8">
                  <c:v>9128840.2789878175</c:v>
                </c:pt>
                <c:pt idx="9">
                  <c:v>7934395.1996207274</c:v>
                </c:pt>
                <c:pt idx="10">
                  <c:v>6962907.0888562528</c:v>
                </c:pt>
                <c:pt idx="11">
                  <c:v>7772462.3719378542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D-9849-BF25-9D06E99A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5007472"/>
        <c:axId val="2020799344"/>
      </c:lineChart>
      <c:catAx>
        <c:axId val="19450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2020799344"/>
        <c:crosses val="autoZero"/>
        <c:auto val="1"/>
        <c:lblAlgn val="ctr"/>
        <c:lblOffset val="100"/>
        <c:noMultiLvlLbl val="0"/>
      </c:catAx>
      <c:valAx>
        <c:axId val="2020799344"/>
        <c:scaling>
          <c:orientation val="minMax"/>
        </c:scaling>
        <c:delete val="0"/>
        <c:axPos val="l"/>
        <c:numFmt formatCode="_(&quot;€&quot;* #,##0_);_(&quot;€&quot;* \(#,##0\);_(&quot;€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194500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Relazione tra costo d'acquisto e uscite finanziarie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Costi d'acquisto servizi non durevoli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'32. Uscite altro'!$D$5:$O$5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'32. Uscite altro'!$D$288:$O$288</c:f>
              <c:numCache>
                <c:formatCode>_-"€"\ * #,##0_-;\-"€"\ * #,##0_-;_-"€"\ * "-"??_-;_-@_-</c:formatCode>
                <c:ptCount val="12"/>
                <c:pt idx="0">
                  <c:v>9019661.7194855101</c:v>
                </c:pt>
                <c:pt idx="1">
                  <c:v>1546167.3529886785</c:v>
                </c:pt>
                <c:pt idx="2">
                  <c:v>2147340.7662970857</c:v>
                </c:pt>
                <c:pt idx="3">
                  <c:v>9251335.4840150494</c:v>
                </c:pt>
                <c:pt idx="4">
                  <c:v>1518122.248966278</c:v>
                </c:pt>
                <c:pt idx="5">
                  <c:v>2237037.0654439609</c:v>
                </c:pt>
                <c:pt idx="6">
                  <c:v>9210939.0921265353</c:v>
                </c:pt>
                <c:pt idx="7">
                  <c:v>990947.35844042245</c:v>
                </c:pt>
                <c:pt idx="8">
                  <c:v>2039066.1501031988</c:v>
                </c:pt>
                <c:pt idx="9">
                  <c:v>9244185.4601943661</c:v>
                </c:pt>
                <c:pt idx="10">
                  <c:v>1518122.248966278</c:v>
                </c:pt>
                <c:pt idx="11">
                  <c:v>1983971.039424266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D-F046-A5AD-046332688904}"/>
            </c:ext>
          </c:extLst>
        </c:ser>
        <c:ser>
          <c:idx val="1"/>
          <c:order val="1"/>
          <c:tx>
            <c:v>Uscite per acquisto servizi non durevoli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'32. Uscite altro'!$D$5:$O$5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'32. Uscite altro'!$D$277:$O$277</c:f>
              <c:numCache>
                <c:formatCode>_-"€"\ * #,##0_-;\-"€"\ * #,##0_-;_-"€"\ * "-"??_-;_-@_-</c:formatCode>
                <c:ptCount val="12"/>
                <c:pt idx="0">
                  <c:v>1799000</c:v>
                </c:pt>
                <c:pt idx="1">
                  <c:v>1603887.2977723214</c:v>
                </c:pt>
                <c:pt idx="2">
                  <c:v>11188824.170646187</c:v>
                </c:pt>
                <c:pt idx="3">
                  <c:v>2619755.7348824446</c:v>
                </c:pt>
                <c:pt idx="4">
                  <c:v>1984129.2904983587</c:v>
                </c:pt>
                <c:pt idx="5">
                  <c:v>11252209.143738858</c:v>
                </c:pt>
                <c:pt idx="6">
                  <c:v>2729185.2198416321</c:v>
                </c:pt>
                <c:pt idx="7">
                  <c:v>1934845.6923943718</c:v>
                </c:pt>
                <c:pt idx="8">
                  <c:v>10511455.777297316</c:v>
                </c:pt>
                <c:pt idx="9">
                  <c:v>2487660.7031259025</c:v>
                </c:pt>
                <c:pt idx="10">
                  <c:v>1975406.2614371262</c:v>
                </c:pt>
                <c:pt idx="11">
                  <c:v>11685439.143738858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4D-F046-A5AD-046332688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589615"/>
        <c:axId val="282951119"/>
      </c:lineChart>
      <c:catAx>
        <c:axId val="24958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282951119"/>
        <c:crosses val="autoZero"/>
        <c:auto val="1"/>
        <c:lblAlgn val="ctr"/>
        <c:lblOffset val="100"/>
        <c:noMultiLvlLbl val="0"/>
      </c:catAx>
      <c:valAx>
        <c:axId val="282951119"/>
        <c:scaling>
          <c:orientation val="minMax"/>
        </c:scaling>
        <c:delete val="0"/>
        <c:axPos val="l"/>
        <c:numFmt formatCode="_(&quot;€&quot;* #,##0_);_(&quot;€&quot;* \(#,##0\);_(&quot;€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249589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Relazione</a:t>
            </a:r>
            <a:r>
              <a:rPr lang="it-IT" baseline="0"/>
              <a:t> tra costo del personale e uscite per il personale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'34. Uscite personale'!$B$14</c:f>
              <c:strCache>
                <c:ptCount val="1"/>
                <c:pt idx="0">
                  <c:v>Costo del lavoro di competenza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'34. Uscite personale'!$C$5:$N$5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'34. Uscite personale'!$C$14:$N$14</c:f>
              <c:numCache>
                <c:formatCode>_-"€"\ * #,##0_-;\-"€"\ * #,##0_-;_-"€"\ * "-"??_-;_-@_-</c:formatCode>
                <c:ptCount val="12"/>
                <c:pt idx="0">
                  <c:v>379057.25964084273</c:v>
                </c:pt>
                <c:pt idx="1">
                  <c:v>425685.12534702866</c:v>
                </c:pt>
                <c:pt idx="2">
                  <c:v>487323.37297685299</c:v>
                </c:pt>
                <c:pt idx="3">
                  <c:v>444947.42750060488</c:v>
                </c:pt>
                <c:pt idx="4">
                  <c:v>444947.42750060488</c:v>
                </c:pt>
                <c:pt idx="5">
                  <c:v>466135.40023872897</c:v>
                </c:pt>
                <c:pt idx="6">
                  <c:v>466135.40023872897</c:v>
                </c:pt>
                <c:pt idx="7">
                  <c:v>254255.67285748851</c:v>
                </c:pt>
                <c:pt idx="8">
                  <c:v>466135.40023872897</c:v>
                </c:pt>
                <c:pt idx="9">
                  <c:v>444947.42750060488</c:v>
                </c:pt>
                <c:pt idx="10">
                  <c:v>444947.42750060488</c:v>
                </c:pt>
                <c:pt idx="11">
                  <c:v>254255.67285748851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E-7545-9B72-EE6F0C5E94E1}"/>
            </c:ext>
          </c:extLst>
        </c:ser>
        <c:ser>
          <c:idx val="1"/>
          <c:order val="1"/>
          <c:tx>
            <c:strRef>
              <c:f>'34. Uscite personale'!$B$42</c:f>
              <c:strCache>
                <c:ptCount val="1"/>
                <c:pt idx="0">
                  <c:v>Uscite connesse al costo del lavoro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'34. Uscite personale'!$C$5:$N$5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'34. Uscite personale'!$C$42:$N$42</c:f>
              <c:numCache>
                <c:formatCode>_-"€"\ * #,##0_-;\-"€"\ * #,##0_-;_-"€"\ * "-"??_-;_-@_-</c:formatCode>
                <c:ptCount val="12"/>
                <c:pt idx="0">
                  <c:v>420297.95274601289</c:v>
                </c:pt>
                <c:pt idx="1">
                  <c:v>330319.87079144607</c:v>
                </c:pt>
                <c:pt idx="2">
                  <c:v>375203.16364785156</c:v>
                </c:pt>
                <c:pt idx="3">
                  <c:v>378323.84802177467</c:v>
                </c:pt>
                <c:pt idx="4">
                  <c:v>362779.50372594909</c:v>
                </c:pt>
                <c:pt idx="5">
                  <c:v>535909.36380596925</c:v>
                </c:pt>
                <c:pt idx="6">
                  <c:v>564165.77035983407</c:v>
                </c:pt>
                <c:pt idx="7">
                  <c:v>285024.29503681289</c:v>
                </c:pt>
                <c:pt idx="8">
                  <c:v>302332.99670996191</c:v>
                </c:pt>
                <c:pt idx="9">
                  <c:v>370551.67587386188</c:v>
                </c:pt>
                <c:pt idx="10">
                  <c:v>362779.50372594909</c:v>
                </c:pt>
                <c:pt idx="11">
                  <c:v>463169.81610111543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E-7545-9B72-EE6F0C5E9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138335"/>
        <c:axId val="336339855"/>
      </c:lineChart>
      <c:catAx>
        <c:axId val="38513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336339855"/>
        <c:crosses val="autoZero"/>
        <c:auto val="1"/>
        <c:lblAlgn val="ctr"/>
        <c:lblOffset val="100"/>
        <c:noMultiLvlLbl val="0"/>
      </c:catAx>
      <c:valAx>
        <c:axId val="336339855"/>
        <c:scaling>
          <c:orientation val="minMax"/>
        </c:scaling>
        <c:delete val="0"/>
        <c:axPos val="l"/>
        <c:numFmt formatCode="_-&quot;€&quot;\ * #,##0_-;\-&quot;€&quot;\ * #,##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38513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Tripartizione del</a:t>
            </a:r>
            <a:r>
              <a:rPr lang="it-IT" baseline="0"/>
              <a:t> flusso di cassa prospettico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1151594057239371"/>
          <c:y val="0.15677997932862053"/>
          <c:w val="0.85776080949275857"/>
          <c:h val="0.63527643436837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FINANZIARIO'!$B$24</c:f>
              <c:strCache>
                <c:ptCount val="1"/>
                <c:pt idx="0">
                  <c:v>Flusso di cassa operativo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'BUDGET FINANZIARIO'!$C$4:$N$4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'BUDGET FINANZIARIO'!$C$24:$N$24</c:f>
              <c:numCache>
                <c:formatCode>_-"€"\ * #,##0_-;\-"€"\ * #,##0_-;_-"€"\ * "-"??_-;_-@_-</c:formatCode>
                <c:ptCount val="12"/>
                <c:pt idx="0">
                  <c:v>414810.14725398674</c:v>
                </c:pt>
                <c:pt idx="1">
                  <c:v>4020974.0396915511</c:v>
                </c:pt>
                <c:pt idx="2">
                  <c:v>-6995731.0471579749</c:v>
                </c:pt>
                <c:pt idx="3">
                  <c:v>4897447.167072623</c:v>
                </c:pt>
                <c:pt idx="4">
                  <c:v>3419323.9303880609</c:v>
                </c:pt>
                <c:pt idx="5">
                  <c:v>-5973305.377618215</c:v>
                </c:pt>
                <c:pt idx="6">
                  <c:v>3439709.5667958553</c:v>
                </c:pt>
                <c:pt idx="7">
                  <c:v>4830525.9035701361</c:v>
                </c:pt>
                <c:pt idx="8">
                  <c:v>-8431199.13907649</c:v>
                </c:pt>
                <c:pt idx="9">
                  <c:v>5505718.8997048344</c:v>
                </c:pt>
                <c:pt idx="10">
                  <c:v>3595414.1651865453</c:v>
                </c:pt>
                <c:pt idx="11">
                  <c:v>-4278652.1518425243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4-8046-A6AE-1B4DE9A1BF2A}"/>
            </c:ext>
          </c:extLst>
        </c:ser>
        <c:ser>
          <c:idx val="1"/>
          <c:order val="1"/>
          <c:tx>
            <c:strRef>
              <c:f>'BUDGET FINANZIARIO'!$B$27</c:f>
              <c:strCache>
                <c:ptCount val="1"/>
                <c:pt idx="0">
                  <c:v>Flusso di cassa da investimenti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'BUDGET FINANZIARIO'!$C$4:$N$4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'BUDGET FINANZIARIO'!$C$27:$N$27</c:f>
              <c:numCache>
                <c:formatCode>_-"€"\ * #,##0_-;\-"€"\ * #,##0_-;_-"€"\ 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-36600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34-8046-A6AE-1B4DE9A1BF2A}"/>
            </c:ext>
          </c:extLst>
        </c:ser>
        <c:ser>
          <c:idx val="2"/>
          <c:order val="2"/>
          <c:tx>
            <c:strRef>
              <c:f>'BUDGET FINANZIARIO'!$B$39</c:f>
              <c:strCache>
                <c:ptCount val="1"/>
                <c:pt idx="0">
                  <c:v>Flusso di cassa da finanziamenti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'BUDGET FINANZIARIO'!$C$4:$N$4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'BUDGET FINANZIARIO'!$C$39:$N$39</c:f>
              <c:numCache>
                <c:formatCode>_-"€"\ * #,##0_-;\-"€"\ * #,##0_-;_-"€"\ * "-"??_-;_-@_-</c:formatCode>
                <c:ptCount val="12"/>
                <c:pt idx="0">
                  <c:v>-224210.84127563878</c:v>
                </c:pt>
                <c:pt idx="1">
                  <c:v>-213853.63418761629</c:v>
                </c:pt>
                <c:pt idx="2">
                  <c:v>-222022.78008562376</c:v>
                </c:pt>
                <c:pt idx="3">
                  <c:v>-228092.24316517852</c:v>
                </c:pt>
                <c:pt idx="4">
                  <c:v>-208124.06880086823</c:v>
                </c:pt>
                <c:pt idx="5">
                  <c:v>-215241.275798285</c:v>
                </c:pt>
                <c:pt idx="6">
                  <c:v>-222307.5187046823</c:v>
                </c:pt>
                <c:pt idx="7">
                  <c:v>-202364.18340810871</c:v>
                </c:pt>
                <c:pt idx="8">
                  <c:v>-124127.50534045353</c:v>
                </c:pt>
                <c:pt idx="9">
                  <c:v>-131734.70313600084</c:v>
                </c:pt>
                <c:pt idx="10">
                  <c:v>-109275.36767089053</c:v>
                </c:pt>
                <c:pt idx="11">
                  <c:v>-111276.95983464862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34-8046-A6AE-1B4DE9A1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3103103"/>
        <c:axId val="983104751"/>
      </c:barChart>
      <c:lineChart>
        <c:grouping val="standard"/>
        <c:varyColors val="0"/>
        <c:ser>
          <c:idx val="3"/>
          <c:order val="3"/>
          <c:tx>
            <c:strRef>
              <c:f>'BUDGET FINANZIARIO'!$B$41</c:f>
              <c:strCache>
                <c:ptCount val="1"/>
                <c:pt idx="0">
                  <c:v>Var. (PFN a breve)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'BUDGET FINANZIARIO'!$C$41:$N$41</c:f>
              <c:numCache>
                <c:formatCode>_-"€"\ * #,##0_-;\-"€"\ * #,##0_-;_-"€"\ * "-"??_-;_-@_-</c:formatCode>
                <c:ptCount val="12"/>
                <c:pt idx="0">
                  <c:v>190599.30597834795</c:v>
                </c:pt>
                <c:pt idx="1">
                  <c:v>3807120.4055039347</c:v>
                </c:pt>
                <c:pt idx="2">
                  <c:v>-7217753.8272435991</c:v>
                </c:pt>
                <c:pt idx="3">
                  <c:v>4632754.9239074448</c:v>
                </c:pt>
                <c:pt idx="4">
                  <c:v>3211199.8615871929</c:v>
                </c:pt>
                <c:pt idx="5">
                  <c:v>-6188546.6534165004</c:v>
                </c:pt>
                <c:pt idx="6">
                  <c:v>3217402.0480911732</c:v>
                </c:pt>
                <c:pt idx="7">
                  <c:v>4628161.7201620275</c:v>
                </c:pt>
                <c:pt idx="8">
                  <c:v>-8555326.6444169432</c:v>
                </c:pt>
                <c:pt idx="9">
                  <c:v>5373984.1965688337</c:v>
                </c:pt>
                <c:pt idx="10">
                  <c:v>3486138.7975156549</c:v>
                </c:pt>
                <c:pt idx="11">
                  <c:v>-4389929.1116771726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334-8046-A6AE-1B4DE9A1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03103"/>
        <c:axId val="983104751"/>
      </c:lineChart>
      <c:catAx>
        <c:axId val="98310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83104751"/>
        <c:crosses val="autoZero"/>
        <c:auto val="1"/>
        <c:lblAlgn val="ctr"/>
        <c:lblOffset val="100"/>
        <c:noMultiLvlLbl val="0"/>
      </c:catAx>
      <c:valAx>
        <c:axId val="983104751"/>
        <c:scaling>
          <c:orientation val="minMax"/>
        </c:scaling>
        <c:delete val="0"/>
        <c:axPos val="l"/>
        <c:numFmt formatCode="_-&quot;€&quot;\ * #,##0_-;\-&quot;€&quot;\ * #,##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83103103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T Sans Narrow" panose="020B0506020203020204" pitchFamily="34" charset="77"/>
                    <a:ea typeface="+mn-ea"/>
                    <a:cs typeface="+mn-cs"/>
                  </a:defRPr>
                </a:pPr>
                <a:endParaRPr lang="it-IT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5D2B93A0-1F94-C44B-9648-B543FCBBFF1D}">
          <cx:dataPt idx="0"/>
          <cx:dataPt idx="13"/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solidFill>
                      <a:srgbClr val="595959"/>
                    </a:solidFill>
                    <a:latin typeface="PT Sans Narrow" panose="020B0506020203020204" pitchFamily="34" charset="77"/>
                    <a:ea typeface="PT Sans Narrow" panose="020B0506020203020204" pitchFamily="34" charset="77"/>
                    <a:cs typeface="PT Sans Narrow" panose="020B0506020203020204" pitchFamily="34" charset="77"/>
                  </a:defRPr>
                </a:pPr>
                <a:endParaRPr lang="it-IT" b="0" i="0">
                  <a:latin typeface="PT Sans Narrow" panose="020B0506020203020204" pitchFamily="34" charset="77"/>
                </a:endParaRPr>
              </a:p>
            </cx:txPr>
            <cx:visibility seriesName="0" categoryName="0" value="1"/>
          </cx:dataLabels>
          <cx:dataId val="0"/>
          <cx:layoutPr>
            <cx:subtotals>
              <cx:idx val="0"/>
              <cx:idx val="13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PT Sans Narrow" panose="020B0506020203020204" pitchFamily="34" charset="77"/>
                <a:ea typeface="PT Sans Narrow" panose="020B0506020203020204" pitchFamily="34" charset="77"/>
                <a:cs typeface="PT Sans Narrow" panose="020B0506020203020204" pitchFamily="34" charset="77"/>
              </a:defRPr>
            </a:pPr>
            <a:endParaRPr lang="it-IT" b="0" i="0">
              <a:latin typeface="PT Sans Narrow" panose="020B0506020203020204" pitchFamily="34" charset="77"/>
            </a:endParaRPr>
          </a:p>
        </cx:txPr>
      </cx:axis>
      <cx:axis id="1">
        <cx:valScaling/>
        <cx:title>
          <cx:tx>
            <cx:txData>
              <cx:v>Migliaia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it-IT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/>
                </a:rPr>
                <a:t>Migliaia</a:t>
              </a:r>
            </a:p>
          </cx:txPr>
        </cx:title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rgbClr val="595959"/>
                </a:solidFill>
                <a:latin typeface="PT Sans Narrow" panose="020B0506020203020204" pitchFamily="34" charset="77"/>
                <a:ea typeface="PT Sans Narrow" panose="020B0506020203020204" pitchFamily="34" charset="77"/>
                <a:cs typeface="PT Sans Narrow" panose="020B0506020203020204" pitchFamily="34" charset="77"/>
              </a:defRPr>
            </a:pPr>
            <a:endParaRPr lang="it-IT" b="0" i="0">
              <a:latin typeface="PT Sans Narrow" panose="020B0506020203020204" pitchFamily="34" charset="77"/>
            </a:endParaRPr>
          </a:p>
        </cx:txPr>
      </cx:axis>
    </cx:plotArea>
    <cx:legend pos="b" align="ctr" overlay="0">
      <cx:txPr>
        <a:bodyPr vertOverflow="overflow" horzOverflow="overflow" wrap="square" lIns="0" tIns="0" rIns="0" bIns="0"/>
        <a:lstStyle/>
        <a:p>
          <a:pPr algn="ctr" rtl="0">
            <a:defRPr sz="900" b="0" i="0">
              <a:solidFill>
                <a:srgbClr val="595959"/>
              </a:solidFill>
              <a:latin typeface="PT Sans Narrow" panose="020B0506020203020204" pitchFamily="34" charset="77"/>
              <a:ea typeface="PT Sans Narrow" panose="020B0506020203020204" pitchFamily="34" charset="77"/>
              <a:cs typeface="PT Sans Narrow" panose="020B0506020203020204" pitchFamily="34" charset="77"/>
            </a:defRPr>
          </a:pPr>
          <a:endParaRPr lang="it-IT" b="0" i="0">
            <a:latin typeface="PT Sans Narrow" panose="020B0506020203020204" pitchFamily="34" charset="77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57073</xdr:colOff>
      <xdr:row>300</xdr:row>
      <xdr:rowOff>20619</xdr:rowOff>
    </xdr:from>
    <xdr:to>
      <xdr:col>7</xdr:col>
      <xdr:colOff>714485</xdr:colOff>
      <xdr:row>313</xdr:row>
      <xdr:rowOff>141642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B420278-7331-D047-9D2D-D7A4699A6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336626</xdr:colOff>
      <xdr:row>92</xdr:row>
      <xdr:rowOff>53553</xdr:rowOff>
    </xdr:from>
    <xdr:to>
      <xdr:col>8</xdr:col>
      <xdr:colOff>280011</xdr:colOff>
      <xdr:row>105</xdr:row>
      <xdr:rowOff>111391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66321D0-F38E-B745-95AB-26554FADD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3890658</xdr:colOff>
      <xdr:row>47</xdr:row>
      <xdr:rowOff>17600</xdr:rowOff>
    </xdr:from>
    <xdr:to>
      <xdr:col>6</xdr:col>
      <xdr:colOff>661737</xdr:colOff>
      <xdr:row>64</xdr:row>
      <xdr:rowOff>80210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05CCB36-C286-9546-AA86-C85089448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795421</xdr:colOff>
      <xdr:row>46</xdr:row>
      <xdr:rowOff>182477</xdr:rowOff>
    </xdr:from>
    <xdr:to>
      <xdr:col>11</xdr:col>
      <xdr:colOff>962527</xdr:colOff>
      <xdr:row>64</xdr:row>
      <xdr:rowOff>113631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afico 5">
              <a:extLst>
                <a:ext uri="{FF2B5EF4-FFF2-40B4-BE49-F238E27FC236}">
                  <a16:creationId xmlns:a16="http://schemas.microsoft.com/office/drawing/2014/main" id="{7AE03923-8E88-BF43-AFF8-13EBB5CCEF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55221" y="9161377"/>
              <a:ext cx="5691606" cy="35887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872067</xdr:colOff>
      <xdr:row>29</xdr:row>
      <xdr:rowOff>16933</xdr:rowOff>
    </xdr:from>
    <xdr:to>
      <xdr:col>11</xdr:col>
      <xdr:colOff>355601</xdr:colOff>
      <xdr:row>41</xdr:row>
      <xdr:rowOff>118533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17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BFD9BE-68EE-BC48-9EC9-B49064435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38</xdr:row>
      <xdr:rowOff>27215</xdr:rowOff>
    </xdr:from>
    <xdr:to>
      <xdr:col>20</xdr:col>
      <xdr:colOff>703036</xdr:colOff>
      <xdr:row>49</xdr:row>
      <xdr:rowOff>128815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7BD5092-2B6A-574E-AD22-9C63F852B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140607</xdr:colOff>
      <xdr:row>3</xdr:row>
      <xdr:rowOff>143329</xdr:rowOff>
    </xdr:from>
    <xdr:to>
      <xdr:col>20</xdr:col>
      <xdr:colOff>662215</xdr:colOff>
      <xdr:row>18</xdr:row>
      <xdr:rowOff>18143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141BECF-66AF-4149-923D-18EC69E4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181428</xdr:colOff>
      <xdr:row>30</xdr:row>
      <xdr:rowOff>27215</xdr:rowOff>
    </xdr:from>
    <xdr:to>
      <xdr:col>20</xdr:col>
      <xdr:colOff>703036</xdr:colOff>
      <xdr:row>42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2BAC33B-3242-0D45-9820-B37F36F56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18676</xdr:colOff>
      <xdr:row>40</xdr:row>
      <xdr:rowOff>193489</xdr:rowOff>
    </xdr:from>
    <xdr:to>
      <xdr:col>13</xdr:col>
      <xdr:colOff>33617</xdr:colOff>
      <xdr:row>54</xdr:row>
      <xdr:rowOff>112807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7237949-4954-574D-BDCD-E12697E4D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41</xdr:row>
      <xdr:rowOff>0</xdr:rowOff>
    </xdr:from>
    <xdr:to>
      <xdr:col>12</xdr:col>
      <xdr:colOff>702236</xdr:colOff>
      <xdr:row>54</xdr:row>
      <xdr:rowOff>121024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8D12560-33D2-3F44-8805-F40AF599A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F3E25E-AB83-EE41-B3AF-38A89040E9D7}" name="Tabella2" displayName="Tabella2" ref="B9:M195" totalsRowCount="1" headerRowDxfId="34" dataDxfId="32" totalsRowDxfId="31" headerRowBorderDxfId="33" totalsRowBorderDxfId="30" headerRowCellStyle="Valuta" dataCellStyle="Valuta">
  <autoFilter ref="B9:M194" xr:uid="{DCF3E25E-AB83-EE41-B3AF-38A89040E9D7}"/>
  <tableColumns count="12">
    <tableColumn id="1" xr3:uid="{19B7E127-672D-EC40-AF64-C19B16AF1105}" name="Matricola" totalsRowLabel="Totale" dataDxfId="29" totalsRowDxfId="28"/>
    <tableColumn id="2" xr3:uid="{BD75045C-B091-C942-95B2-679858DFB001}" name="Funzioni" dataDxfId="27" totalsRowDxfId="26"/>
    <tableColumn id="3" xr3:uid="{0DE325D9-1F0B-B142-A23A-AC0F8507C4B6}" name="Mansione" dataDxfId="25" totalsRowDxfId="24"/>
    <tableColumn id="4" xr3:uid="{E2A4526F-684B-6942-8255-99F9D15525AE}" name="linea" dataDxfId="23" totalsRowDxfId="22"/>
    <tableColumn id="5" xr3:uid="{555B7339-4A4B-454C-A4C3-513F9B7D733C}" name="RAL" totalsRowFunction="sum" dataDxfId="21" totalsRowDxfId="20" dataCellStyle="Valuta"/>
    <tableColumn id="6" xr3:uid="{BAE373D5-3317-CF4B-A4FD-51AC3C47CA0B}" name="Contributi" totalsRowFunction="sum" dataDxfId="19" totalsRowDxfId="18" dataCellStyle="Valuta">
      <calculatedColumnFormula>F10*$E$4</calculatedColumnFormula>
    </tableColumn>
    <tableColumn id="7" xr3:uid="{5E6EEE9C-FF58-2F43-AA93-1B42B5FD5398}" name="13ma" totalsRowFunction="sum" dataDxfId="17" totalsRowDxfId="16" dataCellStyle="Valuta">
      <calculatedColumnFormula>F10/12</calculatedColumnFormula>
    </tableColumn>
    <tableColumn id="8" xr3:uid="{03E49062-4B67-3F4A-BA47-23FB5927F226}" name="Contributi 13ma" totalsRowFunction="sum" dataDxfId="15" totalsRowDxfId="14" dataCellStyle="Valuta">
      <calculatedColumnFormula>H10*$E$4</calculatedColumnFormula>
    </tableColumn>
    <tableColumn id="9" xr3:uid="{4FE8CD81-3AD6-4149-9267-1135F31B5AE4}" name="14ma" totalsRowFunction="sum" dataDxfId="13" totalsRowDxfId="12" dataCellStyle="Valuta">
      <calculatedColumnFormula>F10/12</calculatedColumnFormula>
    </tableColumn>
    <tableColumn id="10" xr3:uid="{438271FD-02F0-7E4F-846E-55C126DBFDBA}" name="Contributi 14m" totalsRowFunction="sum" dataDxfId="11" totalsRowDxfId="10" dataCellStyle="Valuta">
      <calculatedColumnFormula>J10*$E$4</calculatedColumnFormula>
    </tableColumn>
    <tableColumn id="11" xr3:uid="{DF17BCFE-3E7E-334E-AB4F-114FE8BA1841}" name="TFR" totalsRowFunction="sum" dataDxfId="9" totalsRowDxfId="8" dataCellStyle="Valuta">
      <calculatedColumnFormula>F10/13.5</calculatedColumnFormula>
    </tableColumn>
    <tableColumn id="12" xr3:uid="{165577C0-DA39-EF4C-8F0B-B33A0E5325AC}" name="Costo totale" totalsRowFunction="sum" dataDxfId="7" totalsRowDxfId="6" dataCellStyle="Valuta">
      <calculatedColumnFormula>SUM(G10:L10)+F10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 codeName="Foglio1">
    <pageSetUpPr fitToPage="1"/>
  </sheetPr>
  <dimension ref="A2:G55"/>
  <sheetViews>
    <sheetView topLeftCell="A3" zoomScale="200" zoomScaleNormal="200" workbookViewId="0">
      <selection activeCell="B47" sqref="B47:D47"/>
    </sheetView>
  </sheetViews>
  <sheetFormatPr baseColWidth="10" defaultRowHeight="16" x14ac:dyDescent="0.15"/>
  <cols>
    <col min="1" max="1" width="38.1640625" style="91" customWidth="1"/>
    <col min="2" max="2" width="12.33203125" style="91" customWidth="1"/>
    <col min="3" max="3" width="14.83203125" style="91" customWidth="1"/>
    <col min="4" max="4" width="13.33203125" style="91" customWidth="1"/>
    <col min="5" max="5" width="13.5" style="91" customWidth="1"/>
    <col min="6" max="6" width="2.6640625" style="91" customWidth="1"/>
    <col min="7" max="7" width="13.33203125" style="91" customWidth="1"/>
    <col min="8" max="8" width="12.33203125" style="91" bestFit="1" customWidth="1"/>
    <col min="9" max="12" width="10.83203125" style="91"/>
    <col min="13" max="13" width="12.33203125" style="91" bestFit="1" customWidth="1"/>
    <col min="14" max="16384" width="10.83203125" style="91"/>
  </cols>
  <sheetData>
    <row r="2" spans="1:5" x14ac:dyDescent="0.15">
      <c r="A2" s="91" t="s">
        <v>228</v>
      </c>
    </row>
    <row r="4" spans="1:5" x14ac:dyDescent="0.15">
      <c r="A4" s="203" t="s">
        <v>161</v>
      </c>
    </row>
    <row r="6" spans="1:5" x14ac:dyDescent="0.15">
      <c r="A6" s="203" t="s">
        <v>162</v>
      </c>
    </row>
    <row r="8" spans="1:5" x14ac:dyDescent="0.15">
      <c r="A8" s="1020"/>
      <c r="B8" s="1017" t="s">
        <v>150</v>
      </c>
      <c r="C8" s="1018"/>
      <c r="D8" s="1019"/>
    </row>
    <row r="9" spans="1:5" x14ac:dyDescent="0.15">
      <c r="A9" s="1021"/>
      <c r="B9" s="197" t="s">
        <v>166</v>
      </c>
      <c r="C9" s="192" t="s">
        <v>167</v>
      </c>
      <c r="D9" s="190" t="s">
        <v>168</v>
      </c>
    </row>
    <row r="10" spans="1:5" x14ac:dyDescent="0.15">
      <c r="A10" s="179" t="s">
        <v>163</v>
      </c>
      <c r="B10" s="194">
        <v>0.01</v>
      </c>
      <c r="C10" s="194">
        <v>-0.02</v>
      </c>
      <c r="D10" s="198">
        <v>0.05</v>
      </c>
    </row>
    <row r="11" spans="1:5" x14ac:dyDescent="0.15">
      <c r="A11" s="180" t="s">
        <v>164</v>
      </c>
      <c r="B11" s="194">
        <v>0.02</v>
      </c>
      <c r="C11" s="194">
        <v>-0.04</v>
      </c>
      <c r="D11" s="198">
        <v>0.08</v>
      </c>
    </row>
    <row r="12" spans="1:5" x14ac:dyDescent="0.15">
      <c r="A12" s="181" t="s">
        <v>165</v>
      </c>
      <c r="B12" s="201">
        <v>0.01</v>
      </c>
      <c r="C12" s="196">
        <v>-0.02</v>
      </c>
      <c r="D12" s="199">
        <v>0.03</v>
      </c>
    </row>
    <row r="14" spans="1:5" x14ac:dyDescent="0.15">
      <c r="A14" s="203" t="s">
        <v>169</v>
      </c>
    </row>
    <row r="16" spans="1:5" x14ac:dyDescent="0.15">
      <c r="B16" s="1024" t="s">
        <v>170</v>
      </c>
      <c r="C16" s="1025"/>
      <c r="D16" s="1025"/>
      <c r="E16" s="1026"/>
    </row>
    <row r="17" spans="1:7" x14ac:dyDescent="0.15">
      <c r="B17" s="1017" t="s">
        <v>150</v>
      </c>
      <c r="C17" s="1018"/>
      <c r="D17" s="1019"/>
      <c r="E17" s="1022" t="s">
        <v>3</v>
      </c>
    </row>
    <row r="18" spans="1:7" x14ac:dyDescent="0.15">
      <c r="B18" s="197" t="s">
        <v>166</v>
      </c>
      <c r="C18" s="192" t="s">
        <v>167</v>
      </c>
      <c r="D18" s="190" t="s">
        <v>168</v>
      </c>
      <c r="E18" s="1023"/>
      <c r="G18" s="191" t="s">
        <v>182</v>
      </c>
    </row>
    <row r="19" spans="1:7" x14ac:dyDescent="0.15">
      <c r="B19" s="179"/>
      <c r="C19" s="179"/>
      <c r="D19" s="179"/>
      <c r="E19" s="179"/>
      <c r="G19" s="180"/>
    </row>
    <row r="20" spans="1:7" x14ac:dyDescent="0.15">
      <c r="A20" s="178" t="s">
        <v>151</v>
      </c>
      <c r="B20" s="186">
        <f>+B24/B26</f>
        <v>128140000</v>
      </c>
      <c r="C20" s="186">
        <f>$E20*C21</f>
        <v>123000000</v>
      </c>
      <c r="D20" s="186">
        <f>$E20*D21</f>
        <v>77900000</v>
      </c>
      <c r="E20" s="187">
        <v>410000000</v>
      </c>
      <c r="G20" s="202">
        <f>+E20-B20-C20-D20</f>
        <v>80960000</v>
      </c>
    </row>
    <row r="21" spans="1:7" x14ac:dyDescent="0.15">
      <c r="B21" s="205">
        <f>B20/E20</f>
        <v>0.31253658536585366</v>
      </c>
      <c r="C21" s="185">
        <v>0.3</v>
      </c>
      <c r="D21" s="185">
        <v>0.19</v>
      </c>
      <c r="E21" s="215"/>
      <c r="F21" s="195"/>
      <c r="G21" s="193">
        <f>G20/E20</f>
        <v>0.19746341463414635</v>
      </c>
    </row>
    <row r="22" spans="1:7" x14ac:dyDescent="0.15">
      <c r="A22" s="91" t="s">
        <v>152</v>
      </c>
      <c r="B22" s="208">
        <v>22111</v>
      </c>
      <c r="C22" s="212">
        <f>C20/180</f>
        <v>683333.33333333337</v>
      </c>
      <c r="D22" s="212">
        <f>ROUND(D28/D30,0)</f>
        <v>3158</v>
      </c>
      <c r="E22" s="180"/>
    </row>
    <row r="23" spans="1:7" x14ac:dyDescent="0.15">
      <c r="B23" s="180"/>
      <c r="C23" s="180"/>
      <c r="D23" s="180"/>
      <c r="E23" s="180"/>
    </row>
    <row r="24" spans="1:7" x14ac:dyDescent="0.15">
      <c r="A24" s="178" t="s">
        <v>154</v>
      </c>
      <c r="B24" s="186">
        <f>+B25*E24</f>
        <v>38442000</v>
      </c>
      <c r="C24" s="186">
        <f>C25*E24</f>
        <v>79446800</v>
      </c>
      <c r="D24" s="186">
        <f>+E24-C24-B24</f>
        <v>10251200</v>
      </c>
      <c r="E24" s="189">
        <v>128140000</v>
      </c>
    </row>
    <row r="25" spans="1:7" x14ac:dyDescent="0.15">
      <c r="A25" s="91" t="s">
        <v>171</v>
      </c>
      <c r="B25" s="185">
        <v>0.3</v>
      </c>
      <c r="C25" s="185">
        <v>0.62</v>
      </c>
      <c r="D25" s="205">
        <f>+D24/E24</f>
        <v>0.08</v>
      </c>
      <c r="E25" s="205">
        <f>+E24/E24</f>
        <v>1</v>
      </c>
    </row>
    <row r="26" spans="1:7" x14ac:dyDescent="0.15">
      <c r="A26" s="91" t="s">
        <v>153</v>
      </c>
      <c r="B26" s="185">
        <v>0.3</v>
      </c>
      <c r="C26" s="205">
        <f>C24/C20</f>
        <v>0.64590894308943092</v>
      </c>
      <c r="D26" s="188">
        <f>D24/D20</f>
        <v>0.13159435173299103</v>
      </c>
      <c r="E26" s="188">
        <f>E24/E20</f>
        <v>0.31253658536585366</v>
      </c>
    </row>
    <row r="27" spans="1:7" x14ac:dyDescent="0.15">
      <c r="B27" s="205"/>
      <c r="C27" s="205"/>
      <c r="D27" s="180"/>
      <c r="E27" s="188"/>
    </row>
    <row r="28" spans="1:7" x14ac:dyDescent="0.15">
      <c r="A28" s="91" t="s">
        <v>155</v>
      </c>
      <c r="B28" s="209">
        <v>6200</v>
      </c>
      <c r="C28" s="213">
        <f>C24/C40</f>
        <v>441371.11111111112</v>
      </c>
      <c r="D28" s="208">
        <v>600</v>
      </c>
      <c r="E28" s="188"/>
    </row>
    <row r="29" spans="1:7" x14ac:dyDescent="0.15">
      <c r="A29" s="91" t="s">
        <v>156</v>
      </c>
      <c r="B29" s="210">
        <f>+B24/B28</f>
        <v>6200.322580645161</v>
      </c>
      <c r="C29" s="210">
        <f t="shared" ref="C29:D29" si="0">+C24/C28</f>
        <v>180</v>
      </c>
      <c r="D29" s="210">
        <f t="shared" si="0"/>
        <v>17085.333333333332</v>
      </c>
      <c r="E29" s="188"/>
    </row>
    <row r="30" spans="1:7" x14ac:dyDescent="0.15">
      <c r="A30" s="91" t="s">
        <v>157</v>
      </c>
      <c r="B30" s="205">
        <f>B28/B22</f>
        <v>0.28040341911265887</v>
      </c>
      <c r="C30" s="205">
        <f>C28/C22</f>
        <v>0.64590894308943092</v>
      </c>
      <c r="D30" s="214">
        <v>0.19</v>
      </c>
      <c r="E30" s="188"/>
    </row>
    <row r="31" spans="1:7" x14ac:dyDescent="0.15">
      <c r="B31" s="205"/>
      <c r="C31" s="205"/>
      <c r="D31" s="205"/>
      <c r="E31" s="188"/>
    </row>
    <row r="32" spans="1:7" x14ac:dyDescent="0.15">
      <c r="A32" s="91" t="s">
        <v>184</v>
      </c>
      <c r="B32" s="205"/>
      <c r="C32" s="205"/>
      <c r="D32" s="205"/>
      <c r="E32" s="188"/>
    </row>
    <row r="33" spans="1:5" x14ac:dyDescent="0.15">
      <c r="A33" s="178" t="s">
        <v>160</v>
      </c>
      <c r="B33" s="256">
        <v>180</v>
      </c>
      <c r="C33" s="256">
        <v>180</v>
      </c>
      <c r="D33" s="256">
        <v>180</v>
      </c>
      <c r="E33" s="188"/>
    </row>
    <row r="34" spans="1:5" x14ac:dyDescent="0.15">
      <c r="A34" s="178" t="s">
        <v>159</v>
      </c>
      <c r="B34" s="256">
        <v>500</v>
      </c>
      <c r="C34" s="256">
        <v>500</v>
      </c>
      <c r="D34" s="256">
        <v>500</v>
      </c>
      <c r="E34" s="188"/>
    </row>
    <row r="35" spans="1:5" x14ac:dyDescent="0.15">
      <c r="B35" s="180"/>
      <c r="C35" s="180"/>
      <c r="D35" s="180"/>
      <c r="E35" s="180"/>
    </row>
    <row r="36" spans="1:5" x14ac:dyDescent="0.15">
      <c r="A36" s="91" t="s">
        <v>173</v>
      </c>
      <c r="B36" s="180"/>
      <c r="C36" s="180"/>
      <c r="D36" s="180"/>
      <c r="E36" s="180"/>
    </row>
    <row r="37" spans="1:5" x14ac:dyDescent="0.15">
      <c r="A37" s="178" t="s">
        <v>160</v>
      </c>
      <c r="B37" s="184">
        <v>0.71</v>
      </c>
      <c r="C37" s="184">
        <v>1</v>
      </c>
      <c r="D37" s="184">
        <v>0.09</v>
      </c>
      <c r="E37" s="184">
        <v>0.84</v>
      </c>
    </row>
    <row r="38" spans="1:5" x14ac:dyDescent="0.15">
      <c r="A38" s="178" t="s">
        <v>159</v>
      </c>
      <c r="B38" s="184">
        <f>1-B37</f>
        <v>0.29000000000000004</v>
      </c>
      <c r="C38" s="184">
        <v>0</v>
      </c>
      <c r="D38" s="184">
        <v>0.91</v>
      </c>
      <c r="E38" s="184">
        <f>1-E37</f>
        <v>0.16000000000000003</v>
      </c>
    </row>
    <row r="39" spans="1:5" x14ac:dyDescent="0.15">
      <c r="B39" s="205"/>
      <c r="C39" s="205"/>
      <c r="D39" s="205"/>
      <c r="E39" s="188"/>
    </row>
    <row r="40" spans="1:5" x14ac:dyDescent="0.15">
      <c r="A40" s="91" t="s">
        <v>185</v>
      </c>
      <c r="B40" s="210">
        <f>B33*B37+B34*B38</f>
        <v>272.8</v>
      </c>
      <c r="C40" s="210">
        <f t="shared" ref="C40:D40" si="1">C33*C37+C34*C38</f>
        <v>180</v>
      </c>
      <c r="D40" s="210">
        <f t="shared" si="1"/>
        <v>471.2</v>
      </c>
      <c r="E40" s="188"/>
    </row>
    <row r="41" spans="1:5" x14ac:dyDescent="0.15">
      <c r="B41" s="180"/>
      <c r="C41" s="180"/>
      <c r="D41" s="180"/>
      <c r="E41" s="180"/>
    </row>
    <row r="42" spans="1:5" x14ac:dyDescent="0.15">
      <c r="A42" s="91" t="s">
        <v>174</v>
      </c>
      <c r="B42" s="180"/>
      <c r="C42" s="180"/>
      <c r="D42" s="180"/>
      <c r="E42" s="180"/>
    </row>
    <row r="43" spans="1:5" x14ac:dyDescent="0.15">
      <c r="A43" s="178" t="s">
        <v>160</v>
      </c>
      <c r="B43" s="186">
        <f t="shared" ref="B43:E44" si="2">B37*B$24</f>
        <v>27293820</v>
      </c>
      <c r="C43" s="186">
        <f t="shared" si="2"/>
        <v>79446800</v>
      </c>
      <c r="D43" s="186">
        <f t="shared" si="2"/>
        <v>922608</v>
      </c>
      <c r="E43" s="186">
        <f t="shared" si="2"/>
        <v>107637600</v>
      </c>
    </row>
    <row r="44" spans="1:5" x14ac:dyDescent="0.15">
      <c r="A44" s="178" t="s">
        <v>159</v>
      </c>
      <c r="B44" s="186">
        <f t="shared" si="2"/>
        <v>11148180.000000002</v>
      </c>
      <c r="C44" s="186">
        <f t="shared" si="2"/>
        <v>0</v>
      </c>
      <c r="D44" s="186">
        <f t="shared" si="2"/>
        <v>9328592</v>
      </c>
      <c r="E44" s="186">
        <f t="shared" si="2"/>
        <v>20502400.000000004</v>
      </c>
    </row>
    <row r="45" spans="1:5" x14ac:dyDescent="0.15">
      <c r="B45" s="180"/>
      <c r="C45" s="180"/>
      <c r="D45" s="180"/>
      <c r="E45" s="180"/>
    </row>
    <row r="46" spans="1:5" x14ac:dyDescent="0.15">
      <c r="A46" s="91" t="s">
        <v>180</v>
      </c>
      <c r="B46" s="184">
        <v>0.01</v>
      </c>
      <c r="C46" s="184">
        <v>0</v>
      </c>
      <c r="D46" s="184">
        <v>0.1</v>
      </c>
      <c r="E46" s="180"/>
    </row>
    <row r="47" spans="1:5" x14ac:dyDescent="0.15">
      <c r="A47" s="91" t="s">
        <v>172</v>
      </c>
      <c r="B47" s="182">
        <v>90</v>
      </c>
      <c r="C47" s="182">
        <v>30</v>
      </c>
      <c r="D47" s="182">
        <v>150</v>
      </c>
      <c r="E47" s="180"/>
    </row>
    <row r="48" spans="1:5" x14ac:dyDescent="0.15">
      <c r="A48" s="91" t="s">
        <v>181</v>
      </c>
      <c r="B48" s="184">
        <v>0.12</v>
      </c>
      <c r="C48" s="180"/>
      <c r="D48" s="184">
        <v>0.06</v>
      </c>
      <c r="E48" s="180"/>
    </row>
    <row r="49" spans="1:5" x14ac:dyDescent="0.15">
      <c r="B49" s="180"/>
      <c r="C49" s="180"/>
      <c r="D49" s="180"/>
      <c r="E49" s="180"/>
    </row>
    <row r="50" spans="1:5" x14ac:dyDescent="0.15">
      <c r="B50" s="180"/>
      <c r="C50" s="180"/>
      <c r="D50" s="180"/>
      <c r="E50" s="180"/>
    </row>
    <row r="51" spans="1:5" x14ac:dyDescent="0.15">
      <c r="A51" s="91" t="s">
        <v>175</v>
      </c>
      <c r="B51" s="180"/>
      <c r="C51" s="180"/>
      <c r="D51" s="180"/>
      <c r="E51" s="180"/>
    </row>
    <row r="52" spans="1:5" x14ac:dyDescent="0.15">
      <c r="A52" s="91" t="s">
        <v>176</v>
      </c>
      <c r="B52" s="182">
        <v>50</v>
      </c>
      <c r="C52" s="182">
        <v>0</v>
      </c>
      <c r="D52" s="182">
        <v>7</v>
      </c>
      <c r="E52" s="180"/>
    </row>
    <row r="53" spans="1:5" x14ac:dyDescent="0.15">
      <c r="A53" s="91" t="s">
        <v>177</v>
      </c>
      <c r="B53" s="182">
        <v>40</v>
      </c>
      <c r="C53" s="182">
        <v>0</v>
      </c>
      <c r="D53" s="182">
        <v>2</v>
      </c>
      <c r="E53" s="180"/>
    </row>
    <row r="54" spans="1:5" x14ac:dyDescent="0.15">
      <c r="A54" s="91" t="s">
        <v>178</v>
      </c>
      <c r="B54" s="182">
        <v>25</v>
      </c>
      <c r="C54" s="182">
        <v>0</v>
      </c>
      <c r="D54" s="182">
        <v>3</v>
      </c>
      <c r="E54" s="180"/>
    </row>
    <row r="55" spans="1:5" x14ac:dyDescent="0.15">
      <c r="A55" s="200" t="s">
        <v>179</v>
      </c>
      <c r="B55" s="211">
        <f>SUM(B52:B54)</f>
        <v>115</v>
      </c>
      <c r="C55" s="211">
        <f t="shared" ref="C55:D55" si="3">SUM(C52:C54)</f>
        <v>0</v>
      </c>
      <c r="D55" s="211">
        <f t="shared" si="3"/>
        <v>12</v>
      </c>
      <c r="E55" s="181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 codeName="Foglio10">
    <pageSetUpPr fitToPage="1"/>
  </sheetPr>
  <dimension ref="B2:U30"/>
  <sheetViews>
    <sheetView showGridLines="0" zoomScale="178" zoomScaleNormal="130" workbookViewId="0">
      <selection activeCell="C15" sqref="C15"/>
    </sheetView>
  </sheetViews>
  <sheetFormatPr baseColWidth="10" defaultRowHeight="17" customHeight="1" x14ac:dyDescent="0.15"/>
  <cols>
    <col min="1" max="1" width="10.83203125" style="329"/>
    <col min="2" max="2" width="25.6640625" style="329" customWidth="1"/>
    <col min="3" max="9" width="13.5" style="329" bestFit="1" customWidth="1"/>
    <col min="10" max="10" width="12.5" style="329" bestFit="1" customWidth="1"/>
    <col min="11" max="13" width="13.5" style="329" bestFit="1" customWidth="1"/>
    <col min="14" max="14" width="12.5" style="329" bestFit="1" customWidth="1"/>
    <col min="15" max="15" width="13.1640625" style="329" customWidth="1"/>
    <col min="16" max="16" width="4.1640625" style="329" customWidth="1"/>
    <col min="17" max="16384" width="10.83203125" style="329"/>
  </cols>
  <sheetData>
    <row r="2" spans="2:21" ht="17" customHeight="1" x14ac:dyDescent="0.15">
      <c r="B2" s="91" t="s">
        <v>229</v>
      </c>
    </row>
    <row r="3" spans="2:21" ht="17" customHeight="1" thickBot="1" x14ac:dyDescent="0.2"/>
    <row r="4" spans="2:21" ht="17" customHeight="1" thickBot="1" x14ac:dyDescent="0.2">
      <c r="B4" s="333" t="s">
        <v>230</v>
      </c>
    </row>
    <row r="5" spans="2:21" s="91" customFormat="1" ht="17" customHeight="1" x14ac:dyDescent="0.15">
      <c r="B5" s="330"/>
      <c r="C5" s="1076" t="s">
        <v>196</v>
      </c>
      <c r="D5" s="1034"/>
      <c r="E5" s="1034"/>
      <c r="F5" s="1034"/>
      <c r="G5" s="1034"/>
      <c r="H5" s="1034"/>
      <c r="I5" s="1034"/>
      <c r="J5" s="1034"/>
      <c r="K5" s="1034"/>
      <c r="L5" s="1034"/>
      <c r="M5" s="1034"/>
      <c r="N5" s="1034"/>
      <c r="O5" s="1035"/>
      <c r="Q5" s="1077" t="s">
        <v>235</v>
      </c>
      <c r="R5" s="1078"/>
      <c r="S5" s="1078"/>
      <c r="T5" s="1079"/>
      <c r="U5" s="329"/>
    </row>
    <row r="6" spans="2:21" s="91" customFormat="1" ht="17" customHeight="1" x14ac:dyDescent="0.15">
      <c r="B6" s="339"/>
      <c r="C6" s="337" t="s">
        <v>211</v>
      </c>
      <c r="D6" s="337" t="s">
        <v>212</v>
      </c>
      <c r="E6" s="337" t="s">
        <v>213</v>
      </c>
      <c r="F6" s="337" t="s">
        <v>214</v>
      </c>
      <c r="G6" s="337" t="s">
        <v>215</v>
      </c>
      <c r="H6" s="337" t="s">
        <v>216</v>
      </c>
      <c r="I6" s="337" t="s">
        <v>217</v>
      </c>
      <c r="J6" s="337" t="s">
        <v>218</v>
      </c>
      <c r="K6" s="337" t="s">
        <v>219</v>
      </c>
      <c r="L6" s="337" t="s">
        <v>220</v>
      </c>
      <c r="M6" s="337" t="s">
        <v>221</v>
      </c>
      <c r="N6" s="337" t="s">
        <v>222</v>
      </c>
      <c r="O6" s="342" t="s">
        <v>179</v>
      </c>
      <c r="Q6" s="383" t="s">
        <v>211</v>
      </c>
      <c r="R6" s="337" t="s">
        <v>212</v>
      </c>
      <c r="S6" s="337" t="s">
        <v>213</v>
      </c>
      <c r="T6" s="384"/>
      <c r="U6" s="195"/>
    </row>
    <row r="7" spans="2:21" s="91" customFormat="1" ht="17" customHeight="1" x14ac:dyDescent="0.15">
      <c r="B7" s="230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338"/>
      <c r="Q7" s="331"/>
      <c r="T7" s="343"/>
    </row>
    <row r="8" spans="2:21" s="91" customFormat="1" ht="17" customHeight="1" x14ac:dyDescent="0.15">
      <c r="B8" s="230" t="s">
        <v>232</v>
      </c>
      <c r="C8" s="334">
        <v>125000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338"/>
      <c r="Q8" s="331"/>
      <c r="T8" s="343"/>
    </row>
    <row r="9" spans="2:21" s="91" customFormat="1" ht="17" customHeight="1" x14ac:dyDescent="0.15">
      <c r="B9" s="230" t="s">
        <v>233</v>
      </c>
      <c r="C9" s="348">
        <v>6</v>
      </c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338"/>
      <c r="Q9" s="331"/>
      <c r="T9" s="343"/>
    </row>
    <row r="10" spans="2:21" s="91" customFormat="1" ht="17" customHeight="1" x14ac:dyDescent="0.15">
      <c r="B10" s="230" t="s">
        <v>234</v>
      </c>
      <c r="C10" s="195">
        <f>1/C9*360</f>
        <v>60</v>
      </c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338"/>
      <c r="Q10" s="331"/>
      <c r="T10" s="343"/>
    </row>
    <row r="11" spans="2:21" s="91" customFormat="1" ht="17" customHeight="1" x14ac:dyDescent="0.15">
      <c r="B11" s="230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338"/>
      <c r="Q11" s="331"/>
      <c r="T11" s="343"/>
    </row>
    <row r="12" spans="2:21" s="91" customFormat="1" ht="23" customHeight="1" x14ac:dyDescent="0.15">
      <c r="B12" s="230" t="s">
        <v>231</v>
      </c>
      <c r="C12" s="347">
        <f>+C8</f>
        <v>125000</v>
      </c>
      <c r="D12" s="332">
        <f>+C14</f>
        <v>125797.19690665754</v>
      </c>
      <c r="E12" s="332">
        <f t="shared" ref="E12:N12" si="0">+D14</f>
        <v>127814.97304613743</v>
      </c>
      <c r="F12" s="332">
        <f t="shared" si="0"/>
        <v>128409.79302550908</v>
      </c>
      <c r="G12" s="332">
        <f t="shared" si="0"/>
        <v>129339.85608327617</v>
      </c>
      <c r="H12" s="332">
        <f t="shared" si="0"/>
        <v>130269.91914104327</v>
      </c>
      <c r="I12" s="332">
        <f t="shared" si="0"/>
        <v>131244.27091584684</v>
      </c>
      <c r="J12" s="332">
        <f t="shared" si="0"/>
        <v>124378.62269065049</v>
      </c>
      <c r="K12" s="332">
        <f t="shared" si="0"/>
        <v>124910.08729508883</v>
      </c>
      <c r="L12" s="332">
        <f t="shared" si="0"/>
        <v>122005.20154404026</v>
      </c>
      <c r="M12" s="332">
        <f t="shared" si="0"/>
        <v>114812.44144985588</v>
      </c>
      <c r="N12" s="332">
        <f t="shared" si="0"/>
        <v>107902.50450762297</v>
      </c>
      <c r="O12" s="247"/>
      <c r="Q12" s="379">
        <f>+N14</f>
        <v>108433.96911206131</v>
      </c>
      <c r="T12" s="343"/>
    </row>
    <row r="13" spans="2:21" s="91" customFormat="1" ht="23" customHeight="1" x14ac:dyDescent="0.15">
      <c r="B13" s="340" t="s">
        <v>238</v>
      </c>
      <c r="C13" s="332">
        <f>QUANTITÀ!B11</f>
        <v>52287.943518874388</v>
      </c>
      <c r="D13" s="332">
        <f>QUANTITÀ!C11</f>
        <v>58097.71502097154</v>
      </c>
      <c r="E13" s="332">
        <f>QUANTITÀ!D11</f>
        <v>66812.372274117282</v>
      </c>
      <c r="F13" s="332">
        <f>QUANTITÀ!E11</f>
        <v>61002.600772020131</v>
      </c>
      <c r="G13" s="332">
        <f>QUANTITÀ!F11</f>
        <v>61002.600772020131</v>
      </c>
      <c r="H13" s="332">
        <f>QUANTITÀ!G11</f>
        <v>63907.486523068706</v>
      </c>
      <c r="I13" s="332">
        <f>QUANTITÀ!H11</f>
        <v>63907.486523068706</v>
      </c>
      <c r="J13" s="332">
        <f>QUANTITÀ!I11</f>
        <v>34858.629012582933</v>
      </c>
      <c r="K13" s="332">
        <f>QUANTITÀ!J11</f>
        <v>63907.486523068706</v>
      </c>
      <c r="L13" s="332">
        <f>QUANTITÀ!K11</f>
        <v>61002.600772020131</v>
      </c>
      <c r="M13" s="332">
        <f>QUANTITÀ!L11</f>
        <v>61002.600772020131</v>
      </c>
      <c r="N13" s="332">
        <f>QUANTITÀ!M11</f>
        <v>34858.629012582933</v>
      </c>
      <c r="O13" s="247">
        <f>SUM(C13:N13)</f>
        <v>682648.15149641572</v>
      </c>
      <c r="Q13" s="344">
        <f>QUANTITÀ!P11</f>
        <v>51363.459053081671</v>
      </c>
      <c r="R13" s="335">
        <f>QUANTITÀ!Q11</f>
        <v>57070.510058979649</v>
      </c>
      <c r="S13" s="335">
        <f>QUANTITÀ!R11</f>
        <v>65631.086567826584</v>
      </c>
      <c r="T13" s="345">
        <f>QUANTITÀ!S11</f>
        <v>59924.03556192862</v>
      </c>
      <c r="U13" s="335"/>
    </row>
    <row r="14" spans="2:21" s="91" customFormat="1" ht="23" customHeight="1" thickBot="1" x14ac:dyDescent="0.2">
      <c r="B14" s="340" t="s">
        <v>236</v>
      </c>
      <c r="C14" s="332">
        <f>+C12-C13+C15</f>
        <v>125797.19690665754</v>
      </c>
      <c r="D14" s="332">
        <f t="shared" ref="D14:N14" si="1">+D12-D13+D15</f>
        <v>127814.97304613743</v>
      </c>
      <c r="E14" s="332">
        <f t="shared" si="1"/>
        <v>128409.79302550908</v>
      </c>
      <c r="F14" s="332">
        <f t="shared" si="1"/>
        <v>129339.85608327617</v>
      </c>
      <c r="G14" s="332">
        <f t="shared" si="1"/>
        <v>130269.91914104327</v>
      </c>
      <c r="H14" s="332">
        <f t="shared" si="1"/>
        <v>131244.27091584684</v>
      </c>
      <c r="I14" s="332">
        <f t="shared" si="1"/>
        <v>124378.62269065049</v>
      </c>
      <c r="J14" s="332">
        <f t="shared" si="1"/>
        <v>124910.08729508883</v>
      </c>
      <c r="K14" s="332">
        <f t="shared" si="1"/>
        <v>122005.20154404026</v>
      </c>
      <c r="L14" s="332">
        <f t="shared" si="1"/>
        <v>114812.44144985588</v>
      </c>
      <c r="M14" s="332">
        <f t="shared" si="1"/>
        <v>107902.50450762297</v>
      </c>
      <c r="N14" s="332">
        <f t="shared" si="1"/>
        <v>108433.96911206131</v>
      </c>
      <c r="O14" s="247"/>
      <c r="Q14" s="344">
        <f>(R13+S13)</f>
        <v>122701.59662680623</v>
      </c>
      <c r="T14" s="343"/>
    </row>
    <row r="15" spans="2:21" s="91" customFormat="1" ht="19" customHeight="1" thickBot="1" x14ac:dyDescent="0.2">
      <c r="B15" s="341" t="s">
        <v>237</v>
      </c>
      <c r="C15" s="571">
        <v>53085.140425531914</v>
      </c>
      <c r="D15" s="571">
        <v>60115.491160451427</v>
      </c>
      <c r="E15" s="571">
        <v>67407.192253488931</v>
      </c>
      <c r="F15" s="571">
        <v>61932.663829787227</v>
      </c>
      <c r="G15" s="571">
        <v>61932.663829787234</v>
      </c>
      <c r="H15" s="571">
        <v>64881.83829787228</v>
      </c>
      <c r="I15" s="571">
        <v>57041.838297872368</v>
      </c>
      <c r="J15" s="571">
        <v>35390.093617021274</v>
      </c>
      <c r="K15" s="571">
        <v>61002.600772020145</v>
      </c>
      <c r="L15" s="571">
        <v>53809.840677835746</v>
      </c>
      <c r="M15" s="571">
        <v>54092.663829787234</v>
      </c>
      <c r="N15" s="571">
        <v>35390.093617021274</v>
      </c>
      <c r="O15" s="346">
        <f>SUM(C15:N15)</f>
        <v>666082.12060847704</v>
      </c>
      <c r="Q15" s="380">
        <f t="shared" ref="Q15" si="2">(Q14-Q12+Q13)</f>
        <v>65631.086567826598</v>
      </c>
      <c r="R15" s="381"/>
      <c r="S15" s="381"/>
      <c r="T15" s="382"/>
    </row>
    <row r="16" spans="2:21" s="91" customFormat="1" ht="17" customHeight="1" thickBot="1" x14ac:dyDescent="0.2"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</row>
    <row r="17" spans="2:21" ht="17" customHeight="1" thickBot="1" x14ac:dyDescent="0.2">
      <c r="B17" s="333" t="s">
        <v>241</v>
      </c>
      <c r="U17" s="91"/>
    </row>
    <row r="18" spans="2:21" s="91" customFormat="1" ht="17" customHeight="1" x14ac:dyDescent="0.15">
      <c r="B18" s="330"/>
      <c r="C18" s="1076" t="s">
        <v>196</v>
      </c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1035"/>
      <c r="Q18" s="1077" t="s">
        <v>235</v>
      </c>
      <c r="R18" s="1078"/>
      <c r="S18" s="1078"/>
      <c r="T18" s="1079"/>
    </row>
    <row r="19" spans="2:21" s="91" customFormat="1" ht="17" customHeight="1" x14ac:dyDescent="0.15">
      <c r="B19" s="339"/>
      <c r="C19" s="337" t="s">
        <v>211</v>
      </c>
      <c r="D19" s="337" t="s">
        <v>212</v>
      </c>
      <c r="E19" s="337" t="s">
        <v>213</v>
      </c>
      <c r="F19" s="337" t="s">
        <v>214</v>
      </c>
      <c r="G19" s="337" t="s">
        <v>215</v>
      </c>
      <c r="H19" s="337" t="s">
        <v>216</v>
      </c>
      <c r="I19" s="337" t="s">
        <v>217</v>
      </c>
      <c r="J19" s="337" t="s">
        <v>218</v>
      </c>
      <c r="K19" s="337" t="s">
        <v>219</v>
      </c>
      <c r="L19" s="337" t="s">
        <v>220</v>
      </c>
      <c r="M19" s="337" t="s">
        <v>221</v>
      </c>
      <c r="N19" s="337" t="s">
        <v>222</v>
      </c>
      <c r="O19" s="342" t="s">
        <v>179</v>
      </c>
      <c r="Q19" s="383" t="s">
        <v>211</v>
      </c>
      <c r="R19" s="337" t="s">
        <v>212</v>
      </c>
      <c r="S19" s="337" t="s">
        <v>213</v>
      </c>
      <c r="T19" s="384" t="s">
        <v>214</v>
      </c>
    </row>
    <row r="20" spans="2:21" s="91" customFormat="1" ht="17" customHeight="1" x14ac:dyDescent="0.15">
      <c r="B20" s="230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338"/>
      <c r="Q20" s="331"/>
      <c r="T20" s="343"/>
    </row>
    <row r="21" spans="2:21" s="91" customFormat="1" ht="17" customHeight="1" x14ac:dyDescent="0.15">
      <c r="B21" s="230" t="s">
        <v>232</v>
      </c>
      <c r="C21" s="334">
        <v>11000</v>
      </c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338"/>
      <c r="Q21" s="331"/>
      <c r="T21" s="343"/>
    </row>
    <row r="22" spans="2:21" s="91" customFormat="1" ht="17" customHeight="1" x14ac:dyDescent="0.15">
      <c r="B22" s="230" t="s">
        <v>233</v>
      </c>
      <c r="C22" s="348">
        <v>4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338"/>
      <c r="Q22" s="331"/>
      <c r="T22" s="343"/>
    </row>
    <row r="23" spans="2:21" s="91" customFormat="1" ht="17" customHeight="1" x14ac:dyDescent="0.15">
      <c r="B23" s="230" t="s">
        <v>234</v>
      </c>
      <c r="C23" s="195">
        <f>1/C22*360</f>
        <v>90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338"/>
      <c r="Q23" s="331"/>
      <c r="T23" s="343"/>
    </row>
    <row r="24" spans="2:21" s="91" customFormat="1" ht="17" customHeight="1" x14ac:dyDescent="0.15">
      <c r="B24" s="230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338"/>
      <c r="Q24" s="331"/>
      <c r="T24" s="343"/>
    </row>
    <row r="25" spans="2:21" s="91" customFormat="1" ht="23" customHeight="1" x14ac:dyDescent="0.15">
      <c r="B25" s="230" t="s">
        <v>231</v>
      </c>
      <c r="C25" s="347">
        <f>+C21</f>
        <v>11000</v>
      </c>
      <c r="D25" s="332">
        <f>+C27</f>
        <v>11401.657185339744</v>
      </c>
      <c r="E25" s="332">
        <f t="shared" ref="E25:N25" si="3">+D27</f>
        <v>11579.808078860682</v>
      </c>
      <c r="F25" s="332">
        <f t="shared" si="3"/>
        <v>11401.657185339758</v>
      </c>
      <c r="G25" s="332">
        <f t="shared" si="3"/>
        <v>11579.808078860688</v>
      </c>
      <c r="H25" s="332">
        <f t="shared" si="3"/>
        <v>10342.064669320542</v>
      </c>
      <c r="I25" s="332">
        <f t="shared" si="3"/>
        <v>10974.404586328088</v>
      </c>
      <c r="J25" s="332">
        <f t="shared" si="3"/>
        <v>11056.74450333564</v>
      </c>
      <c r="K25" s="332">
        <f t="shared" si="3"/>
        <v>11401.657185339758</v>
      </c>
      <c r="L25" s="332">
        <f t="shared" si="3"/>
        <v>10490.804079045454</v>
      </c>
      <c r="M25" s="332">
        <f t="shared" si="3"/>
        <v>11094.401272552659</v>
      </c>
      <c r="N25" s="332">
        <f t="shared" si="3"/>
        <v>11147.998466059864</v>
      </c>
      <c r="O25" s="247"/>
      <c r="Q25" s="379">
        <f>+N27</f>
        <v>11492.911148063982</v>
      </c>
      <c r="T25" s="343"/>
    </row>
    <row r="26" spans="2:21" s="91" customFormat="1" ht="23" customHeight="1" x14ac:dyDescent="0.15">
      <c r="B26" s="340" t="s">
        <v>238</v>
      </c>
      <c r="C26" s="332">
        <f>QUANTITÀ!B18</f>
        <v>3206.7160833768021</v>
      </c>
      <c r="D26" s="332">
        <f>QUANTITÀ!C18</f>
        <v>3563.0178704186692</v>
      </c>
      <c r="E26" s="332">
        <f>QUANTITÀ!D18</f>
        <v>4097.4705509814694</v>
      </c>
      <c r="F26" s="332">
        <f>QUANTITÀ!E18</f>
        <v>3741.1687639396023</v>
      </c>
      <c r="G26" s="332">
        <f>QUANTITÀ!F18</f>
        <v>3741.1687639396023</v>
      </c>
      <c r="H26" s="332">
        <f>QUANTITÀ!G18</f>
        <v>3919.3196574605354</v>
      </c>
      <c r="I26" s="332">
        <f>QUANTITÀ!H18</f>
        <v>3919.3196574605354</v>
      </c>
      <c r="J26" s="332">
        <f>QUANTITÀ!I18</f>
        <v>2137.8107222512012</v>
      </c>
      <c r="K26" s="332">
        <f>QUANTITÀ!J18</f>
        <v>3919.3196574605354</v>
      </c>
      <c r="L26" s="332">
        <f>QUANTITÀ!K18</f>
        <v>3741.1687639396023</v>
      </c>
      <c r="M26" s="332">
        <f>QUANTITÀ!L18</f>
        <v>3741.1687639396023</v>
      </c>
      <c r="N26" s="332">
        <f>QUANTITÀ!M18</f>
        <v>2137.8107222512012</v>
      </c>
      <c r="O26" s="247">
        <f>SUM(C26:N26)</f>
        <v>41865.459977419363</v>
      </c>
      <c r="Q26" s="344">
        <f>QUANTITÀ!P18</f>
        <v>3391.3508305762525</v>
      </c>
      <c r="R26" s="335">
        <f>QUANTITÀ!Q18</f>
        <v>3768.1675895291692</v>
      </c>
      <c r="S26" s="335">
        <f>QUANTITÀ!R18</f>
        <v>4333.392727958545</v>
      </c>
      <c r="T26" s="385">
        <f>QUANTITÀ!S18</f>
        <v>3956.5759690056279</v>
      </c>
      <c r="U26" s="335"/>
    </row>
    <row r="27" spans="2:21" s="91" customFormat="1" ht="23" customHeight="1" thickBot="1" x14ac:dyDescent="0.2">
      <c r="B27" s="340" t="s">
        <v>236</v>
      </c>
      <c r="C27" s="332">
        <f>+C25-C26+C28</f>
        <v>11401.657185339744</v>
      </c>
      <c r="D27" s="332">
        <f t="shared" ref="D27" si="4">+D25-D26+D28</f>
        <v>11579.808078860682</v>
      </c>
      <c r="E27" s="332">
        <f t="shared" ref="E27" si="5">+E25-E26+E28</f>
        <v>11401.657185339758</v>
      </c>
      <c r="F27" s="332">
        <f t="shared" ref="F27" si="6">+F25-F26+F28</f>
        <v>11579.808078860688</v>
      </c>
      <c r="G27" s="332">
        <f t="shared" ref="G27" si="7">+G25-G26+G28</f>
        <v>10342.064669320542</v>
      </c>
      <c r="H27" s="332">
        <f t="shared" ref="H27" si="8">+H25-H26+H28</f>
        <v>10974.404586328088</v>
      </c>
      <c r="I27" s="332">
        <f t="shared" ref="I27" si="9">+I25-I26+I28</f>
        <v>11056.74450333564</v>
      </c>
      <c r="J27" s="332">
        <f t="shared" ref="J27" si="10">+J25-J26+J28</f>
        <v>11401.657185339758</v>
      </c>
      <c r="K27" s="332">
        <f t="shared" ref="K27" si="11">+K25-K26+K28</f>
        <v>10490.804079045454</v>
      </c>
      <c r="L27" s="332">
        <f t="shared" ref="L27" si="12">+L25-L26+L28</f>
        <v>11094.401272552659</v>
      </c>
      <c r="M27" s="332">
        <f t="shared" ref="M27" si="13">+M25-M26+M28</f>
        <v>11147.998466059864</v>
      </c>
      <c r="N27" s="332">
        <f t="shared" ref="N27" si="14">+N25-N26+N28</f>
        <v>11492.911148063982</v>
      </c>
      <c r="O27" s="247"/>
      <c r="Q27" s="344">
        <f>(R26+S26+T26)</f>
        <v>12058.136286493342</v>
      </c>
      <c r="T27" s="343"/>
    </row>
    <row r="28" spans="2:21" s="91" customFormat="1" ht="19" customHeight="1" thickBot="1" x14ac:dyDescent="0.2">
      <c r="B28" s="341" t="s">
        <v>237</v>
      </c>
      <c r="C28" s="571">
        <v>3608.3732687165466</v>
      </c>
      <c r="D28" s="571">
        <v>3741.1687639396068</v>
      </c>
      <c r="E28" s="571">
        <v>3919.3196574605463</v>
      </c>
      <c r="F28" s="571">
        <v>3919.3196574605317</v>
      </c>
      <c r="G28" s="571">
        <v>2503.4253543994564</v>
      </c>
      <c r="H28" s="571">
        <v>4551.6595744680817</v>
      </c>
      <c r="I28" s="571">
        <v>4001.6595744680872</v>
      </c>
      <c r="J28" s="571">
        <v>2482.7234042553191</v>
      </c>
      <c r="K28" s="571">
        <v>3008.4665511662315</v>
      </c>
      <c r="L28" s="571">
        <v>4344.765957446808</v>
      </c>
      <c r="M28" s="571">
        <v>3794.765957446808</v>
      </c>
      <c r="N28" s="571">
        <v>2482.7234042553191</v>
      </c>
      <c r="O28" s="346">
        <f>SUM(C28:N28)</f>
        <v>42358.371125483332</v>
      </c>
      <c r="Q28" s="380">
        <f t="shared" ref="Q28" si="15">Q27-Q25+Q26</f>
        <v>3956.575969005612</v>
      </c>
      <c r="R28" s="381"/>
      <c r="S28" s="381"/>
      <c r="T28" s="382"/>
    </row>
    <row r="29" spans="2:21" s="91" customFormat="1" ht="17" customHeight="1" x14ac:dyDescent="0.15"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</row>
    <row r="30" spans="2:21" ht="17" customHeight="1" x14ac:dyDescent="0.15">
      <c r="B30" s="400"/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sheetPr codeName="Foglio11">
    <tabColor theme="0" tint="-0.499984740745262"/>
  </sheetPr>
  <dimension ref="B1:F48"/>
  <sheetViews>
    <sheetView showGridLines="0" zoomScale="158" zoomScaleNormal="140" workbookViewId="0">
      <selection activeCell="D5" sqref="D5"/>
    </sheetView>
  </sheetViews>
  <sheetFormatPr baseColWidth="10" defaultColWidth="9.1640625" defaultRowHeight="19" x14ac:dyDescent="0.15"/>
  <cols>
    <col min="1" max="1" width="9.1640625" style="360"/>
    <col min="2" max="2" width="29" style="360" bestFit="1" customWidth="1"/>
    <col min="3" max="3" width="20.6640625" style="360" customWidth="1"/>
    <col min="4" max="4" width="13.1640625" style="360" customWidth="1"/>
    <col min="5" max="5" width="12.33203125" style="360" bestFit="1" customWidth="1"/>
    <col min="6" max="6" width="11.5" style="360" customWidth="1"/>
    <col min="7" max="7" width="2.6640625" style="360" customWidth="1"/>
    <col min="8" max="16384" width="9.1640625" style="360"/>
  </cols>
  <sheetData>
    <row r="1" spans="2:6" x14ac:dyDescent="0.15">
      <c r="B1" s="360" t="s">
        <v>277</v>
      </c>
    </row>
    <row r="2" spans="2:6" ht="20" thickBot="1" x14ac:dyDescent="0.2"/>
    <row r="3" spans="2:6" x14ac:dyDescent="0.15">
      <c r="B3" s="1082" t="s">
        <v>245</v>
      </c>
      <c r="C3" s="1084" t="s">
        <v>170</v>
      </c>
      <c r="D3" s="1085"/>
      <c r="E3" s="1085"/>
      <c r="F3" s="1086"/>
    </row>
    <row r="4" spans="2:6" x14ac:dyDescent="0.15">
      <c r="B4" s="1083"/>
      <c r="C4" s="364" t="s">
        <v>246</v>
      </c>
      <c r="D4" s="365" t="s">
        <v>247</v>
      </c>
      <c r="E4" s="365" t="s">
        <v>255</v>
      </c>
      <c r="F4" s="366" t="s">
        <v>256</v>
      </c>
    </row>
    <row r="5" spans="2:6" x14ac:dyDescent="0.15">
      <c r="B5" s="362" t="s">
        <v>242</v>
      </c>
      <c r="C5" s="359" t="s">
        <v>248</v>
      </c>
      <c r="D5" s="361">
        <v>0.75</v>
      </c>
      <c r="E5" s="371">
        <f>0.005*1000</f>
        <v>5</v>
      </c>
      <c r="F5" s="368">
        <f>E5*D5</f>
        <v>3.75</v>
      </c>
    </row>
    <row r="6" spans="2:6" x14ac:dyDescent="0.15">
      <c r="B6" s="362" t="s">
        <v>243</v>
      </c>
      <c r="C6" s="359" t="s">
        <v>248</v>
      </c>
      <c r="D6" s="361">
        <v>1</v>
      </c>
      <c r="E6" s="371">
        <f>0.078947*1000</f>
        <v>78.947000000000003</v>
      </c>
      <c r="F6" s="368">
        <f t="shared" ref="F6:F7" si="0">E6*D6</f>
        <v>78.947000000000003</v>
      </c>
    </row>
    <row r="7" spans="2:6" x14ac:dyDescent="0.15">
      <c r="B7" s="362" t="s">
        <v>244</v>
      </c>
      <c r="C7" s="359" t="s">
        <v>248</v>
      </c>
      <c r="D7" s="361">
        <v>1</v>
      </c>
      <c r="E7" s="371">
        <f>0.03*1000</f>
        <v>30</v>
      </c>
      <c r="F7" s="368">
        <f t="shared" si="0"/>
        <v>30</v>
      </c>
    </row>
    <row r="8" spans="2:6" ht="20" thickBot="1" x14ac:dyDescent="0.2">
      <c r="B8" s="363"/>
      <c r="C8" s="369"/>
      <c r="D8" s="369"/>
      <c r="E8" s="369"/>
      <c r="F8" s="370">
        <f>SUM(F5:F7)</f>
        <v>112.697</v>
      </c>
    </row>
    <row r="9" spans="2:6" ht="41" customHeight="1" thickBot="1" x14ac:dyDescent="0.2">
      <c r="C9" s="359"/>
      <c r="D9" s="359"/>
      <c r="E9" s="359"/>
      <c r="F9" s="359"/>
    </row>
    <row r="10" spans="2:6" x14ac:dyDescent="0.15">
      <c r="B10" s="1082" t="s">
        <v>249</v>
      </c>
      <c r="C10" s="1084" t="s">
        <v>170</v>
      </c>
      <c r="D10" s="1085"/>
      <c r="E10" s="1085"/>
      <c r="F10" s="1086"/>
    </row>
    <row r="11" spans="2:6" x14ac:dyDescent="0.15">
      <c r="B11" s="1083"/>
      <c r="C11" s="364" t="s">
        <v>246</v>
      </c>
      <c r="D11" s="365" t="s">
        <v>247</v>
      </c>
      <c r="E11" s="365" t="s">
        <v>255</v>
      </c>
      <c r="F11" s="366" t="s">
        <v>256</v>
      </c>
    </row>
    <row r="12" spans="2:6" x14ac:dyDescent="0.15">
      <c r="B12" s="362" t="s">
        <v>190</v>
      </c>
      <c r="C12" s="359" t="s">
        <v>248</v>
      </c>
      <c r="D12" s="361">
        <v>0.5</v>
      </c>
      <c r="E12" s="371">
        <f>0.05*1000</f>
        <v>50</v>
      </c>
      <c r="F12" s="368">
        <f>E12*D12</f>
        <v>25</v>
      </c>
    </row>
    <row r="13" spans="2:6" x14ac:dyDescent="0.15">
      <c r="B13" s="362" t="s">
        <v>250</v>
      </c>
      <c r="C13" s="359" t="s">
        <v>253</v>
      </c>
      <c r="D13" s="361">
        <v>2.2200000000000002</v>
      </c>
      <c r="E13" s="371">
        <f>0.015*1000</f>
        <v>15</v>
      </c>
      <c r="F13" s="368">
        <f t="shared" ref="F13:F16" si="1">E13*D13</f>
        <v>33.300000000000004</v>
      </c>
    </row>
    <row r="14" spans="2:6" x14ac:dyDescent="0.15">
      <c r="B14" s="362" t="s">
        <v>244</v>
      </c>
      <c r="C14" s="359" t="s">
        <v>248</v>
      </c>
      <c r="D14" s="361">
        <v>0.8</v>
      </c>
      <c r="E14" s="371">
        <f>0.03*1000</f>
        <v>30</v>
      </c>
      <c r="F14" s="368">
        <f t="shared" si="1"/>
        <v>24</v>
      </c>
    </row>
    <row r="15" spans="2:6" x14ac:dyDescent="0.15">
      <c r="B15" s="362" t="s">
        <v>251</v>
      </c>
      <c r="C15" s="359" t="s">
        <v>254</v>
      </c>
      <c r="D15" s="361">
        <v>3</v>
      </c>
      <c r="E15" s="371">
        <f>0.02*1000</f>
        <v>20</v>
      </c>
      <c r="F15" s="368">
        <f t="shared" si="1"/>
        <v>60</v>
      </c>
    </row>
    <row r="16" spans="2:6" x14ac:dyDescent="0.15">
      <c r="B16" s="362" t="s">
        <v>252</v>
      </c>
      <c r="C16" s="359" t="s">
        <v>254</v>
      </c>
      <c r="D16" s="361">
        <v>1</v>
      </c>
      <c r="E16" s="371">
        <f>0.045*1000</f>
        <v>45</v>
      </c>
      <c r="F16" s="368">
        <f t="shared" si="1"/>
        <v>45</v>
      </c>
    </row>
    <row r="17" spans="2:6" ht="20" thickBot="1" x14ac:dyDescent="0.2">
      <c r="B17" s="363"/>
      <c r="C17" s="369"/>
      <c r="D17" s="369"/>
      <c r="E17" s="369"/>
      <c r="F17" s="370">
        <f>SUM(F12:F16)</f>
        <v>187.3</v>
      </c>
    </row>
    <row r="18" spans="2:6" x14ac:dyDescent="0.15">
      <c r="F18" s="367"/>
    </row>
    <row r="19" spans="2:6" x14ac:dyDescent="0.15">
      <c r="F19" s="367"/>
    </row>
    <row r="20" spans="2:6" x14ac:dyDescent="0.15">
      <c r="F20" s="367"/>
    </row>
    <row r="21" spans="2:6" x14ac:dyDescent="0.15">
      <c r="B21" s="360" t="s">
        <v>276</v>
      </c>
      <c r="F21" s="367"/>
    </row>
    <row r="22" spans="2:6" ht="20" thickBot="1" x14ac:dyDescent="0.2">
      <c r="F22" s="367"/>
    </row>
    <row r="23" spans="2:6" x14ac:dyDescent="0.15">
      <c r="B23" s="373"/>
      <c r="C23" s="1080" t="s">
        <v>170</v>
      </c>
      <c r="D23" s="1081"/>
      <c r="F23" s="367"/>
    </row>
    <row r="24" spans="2:6" ht="38" customHeight="1" x14ac:dyDescent="0.15">
      <c r="B24" s="540"/>
      <c r="C24" s="372" t="s">
        <v>258</v>
      </c>
      <c r="D24" s="366" t="s">
        <v>259</v>
      </c>
      <c r="F24" s="367"/>
    </row>
    <row r="25" spans="2:6" x14ac:dyDescent="0.15">
      <c r="B25" s="362" t="s">
        <v>242</v>
      </c>
      <c r="C25" s="541">
        <v>30</v>
      </c>
      <c r="D25" s="397">
        <v>45000</v>
      </c>
      <c r="F25" s="367"/>
    </row>
    <row r="26" spans="2:6" x14ac:dyDescent="0.15">
      <c r="B26" s="362" t="s">
        <v>243</v>
      </c>
      <c r="C26" s="541">
        <v>15</v>
      </c>
      <c r="D26" s="397">
        <v>60000</v>
      </c>
      <c r="F26" s="367"/>
    </row>
    <row r="27" spans="2:6" x14ac:dyDescent="0.15">
      <c r="B27" s="362" t="s">
        <v>244</v>
      </c>
      <c r="C27" s="541">
        <v>15</v>
      </c>
      <c r="D27" s="397">
        <v>62800</v>
      </c>
      <c r="F27" s="367"/>
    </row>
    <row r="28" spans="2:6" x14ac:dyDescent="0.15">
      <c r="B28" s="362" t="s">
        <v>190</v>
      </c>
      <c r="C28" s="541">
        <v>30</v>
      </c>
      <c r="D28" s="397">
        <v>3500</v>
      </c>
      <c r="F28" s="367"/>
    </row>
    <row r="29" spans="2:6" x14ac:dyDescent="0.15">
      <c r="B29" s="362" t="s">
        <v>250</v>
      </c>
      <c r="C29" s="541">
        <v>30</v>
      </c>
      <c r="D29" s="397">
        <v>7777.78</v>
      </c>
      <c r="F29" s="367"/>
    </row>
    <row r="30" spans="2:6" x14ac:dyDescent="0.15">
      <c r="B30" s="362" t="s">
        <v>251</v>
      </c>
      <c r="C30" s="541">
        <v>30</v>
      </c>
      <c r="D30" s="397">
        <v>21000</v>
      </c>
      <c r="F30" s="367"/>
    </row>
    <row r="31" spans="2:6" ht="20" thickBot="1" x14ac:dyDescent="0.2">
      <c r="B31" s="363" t="s">
        <v>252</v>
      </c>
      <c r="C31" s="542">
        <v>30</v>
      </c>
      <c r="D31" s="398">
        <v>3500</v>
      </c>
      <c r="F31" s="367"/>
    </row>
    <row r="32" spans="2:6" x14ac:dyDescent="0.15">
      <c r="F32" s="367"/>
    </row>
    <row r="33" spans="2:6" x14ac:dyDescent="0.15">
      <c r="F33" s="367"/>
    </row>
    <row r="34" spans="2:6" x14ac:dyDescent="0.15">
      <c r="F34" s="367"/>
    </row>
    <row r="35" spans="2:6" x14ac:dyDescent="0.15">
      <c r="B35" s="360" t="s">
        <v>278</v>
      </c>
      <c r="F35" s="367"/>
    </row>
    <row r="36" spans="2:6" ht="20" thickBot="1" x14ac:dyDescent="0.2">
      <c r="F36" s="367"/>
    </row>
    <row r="37" spans="2:6" x14ac:dyDescent="0.15">
      <c r="B37" s="537"/>
      <c r="C37" s="375" t="s">
        <v>196</v>
      </c>
      <c r="E37" s="367"/>
    </row>
    <row r="38" spans="2:6" x14ac:dyDescent="0.15">
      <c r="B38" s="362" t="s">
        <v>242</v>
      </c>
      <c r="C38" s="538">
        <v>49000</v>
      </c>
      <c r="E38" s="367"/>
    </row>
    <row r="39" spans="2:6" x14ac:dyDescent="0.15">
      <c r="B39" s="362" t="s">
        <v>243</v>
      </c>
      <c r="C39" s="538">
        <v>60000</v>
      </c>
      <c r="E39" s="367"/>
    </row>
    <row r="40" spans="2:6" x14ac:dyDescent="0.15">
      <c r="B40" s="362" t="s">
        <v>244</v>
      </c>
      <c r="C40" s="538">
        <v>62800</v>
      </c>
      <c r="E40" s="367"/>
    </row>
    <row r="41" spans="2:6" x14ac:dyDescent="0.15">
      <c r="B41" s="362" t="s">
        <v>190</v>
      </c>
      <c r="C41" s="538">
        <v>3500</v>
      </c>
      <c r="E41" s="367"/>
    </row>
    <row r="42" spans="2:6" x14ac:dyDescent="0.15">
      <c r="B42" s="362" t="s">
        <v>250</v>
      </c>
      <c r="C42" s="538">
        <v>7000</v>
      </c>
      <c r="E42" s="367"/>
    </row>
    <row r="43" spans="2:6" x14ac:dyDescent="0.15">
      <c r="B43" s="362" t="s">
        <v>251</v>
      </c>
      <c r="C43" s="538">
        <v>21000</v>
      </c>
      <c r="E43" s="367"/>
    </row>
    <row r="44" spans="2:6" ht="20" thickBot="1" x14ac:dyDescent="0.2">
      <c r="B44" s="363" t="s">
        <v>252</v>
      </c>
      <c r="C44" s="539">
        <v>3500</v>
      </c>
      <c r="E44" s="367"/>
    </row>
    <row r="45" spans="2:6" x14ac:dyDescent="0.15">
      <c r="F45" s="367"/>
    </row>
    <row r="46" spans="2:6" x14ac:dyDescent="0.15">
      <c r="F46" s="367"/>
    </row>
    <row r="47" spans="2:6" x14ac:dyDescent="0.15">
      <c r="F47" s="367"/>
    </row>
    <row r="48" spans="2:6" x14ac:dyDescent="0.15">
      <c r="F48" s="367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B1:I48"/>
  <sheetViews>
    <sheetView showGridLines="0" topLeftCell="A23" zoomScale="140" zoomScaleNormal="140" workbookViewId="0">
      <selection activeCell="D34" sqref="D34"/>
    </sheetView>
  </sheetViews>
  <sheetFormatPr baseColWidth="10" defaultColWidth="9.1640625" defaultRowHeight="19" x14ac:dyDescent="0.15"/>
  <cols>
    <col min="1" max="1" width="9.1640625" style="360"/>
    <col min="2" max="2" width="29" style="360" bestFit="1" customWidth="1"/>
    <col min="3" max="3" width="20.6640625" style="360" customWidth="1"/>
    <col min="4" max="4" width="13.1640625" style="360" customWidth="1"/>
    <col min="5" max="5" width="12.33203125" style="360" bestFit="1" customWidth="1"/>
    <col min="6" max="6" width="11.5" style="360" customWidth="1"/>
    <col min="7" max="7" width="2.6640625" style="360" customWidth="1"/>
    <col min="8" max="8" width="9.1640625" style="360" customWidth="1"/>
    <col min="9" max="9" width="11.83203125" style="360" customWidth="1"/>
    <col min="10" max="10" width="2.6640625" style="360" customWidth="1"/>
    <col min="11" max="16384" width="9.1640625" style="360"/>
  </cols>
  <sheetData>
    <row r="1" spans="2:9" x14ac:dyDescent="0.15">
      <c r="B1" s="360" t="s">
        <v>268</v>
      </c>
    </row>
    <row r="2" spans="2:9" ht="20" thickBot="1" x14ac:dyDescent="0.2"/>
    <row r="3" spans="2:9" x14ac:dyDescent="0.15">
      <c r="B3" s="1082" t="s">
        <v>245</v>
      </c>
      <c r="C3" s="1087" t="s">
        <v>196</v>
      </c>
      <c r="D3" s="1088"/>
      <c r="E3" s="1088"/>
      <c r="F3" s="1089"/>
    </row>
    <row r="4" spans="2:9" x14ac:dyDescent="0.15">
      <c r="B4" s="1083"/>
      <c r="C4" s="364" t="s">
        <v>246</v>
      </c>
      <c r="D4" s="365" t="s">
        <v>247</v>
      </c>
      <c r="E4" s="365" t="s">
        <v>255</v>
      </c>
      <c r="F4" s="366" t="s">
        <v>256</v>
      </c>
      <c r="H4" s="359" t="s">
        <v>265</v>
      </c>
      <c r="I4" s="359" t="s">
        <v>266</v>
      </c>
    </row>
    <row r="5" spans="2:9" x14ac:dyDescent="0.15">
      <c r="B5" s="362" t="s">
        <v>242</v>
      </c>
      <c r="C5" s="359" t="s">
        <v>248</v>
      </c>
      <c r="D5" s="361">
        <v>0.75</v>
      </c>
      <c r="E5" s="371">
        <f>0.005*1000</f>
        <v>5</v>
      </c>
      <c r="F5" s="368">
        <f>E5*D5</f>
        <v>3.75</v>
      </c>
    </row>
    <row r="6" spans="2:9" x14ac:dyDescent="0.15">
      <c r="B6" s="362" t="s">
        <v>243</v>
      </c>
      <c r="C6" s="359" t="s">
        <v>248</v>
      </c>
      <c r="D6" s="361">
        <v>1</v>
      </c>
      <c r="E6" s="393">
        <f>'All. 1-2-3'!E6*(1+'Tab. 6'!I6)</f>
        <v>74.999650000000003</v>
      </c>
      <c r="F6" s="368">
        <f t="shared" ref="F6:F7" si="0">E6*D6</f>
        <v>74.999650000000003</v>
      </c>
      <c r="I6" s="392">
        <v>-0.05</v>
      </c>
    </row>
    <row r="7" spans="2:9" x14ac:dyDescent="0.15">
      <c r="B7" s="362" t="s">
        <v>244</v>
      </c>
      <c r="C7" s="359" t="s">
        <v>248</v>
      </c>
      <c r="D7" s="361">
        <v>1</v>
      </c>
      <c r="E7" s="371">
        <f>0.03*1000</f>
        <v>30</v>
      </c>
      <c r="F7" s="368">
        <f t="shared" si="0"/>
        <v>30</v>
      </c>
    </row>
    <row r="8" spans="2:9" ht="20" thickBot="1" x14ac:dyDescent="0.2">
      <c r="B8" s="363"/>
      <c r="C8" s="369"/>
      <c r="D8" s="369"/>
      <c r="E8" s="369"/>
      <c r="F8" s="370">
        <f>SUM(F5:F7)</f>
        <v>108.74965</v>
      </c>
    </row>
    <row r="9" spans="2:9" ht="41" customHeight="1" thickBot="1" x14ac:dyDescent="0.2">
      <c r="C9" s="359"/>
      <c r="D9" s="359"/>
      <c r="E9" s="359"/>
      <c r="F9" s="359"/>
    </row>
    <row r="10" spans="2:9" x14ac:dyDescent="0.15">
      <c r="B10" s="1082" t="s">
        <v>249</v>
      </c>
      <c r="C10" s="1087" t="s">
        <v>196</v>
      </c>
      <c r="D10" s="1088"/>
      <c r="E10" s="1088"/>
      <c r="F10" s="1089"/>
    </row>
    <row r="11" spans="2:9" x14ac:dyDescent="0.15">
      <c r="B11" s="1083"/>
      <c r="C11" s="364" t="s">
        <v>246</v>
      </c>
      <c r="D11" s="365" t="s">
        <v>247</v>
      </c>
      <c r="E11" s="365" t="s">
        <v>255</v>
      </c>
      <c r="F11" s="366" t="s">
        <v>256</v>
      </c>
    </row>
    <row r="12" spans="2:9" x14ac:dyDescent="0.15">
      <c r="B12" s="362" t="s">
        <v>190</v>
      </c>
      <c r="C12" s="359" t="s">
        <v>248</v>
      </c>
      <c r="D12" s="361">
        <v>0.5</v>
      </c>
      <c r="E12" s="371">
        <f>0.05*1000</f>
        <v>50</v>
      </c>
      <c r="F12" s="368">
        <f>E12*D12</f>
        <v>25</v>
      </c>
    </row>
    <row r="13" spans="2:9" x14ac:dyDescent="0.15">
      <c r="B13" s="362" t="s">
        <v>250</v>
      </c>
      <c r="C13" s="359" t="s">
        <v>253</v>
      </c>
      <c r="D13" s="395">
        <f>ROUND('All. 1-2-3'!D13*(1+'Tab. 6'!H13),0)</f>
        <v>2</v>
      </c>
      <c r="E13" s="371">
        <f>0.015*1000</f>
        <v>15</v>
      </c>
      <c r="F13" s="368">
        <f t="shared" ref="F13:F16" si="1">E13*D13</f>
        <v>30</v>
      </c>
      <c r="H13" s="392">
        <v>-0.1</v>
      </c>
    </row>
    <row r="14" spans="2:9" x14ac:dyDescent="0.15">
      <c r="B14" s="362" t="s">
        <v>244</v>
      </c>
      <c r="C14" s="359" t="s">
        <v>248</v>
      </c>
      <c r="D14" s="361">
        <v>0.8</v>
      </c>
      <c r="E14" s="371">
        <f>0.03*1000</f>
        <v>30</v>
      </c>
      <c r="F14" s="368">
        <f t="shared" si="1"/>
        <v>24</v>
      </c>
    </row>
    <row r="15" spans="2:9" x14ac:dyDescent="0.15">
      <c r="B15" s="362" t="s">
        <v>251</v>
      </c>
      <c r="C15" s="359" t="s">
        <v>254</v>
      </c>
      <c r="D15" s="361">
        <v>3</v>
      </c>
      <c r="E15" s="371">
        <f>0.02*1000</f>
        <v>20</v>
      </c>
      <c r="F15" s="368">
        <f t="shared" si="1"/>
        <v>60</v>
      </c>
    </row>
    <row r="16" spans="2:9" x14ac:dyDescent="0.15">
      <c r="B16" s="362" t="s">
        <v>252</v>
      </c>
      <c r="C16" s="359" t="s">
        <v>254</v>
      </c>
      <c r="D16" s="361">
        <v>1</v>
      </c>
      <c r="E16" s="393">
        <f>'All. 1-2-3'!E16+'Tab. 6'!I16</f>
        <v>50</v>
      </c>
      <c r="F16" s="368">
        <f t="shared" si="1"/>
        <v>50</v>
      </c>
      <c r="I16" s="394">
        <v>5</v>
      </c>
    </row>
    <row r="17" spans="2:8" ht="20" thickBot="1" x14ac:dyDescent="0.2">
      <c r="B17" s="363"/>
      <c r="C17" s="369"/>
      <c r="D17" s="369"/>
      <c r="E17" s="369"/>
      <c r="F17" s="370">
        <f>SUM(F12:F16)</f>
        <v>189</v>
      </c>
    </row>
    <row r="18" spans="2:8" x14ac:dyDescent="0.15">
      <c r="F18" s="367"/>
    </row>
    <row r="19" spans="2:8" x14ac:dyDescent="0.15">
      <c r="F19" s="367"/>
    </row>
    <row r="20" spans="2:8" x14ac:dyDescent="0.15">
      <c r="F20" s="367"/>
    </row>
    <row r="21" spans="2:8" x14ac:dyDescent="0.15">
      <c r="B21" s="360" t="s">
        <v>257</v>
      </c>
      <c r="F21" s="367"/>
    </row>
    <row r="22" spans="2:8" ht="20" thickBot="1" x14ac:dyDescent="0.2">
      <c r="F22" s="367"/>
    </row>
    <row r="23" spans="2:8" x14ac:dyDescent="0.15">
      <c r="B23" s="373"/>
      <c r="C23" s="1087" t="s">
        <v>196</v>
      </c>
      <c r="D23" s="1089"/>
      <c r="F23" s="367"/>
    </row>
    <row r="24" spans="2:8" ht="38" customHeight="1" x14ac:dyDescent="0.15">
      <c r="B24" s="374"/>
      <c r="C24" s="372" t="s">
        <v>258</v>
      </c>
      <c r="D24" s="366" t="s">
        <v>259</v>
      </c>
      <c r="F24" s="367"/>
    </row>
    <row r="25" spans="2:8" x14ac:dyDescent="0.15">
      <c r="B25" s="362" t="s">
        <v>242</v>
      </c>
      <c r="C25" s="359">
        <v>30</v>
      </c>
      <c r="D25" s="390">
        <v>45000</v>
      </c>
      <c r="F25" s="367"/>
    </row>
    <row r="26" spans="2:8" x14ac:dyDescent="0.15">
      <c r="B26" s="362" t="s">
        <v>243</v>
      </c>
      <c r="C26" s="359">
        <v>15</v>
      </c>
      <c r="D26" s="390">
        <v>60000</v>
      </c>
      <c r="F26" s="367"/>
    </row>
    <row r="27" spans="2:8" x14ac:dyDescent="0.15">
      <c r="B27" s="362" t="s">
        <v>244</v>
      </c>
      <c r="C27" s="359">
        <v>15</v>
      </c>
      <c r="D27" s="390">
        <v>62800</v>
      </c>
      <c r="F27" s="367"/>
    </row>
    <row r="28" spans="2:8" x14ac:dyDescent="0.15">
      <c r="B28" s="362" t="s">
        <v>190</v>
      </c>
      <c r="C28" s="359">
        <v>30</v>
      </c>
      <c r="D28" s="390">
        <v>3500</v>
      </c>
      <c r="F28" s="367"/>
    </row>
    <row r="29" spans="2:8" x14ac:dyDescent="0.15">
      <c r="B29" s="362" t="s">
        <v>250</v>
      </c>
      <c r="C29" s="359">
        <v>30</v>
      </c>
      <c r="D29" s="399">
        <f>'All. 1-2-3'!D29*(1+'Tab. 6'!H29)</f>
        <v>7000.0019999999995</v>
      </c>
      <c r="F29" s="367"/>
      <c r="H29" s="392">
        <v>-0.1</v>
      </c>
    </row>
    <row r="30" spans="2:8" x14ac:dyDescent="0.15">
      <c r="B30" s="362" t="s">
        <v>251</v>
      </c>
      <c r="C30" s="359">
        <v>30</v>
      </c>
      <c r="D30" s="390">
        <v>21000</v>
      </c>
      <c r="F30" s="367"/>
    </row>
    <row r="31" spans="2:8" ht="20" thickBot="1" x14ac:dyDescent="0.2">
      <c r="B31" s="363" t="s">
        <v>252</v>
      </c>
      <c r="C31" s="369">
        <v>30</v>
      </c>
      <c r="D31" s="391">
        <v>3500</v>
      </c>
      <c r="F31" s="367"/>
    </row>
    <row r="32" spans="2:8" x14ac:dyDescent="0.15">
      <c r="F32" s="367"/>
    </row>
    <row r="33" spans="2:6" x14ac:dyDescent="0.15">
      <c r="F33" s="367"/>
    </row>
    <row r="34" spans="2:6" x14ac:dyDescent="0.15">
      <c r="F34" s="367"/>
    </row>
    <row r="35" spans="2:6" x14ac:dyDescent="0.15">
      <c r="B35" s="360" t="s">
        <v>260</v>
      </c>
      <c r="F35" s="367"/>
    </row>
    <row r="36" spans="2:6" ht="20" thickBot="1" x14ac:dyDescent="0.2">
      <c r="F36" s="367"/>
    </row>
    <row r="37" spans="2:6" x14ac:dyDescent="0.15">
      <c r="B37" s="373"/>
      <c r="C37" s="396" t="s">
        <v>196</v>
      </c>
      <c r="E37" s="367"/>
    </row>
    <row r="38" spans="2:6" x14ac:dyDescent="0.15">
      <c r="B38" s="362" t="s">
        <v>242</v>
      </c>
      <c r="C38" s="390">
        <v>49000</v>
      </c>
      <c r="E38" s="367"/>
    </row>
    <row r="39" spans="2:6" x14ac:dyDescent="0.15">
      <c r="B39" s="362" t="s">
        <v>243</v>
      </c>
      <c r="C39" s="390">
        <v>60000</v>
      </c>
      <c r="E39" s="367"/>
    </row>
    <row r="40" spans="2:6" x14ac:dyDescent="0.15">
      <c r="B40" s="362" t="s">
        <v>244</v>
      </c>
      <c r="C40" s="390">
        <v>62800</v>
      </c>
      <c r="E40" s="367"/>
    </row>
    <row r="41" spans="2:6" x14ac:dyDescent="0.15">
      <c r="B41" s="362" t="s">
        <v>190</v>
      </c>
      <c r="C41" s="390">
        <v>3500</v>
      </c>
      <c r="E41" s="367"/>
    </row>
    <row r="42" spans="2:6" x14ac:dyDescent="0.15">
      <c r="B42" s="362" t="s">
        <v>250</v>
      </c>
      <c r="C42" s="390">
        <v>7000</v>
      </c>
      <c r="E42" s="367"/>
    </row>
    <row r="43" spans="2:6" x14ac:dyDescent="0.15">
      <c r="B43" s="362" t="s">
        <v>251</v>
      </c>
      <c r="C43" s="390">
        <v>21000</v>
      </c>
      <c r="E43" s="367"/>
    </row>
    <row r="44" spans="2:6" ht="20" thickBot="1" x14ac:dyDescent="0.2">
      <c r="B44" s="363" t="s">
        <v>252</v>
      </c>
      <c r="C44" s="391">
        <v>3500</v>
      </c>
      <c r="E44" s="367"/>
    </row>
    <row r="45" spans="2:6" x14ac:dyDescent="0.15">
      <c r="F45" s="367"/>
    </row>
    <row r="46" spans="2:6" x14ac:dyDescent="0.15">
      <c r="F46" s="367"/>
    </row>
    <row r="47" spans="2:6" x14ac:dyDescent="0.15">
      <c r="F47" s="367"/>
    </row>
    <row r="48" spans="2:6" x14ac:dyDescent="0.15">
      <c r="F48" s="367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0EB-2C20-7349-B059-1C993E213A2F}">
  <sheetPr codeName="Foglio13">
    <pageSetUpPr fitToPage="1"/>
  </sheetPr>
  <dimension ref="B2:Q69"/>
  <sheetViews>
    <sheetView showGridLines="0" zoomScale="170" zoomScaleNormal="170" workbookViewId="0">
      <selection activeCell="C15" sqref="C15"/>
    </sheetView>
  </sheetViews>
  <sheetFormatPr baseColWidth="10" defaultRowHeight="13" x14ac:dyDescent="0.15"/>
  <cols>
    <col min="2" max="2" width="29" bestFit="1" customWidth="1"/>
    <col min="16" max="16" width="2.1640625" customWidth="1"/>
  </cols>
  <sheetData>
    <row r="2" spans="2:17" ht="16" x14ac:dyDescent="0.15">
      <c r="B2" s="91" t="s">
        <v>267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2:17" x14ac:dyDescent="0.15"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2:17" ht="14" thickBot="1" x14ac:dyDescent="0.2"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2:17" ht="16" x14ac:dyDescent="0.15">
      <c r="B5" s="330"/>
      <c r="C5" s="1076" t="s">
        <v>196</v>
      </c>
      <c r="D5" s="1034"/>
      <c r="E5" s="1034"/>
      <c r="F5" s="1034"/>
      <c r="G5" s="1034"/>
      <c r="H5" s="1034"/>
      <c r="I5" s="1034"/>
      <c r="J5" s="1034"/>
      <c r="K5" s="1034"/>
      <c r="L5" s="1034"/>
      <c r="M5" s="1034"/>
      <c r="N5" s="1034"/>
      <c r="O5" s="1035"/>
      <c r="Q5" s="386" t="s">
        <v>240</v>
      </c>
    </row>
    <row r="6" spans="2:17" ht="16" x14ac:dyDescent="0.15">
      <c r="B6" s="339"/>
      <c r="C6" s="337" t="s">
        <v>211</v>
      </c>
      <c r="D6" s="337" t="s">
        <v>212</v>
      </c>
      <c r="E6" s="337" t="s">
        <v>213</v>
      </c>
      <c r="F6" s="337" t="s">
        <v>214</v>
      </c>
      <c r="G6" s="337" t="s">
        <v>215</v>
      </c>
      <c r="H6" s="337" t="s">
        <v>216</v>
      </c>
      <c r="I6" s="337" t="s">
        <v>217</v>
      </c>
      <c r="J6" s="337" t="s">
        <v>218</v>
      </c>
      <c r="K6" s="337" t="s">
        <v>219</v>
      </c>
      <c r="L6" s="337" t="s">
        <v>220</v>
      </c>
      <c r="M6" s="337" t="s">
        <v>221</v>
      </c>
      <c r="N6" s="337" t="s">
        <v>222</v>
      </c>
      <c r="O6" s="342" t="s">
        <v>179</v>
      </c>
      <c r="Q6" s="387" t="s">
        <v>211</v>
      </c>
    </row>
    <row r="7" spans="2:17" ht="16" x14ac:dyDescent="0.15">
      <c r="B7" s="376" t="s">
        <v>242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338"/>
      <c r="Q7" s="238"/>
    </row>
    <row r="8" spans="2:17" ht="16" x14ac:dyDescent="0.15">
      <c r="B8" s="378" t="s">
        <v>232</v>
      </c>
      <c r="C8" s="377">
        <f>VLOOKUP(B7,'Tab. 6'!$B$38:$C$44,2,0)</f>
        <v>49000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338"/>
      <c r="Q8" s="238"/>
    </row>
    <row r="9" spans="2:17" ht="16" x14ac:dyDescent="0.15">
      <c r="B9" s="378" t="s">
        <v>261</v>
      </c>
      <c r="C9" s="377">
        <f>VLOOKUP(B7,'Tab. 6'!$B$25:$D$31,2,0)</f>
        <v>30</v>
      </c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338"/>
      <c r="Q9" s="238"/>
    </row>
    <row r="10" spans="2:17" ht="16" x14ac:dyDescent="0.15">
      <c r="B10" s="378" t="s">
        <v>262</v>
      </c>
      <c r="C10" s="377">
        <f>VLOOKUP(B7,'Tab. 6'!$B$25:$D$31,3,0)</f>
        <v>45000</v>
      </c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338"/>
      <c r="Q10" s="238"/>
    </row>
    <row r="11" spans="2:17" ht="16" x14ac:dyDescent="0.15">
      <c r="B11" s="230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338"/>
      <c r="Q11" s="238"/>
    </row>
    <row r="12" spans="2:17" ht="16" x14ac:dyDescent="0.15">
      <c r="B12" s="230" t="s">
        <v>231</v>
      </c>
      <c r="C12" s="347">
        <f>+C8</f>
        <v>49000</v>
      </c>
      <c r="D12" s="332">
        <f>+C14</f>
        <v>45086.618370338569</v>
      </c>
      <c r="E12" s="332">
        <f t="shared" ref="E12:N12" si="0">+D14</f>
        <v>50555.394190116698</v>
      </c>
      <c r="F12" s="332">
        <f t="shared" si="0"/>
        <v>46449.49787234042</v>
      </c>
      <c r="G12" s="332">
        <f t="shared" si="0"/>
        <v>46449.497872340427</v>
      </c>
      <c r="H12" s="332">
        <f t="shared" si="0"/>
        <v>48661.37872340421</v>
      </c>
      <c r="I12" s="332">
        <f t="shared" si="0"/>
        <v>45000</v>
      </c>
      <c r="J12" s="332">
        <f t="shared" si="0"/>
        <v>45000</v>
      </c>
      <c r="K12" s="332">
        <f t="shared" si="0"/>
        <v>45751.950579015109</v>
      </c>
      <c r="L12" s="332">
        <f t="shared" si="0"/>
        <v>45000</v>
      </c>
      <c r="M12" s="332">
        <f t="shared" si="0"/>
        <v>45000</v>
      </c>
      <c r="N12" s="332">
        <f t="shared" si="0"/>
        <v>45000</v>
      </c>
      <c r="O12" s="247"/>
      <c r="Q12" s="388"/>
    </row>
    <row r="13" spans="2:17" ht="16" x14ac:dyDescent="0.15">
      <c r="B13" s="340" t="s">
        <v>263</v>
      </c>
      <c r="C13" s="332">
        <f>IFERROR(VLOOKUP($B7,'Tab. 6'!$B$5:$D$7,3,0),0)*'Tab 5'!C$15+IFERROR(VLOOKUP($B7,'Tab. 6'!$B$12:$D$16,3,0),0)*'Tab 5'!C$28</f>
        <v>39813.855319148934</v>
      </c>
      <c r="D13" s="332">
        <f>IFERROR(VLOOKUP($B7,'Tab. 6'!$B$5:$D$7,3,0),0)*'Tab 5'!D$15+IFERROR(VLOOKUP($B7,'Tab. 6'!$B$12:$D$16,3,0),0)*'Tab 5'!D$28</f>
        <v>45086.618370338569</v>
      </c>
      <c r="E13" s="332">
        <f>IFERROR(VLOOKUP($B7,'Tab. 6'!$B$5:$D$7,3,0),0)*'Tab 5'!E$15+IFERROR(VLOOKUP($B7,'Tab. 6'!$B$12:$D$16,3,0),0)*'Tab 5'!E$28</f>
        <v>50555.394190116698</v>
      </c>
      <c r="F13" s="332">
        <f>IFERROR(VLOOKUP($B7,'Tab. 6'!$B$5:$D$7,3,0),0)*'Tab 5'!F$15+IFERROR(VLOOKUP($B7,'Tab. 6'!$B$12:$D$16,3,0),0)*'Tab 5'!F$28</f>
        <v>46449.49787234042</v>
      </c>
      <c r="G13" s="332">
        <f>IFERROR(VLOOKUP($B7,'Tab. 6'!$B$5:$D$7,3,0),0)*'Tab 5'!G$15+IFERROR(VLOOKUP($B7,'Tab. 6'!$B$12:$D$16,3,0),0)*'Tab 5'!G$28</f>
        <v>46449.497872340427</v>
      </c>
      <c r="H13" s="332">
        <f>IFERROR(VLOOKUP($B7,'Tab. 6'!$B$5:$D$7,3,0),0)*'Tab 5'!H$15+IFERROR(VLOOKUP($B7,'Tab. 6'!$B$12:$D$16,3,0),0)*'Tab 5'!H$28</f>
        <v>48661.37872340421</v>
      </c>
      <c r="I13" s="332">
        <f>IFERROR(VLOOKUP($B7,'Tab. 6'!$B$5:$D$7,3,0),0)*'Tab 5'!I$15+IFERROR(VLOOKUP($B7,'Tab. 6'!$B$12:$D$16,3,0),0)*'Tab 5'!I$28</f>
        <v>42781.378723404276</v>
      </c>
      <c r="J13" s="332">
        <f>IFERROR(VLOOKUP($B7,'Tab. 6'!$B$5:$D$7,3,0),0)*'Tab 5'!J$15+IFERROR(VLOOKUP($B7,'Tab. 6'!$B$12:$D$16,3,0),0)*'Tab 5'!J$28</f>
        <v>26542.570212765953</v>
      </c>
      <c r="K13" s="332">
        <f>IFERROR(VLOOKUP($B7,'Tab. 6'!$B$5:$D$7,3,0),0)*'Tab 5'!K$15+IFERROR(VLOOKUP($B7,'Tab. 6'!$B$12:$D$16,3,0),0)*'Tab 5'!K$28</f>
        <v>45751.950579015109</v>
      </c>
      <c r="L13" s="332">
        <f>IFERROR(VLOOKUP($B7,'Tab. 6'!$B$5:$D$7,3,0),0)*'Tab 5'!L$15+IFERROR(VLOOKUP($B7,'Tab. 6'!$B$12:$D$16,3,0),0)*'Tab 5'!L$28</f>
        <v>40357.380508376809</v>
      </c>
      <c r="M13" s="332">
        <f>IFERROR(VLOOKUP($B7,'Tab. 6'!$B$5:$D$7,3,0),0)*'Tab 5'!M$15+IFERROR(VLOOKUP($B7,'Tab. 6'!$B$12:$D$16,3,0),0)*'Tab 5'!M$28</f>
        <v>40569.497872340427</v>
      </c>
      <c r="N13" s="332">
        <f>IFERROR(VLOOKUP($B7,'Tab. 6'!$B$5:$D$7,3,0),0)*'Tab 5'!N$15+IFERROR(VLOOKUP($B7,'Tab. 6'!$B$12:$D$16,3,0),0)*'Tab 5'!N$28</f>
        <v>26542.570212765953</v>
      </c>
      <c r="O13" s="247">
        <f>SUM(C13:N13)</f>
        <v>499561.59045635775</v>
      </c>
      <c r="Q13" s="388">
        <f>IFERROR(VLOOKUP($B7,'Tab. 6'!$B$5:$D$7,3,0),0)*'Tab 5'!Q$15+IFERROR(VLOOKUP($B7,'Tab. 6'!$B$12:$D$16,3,0),0)*'Tab 5'!Q$28</f>
        <v>49223.314925869949</v>
      </c>
    </row>
    <row r="14" spans="2:17" ht="17" thickBot="1" x14ac:dyDescent="0.2">
      <c r="B14" s="340" t="s">
        <v>236</v>
      </c>
      <c r="C14" s="332">
        <f>+IF(D13&gt;=$C10,D13,$C10)</f>
        <v>45086.618370338569</v>
      </c>
      <c r="D14" s="332">
        <f t="shared" ref="D14:G14" si="1">+IF(E13&gt;=$C10,E13,$C10)</f>
        <v>50555.394190116698</v>
      </c>
      <c r="E14" s="332">
        <f t="shared" si="1"/>
        <v>46449.49787234042</v>
      </c>
      <c r="F14" s="332">
        <f t="shared" si="1"/>
        <v>46449.497872340427</v>
      </c>
      <c r="G14" s="332">
        <f t="shared" si="1"/>
        <v>48661.37872340421</v>
      </c>
      <c r="H14" s="332">
        <f>+IF(I13&gt;=$C10,I13,$C10)</f>
        <v>45000</v>
      </c>
      <c r="I14" s="332">
        <f>+IF(J13&gt;=$C10,J13,$C10)</f>
        <v>45000</v>
      </c>
      <c r="J14" s="332">
        <f>+IF(K13&gt;=$C10,K13,$C10)</f>
        <v>45751.950579015109</v>
      </c>
      <c r="K14" s="332">
        <f t="shared" ref="K14" si="2">+IF(L13&gt;=$C10,L13,$C10)</f>
        <v>45000</v>
      </c>
      <c r="L14" s="332">
        <f>+IF(M13&gt;=$C10,M13,$C10)</f>
        <v>45000</v>
      </c>
      <c r="M14" s="332">
        <f t="shared" ref="M14" si="3">+IF(N13&gt;=$C10,N13,$C10)</f>
        <v>45000</v>
      </c>
      <c r="N14" s="332">
        <f>+IF(Q13&gt;=$C10,Q13,$C10)</f>
        <v>49223.314925869949</v>
      </c>
      <c r="O14" s="247"/>
      <c r="Q14" s="389"/>
    </row>
    <row r="15" spans="2:17" ht="17" thickBot="1" x14ac:dyDescent="0.2">
      <c r="B15" s="341" t="s">
        <v>264</v>
      </c>
      <c r="C15" s="336">
        <f>(C14-C12+C13)</f>
        <v>35900.473689487502</v>
      </c>
      <c r="D15" s="336">
        <f t="shared" ref="D15:N15" si="4">(D14-D12+D13)</f>
        <v>50555.394190116698</v>
      </c>
      <c r="E15" s="336">
        <f t="shared" si="4"/>
        <v>46449.49787234042</v>
      </c>
      <c r="F15" s="336">
        <f t="shared" si="4"/>
        <v>46449.497872340427</v>
      </c>
      <c r="G15" s="336">
        <f t="shared" si="4"/>
        <v>48661.37872340421</v>
      </c>
      <c r="H15" s="336">
        <f>(H14-H12+H13)</f>
        <v>45000</v>
      </c>
      <c r="I15" s="336">
        <f t="shared" si="4"/>
        <v>42781.378723404276</v>
      </c>
      <c r="J15" s="336">
        <f t="shared" si="4"/>
        <v>27294.520791781062</v>
      </c>
      <c r="K15" s="336">
        <f t="shared" si="4"/>
        <v>45000</v>
      </c>
      <c r="L15" s="336">
        <f t="shared" si="4"/>
        <v>40357.380508376809</v>
      </c>
      <c r="M15" s="336">
        <f t="shared" si="4"/>
        <v>40569.497872340427</v>
      </c>
      <c r="N15" s="336">
        <f t="shared" si="4"/>
        <v>30765.885138635902</v>
      </c>
      <c r="O15" s="346">
        <f>SUM(C15:N15)</f>
        <v>499784.90538222773</v>
      </c>
    </row>
    <row r="16" spans="2:17" ht="16" x14ac:dyDescent="0.15">
      <c r="B16" s="376" t="s">
        <v>243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338"/>
      <c r="Q16" s="237"/>
    </row>
    <row r="17" spans="2:17" ht="16" x14ac:dyDescent="0.15">
      <c r="B17" s="378" t="s">
        <v>232</v>
      </c>
      <c r="C17" s="377">
        <f>VLOOKUP(B16,'Tab. 6'!$B$38:$C$44,2,0)</f>
        <v>60000</v>
      </c>
      <c r="D17" s="195"/>
      <c r="E17" s="195"/>
      <c r="F17" s="195"/>
      <c r="G17" s="195"/>
      <c r="H17" s="406"/>
      <c r="I17" s="406"/>
      <c r="J17" s="195"/>
      <c r="K17" s="195"/>
      <c r="L17" s="195"/>
      <c r="M17" s="195"/>
      <c r="N17" s="195"/>
      <c r="O17" s="338"/>
      <c r="Q17" s="238"/>
    </row>
    <row r="18" spans="2:17" ht="16" x14ac:dyDescent="0.15">
      <c r="B18" s="378" t="s">
        <v>261</v>
      </c>
      <c r="C18" s="377">
        <f>VLOOKUP(B16,'Tab. 6'!$B$25:$D$31,2,0)</f>
        <v>15</v>
      </c>
      <c r="D18" s="195"/>
      <c r="E18" s="195"/>
      <c r="F18" s="195"/>
      <c r="G18" s="195"/>
      <c r="H18" s="406"/>
      <c r="I18" s="195"/>
      <c r="J18" s="195"/>
      <c r="K18" s="195"/>
      <c r="L18" s="195"/>
      <c r="M18" s="195"/>
      <c r="N18" s="195"/>
      <c r="O18" s="338"/>
      <c r="Q18" s="238"/>
    </row>
    <row r="19" spans="2:17" ht="16" x14ac:dyDescent="0.15">
      <c r="B19" s="378" t="s">
        <v>262</v>
      </c>
      <c r="C19" s="377">
        <f>VLOOKUP(B16,'Tab. 6'!$B$25:$D$31,3,0)</f>
        <v>60000</v>
      </c>
      <c r="D19" s="195"/>
      <c r="E19" s="195"/>
      <c r="F19" s="195"/>
      <c r="G19" s="195"/>
      <c r="H19" s="406"/>
      <c r="I19" s="195"/>
      <c r="J19" s="195"/>
      <c r="K19" s="195"/>
      <c r="L19" s="195"/>
      <c r="M19" s="195"/>
      <c r="N19" s="195"/>
      <c r="O19" s="338"/>
      <c r="Q19" s="238"/>
    </row>
    <row r="20" spans="2:17" ht="16" x14ac:dyDescent="0.15">
      <c r="B20" s="230"/>
      <c r="C20" s="195"/>
      <c r="D20" s="195"/>
      <c r="E20" s="195"/>
      <c r="F20" s="195"/>
      <c r="G20" s="195"/>
      <c r="H20" s="406"/>
      <c r="I20" s="195"/>
      <c r="J20" s="195"/>
      <c r="K20" s="195"/>
      <c r="L20" s="195"/>
      <c r="M20" s="195"/>
      <c r="N20" s="195"/>
      <c r="O20" s="338"/>
      <c r="Q20" s="238"/>
    </row>
    <row r="21" spans="2:17" ht="16" x14ac:dyDescent="0.15">
      <c r="B21" s="230" t="s">
        <v>231</v>
      </c>
      <c r="C21" s="347">
        <f>+C17</f>
        <v>60000</v>
      </c>
      <c r="D21" s="332">
        <f>+C23</f>
        <v>60000</v>
      </c>
      <c r="E21" s="332">
        <f t="shared" ref="E21" si="5">+D23</f>
        <v>60000</v>
      </c>
      <c r="F21" s="332">
        <f t="shared" ref="F21" si="6">+E23</f>
        <v>60000</v>
      </c>
      <c r="G21" s="332">
        <f t="shared" ref="G21" si="7">+F23</f>
        <v>60000</v>
      </c>
      <c r="H21" s="332">
        <f t="shared" ref="H21" si="8">+G23</f>
        <v>60000</v>
      </c>
      <c r="I21" s="332">
        <f t="shared" ref="I21" si="9">+H23</f>
        <v>60000</v>
      </c>
      <c r="J21" s="332">
        <f t="shared" ref="J21" si="10">+I23</f>
        <v>60000</v>
      </c>
      <c r="K21" s="332">
        <f t="shared" ref="K21" si="11">+J23</f>
        <v>60000</v>
      </c>
      <c r="L21" s="332">
        <f t="shared" ref="L21" si="12">+K23</f>
        <v>60000</v>
      </c>
      <c r="M21" s="332">
        <f t="shared" ref="M21" si="13">+L23</f>
        <v>60000</v>
      </c>
      <c r="N21" s="332">
        <f t="shared" ref="N21" si="14">+M23</f>
        <v>60000</v>
      </c>
      <c r="O21" s="247"/>
      <c r="Q21" s="388"/>
    </row>
    <row r="22" spans="2:17" ht="16" x14ac:dyDescent="0.15">
      <c r="B22" s="340" t="s">
        <v>263</v>
      </c>
      <c r="C22" s="332">
        <f>IFERROR(VLOOKUP($B16,'Tab. 6'!$B$5:$D$7,3,0),0)*'Tab 5'!C$15+IFERROR(VLOOKUP($B16,'Tab. 6'!$B$12:$D$16,3,0),0)*'Tab 5'!C$28</f>
        <v>53085.140425531914</v>
      </c>
      <c r="D22" s="332">
        <f>IFERROR(VLOOKUP($B16,'Tab. 6'!$B$5:$D$7,3,0),0)*'Tab 5'!D$15+IFERROR(VLOOKUP($B16,'Tab. 6'!$B$12:$D$16,3,0),0)*'Tab 5'!D$28</f>
        <v>60115.491160451427</v>
      </c>
      <c r="E22" s="332">
        <f>IFERROR(VLOOKUP($B16,'Tab. 6'!$B$5:$D$7,3,0),0)*'Tab 5'!E$15+IFERROR(VLOOKUP($B16,'Tab. 6'!$B$12:$D$16,3,0),0)*'Tab 5'!E$28</f>
        <v>67407.192253488931</v>
      </c>
      <c r="F22" s="332">
        <f>IFERROR(VLOOKUP($B16,'Tab. 6'!$B$5:$D$7,3,0),0)*'Tab 5'!F$15+IFERROR(VLOOKUP($B16,'Tab. 6'!$B$12:$D$16,3,0),0)*'Tab 5'!F$28</f>
        <v>61932.663829787227</v>
      </c>
      <c r="G22" s="332">
        <f>IFERROR(VLOOKUP($B16,'Tab. 6'!$B$5:$D$7,3,0),0)*'Tab 5'!G$15+IFERROR(VLOOKUP($B16,'Tab. 6'!$B$12:$D$16,3,0),0)*'Tab 5'!G$28</f>
        <v>61932.663829787234</v>
      </c>
      <c r="H22" s="332">
        <f>IFERROR(VLOOKUP($B16,'Tab. 6'!$B$5:$D$7,3,0),0)*'Tab 5'!H$15+IFERROR(VLOOKUP($B16,'Tab. 6'!$B$12:$D$16,3,0),0)*'Tab 5'!H$28</f>
        <v>64881.83829787228</v>
      </c>
      <c r="I22" s="332">
        <f>IFERROR(VLOOKUP($B16,'Tab. 6'!$B$5:$D$7,3,0),0)*'Tab 5'!I$15+IFERROR(VLOOKUP($B16,'Tab. 6'!$B$12:$D$16,3,0),0)*'Tab 5'!I$28</f>
        <v>57041.838297872368</v>
      </c>
      <c r="J22" s="332">
        <f>IFERROR(VLOOKUP($B16,'Tab. 6'!$B$5:$D$7,3,0),0)*'Tab 5'!J$15+IFERROR(VLOOKUP($B16,'Tab. 6'!$B$12:$D$16,3,0),0)*'Tab 5'!J$28</f>
        <v>35390.093617021274</v>
      </c>
      <c r="K22" s="332">
        <f>IFERROR(VLOOKUP($B16,'Tab. 6'!$B$5:$D$7,3,0),0)*'Tab 5'!K$15+IFERROR(VLOOKUP($B16,'Tab. 6'!$B$12:$D$16,3,0),0)*'Tab 5'!K$28</f>
        <v>61002.600772020145</v>
      </c>
      <c r="L22" s="332">
        <f>IFERROR(VLOOKUP($B16,'Tab. 6'!$B$5:$D$7,3,0),0)*'Tab 5'!L$15+IFERROR(VLOOKUP($B16,'Tab. 6'!$B$12:$D$16,3,0),0)*'Tab 5'!L$28</f>
        <v>53809.840677835746</v>
      </c>
      <c r="M22" s="332">
        <f>IFERROR(VLOOKUP($B16,'Tab. 6'!$B$5:$D$7,3,0),0)*'Tab 5'!M$15+IFERROR(VLOOKUP($B16,'Tab. 6'!$B$12:$D$16,3,0),0)*'Tab 5'!M$28</f>
        <v>54092.663829787234</v>
      </c>
      <c r="N22" s="332">
        <f>IFERROR(VLOOKUP($B16,'Tab. 6'!$B$5:$D$7,3,0),0)*'Tab 5'!N$15+IFERROR(VLOOKUP($B16,'Tab. 6'!$B$12:$D$16,3,0),0)*'Tab 5'!N$28</f>
        <v>35390.093617021274</v>
      </c>
      <c r="O22" s="247">
        <f>SUM(C22:N22)</f>
        <v>666082.12060847704</v>
      </c>
      <c r="Q22" s="388">
        <f>IFERROR(VLOOKUP($B16,'Tab. 6'!$B$5:$D$7,3,0),0)*'Tab 5'!Q$15+IFERROR(VLOOKUP($B16,'Tab. 6'!$B$12:$D$16,3,0),0)*'Tab 5'!Q$28</f>
        <v>65631.086567826598</v>
      </c>
    </row>
    <row r="23" spans="2:17" ht="17" thickBot="1" x14ac:dyDescent="0.2">
      <c r="B23" s="340" t="s">
        <v>236</v>
      </c>
      <c r="C23" s="332">
        <f>+IF(D22/2&gt;=$C19,D22/2,$C19)</f>
        <v>60000</v>
      </c>
      <c r="D23" s="332">
        <f t="shared" ref="D23:M23" si="15">+IF(E22/2&gt;=$C19,E22/2,$C19)</f>
        <v>60000</v>
      </c>
      <c r="E23" s="332">
        <f t="shared" si="15"/>
        <v>60000</v>
      </c>
      <c r="F23" s="332">
        <f t="shared" si="15"/>
        <v>60000</v>
      </c>
      <c r="G23" s="332">
        <f t="shared" si="15"/>
        <v>60000</v>
      </c>
      <c r="H23" s="332">
        <f t="shared" si="15"/>
        <v>60000</v>
      </c>
      <c r="I23" s="332">
        <f t="shared" si="15"/>
        <v>60000</v>
      </c>
      <c r="J23" s="332">
        <f t="shared" si="15"/>
        <v>60000</v>
      </c>
      <c r="K23" s="332">
        <f t="shared" si="15"/>
        <v>60000</v>
      </c>
      <c r="L23" s="332">
        <f t="shared" si="15"/>
        <v>60000</v>
      </c>
      <c r="M23" s="332">
        <f t="shared" si="15"/>
        <v>60000</v>
      </c>
      <c r="N23" s="332">
        <f>+IF(Q22/2&gt;=$C19,Q22/2,$C19)</f>
        <v>60000</v>
      </c>
      <c r="O23" s="247"/>
      <c r="Q23" s="389"/>
    </row>
    <row r="24" spans="2:17" ht="17" thickBot="1" x14ac:dyDescent="0.2">
      <c r="B24" s="341" t="s">
        <v>264</v>
      </c>
      <c r="C24" s="336">
        <f>(C23-C21+C22)</f>
        <v>53085.140425531914</v>
      </c>
      <c r="D24" s="336">
        <f t="shared" ref="D24:N24" si="16">(D23-D21+D22)</f>
        <v>60115.491160451427</v>
      </c>
      <c r="E24" s="336">
        <f t="shared" si="16"/>
        <v>67407.192253488931</v>
      </c>
      <c r="F24" s="336">
        <f t="shared" si="16"/>
        <v>61932.663829787227</v>
      </c>
      <c r="G24" s="336">
        <f t="shared" si="16"/>
        <v>61932.663829787234</v>
      </c>
      <c r="H24" s="336">
        <f t="shared" si="16"/>
        <v>64881.83829787228</v>
      </c>
      <c r="I24" s="336">
        <f t="shared" si="16"/>
        <v>57041.838297872368</v>
      </c>
      <c r="J24" s="336">
        <f t="shared" si="16"/>
        <v>35390.093617021274</v>
      </c>
      <c r="K24" s="336">
        <f t="shared" si="16"/>
        <v>61002.600772020145</v>
      </c>
      <c r="L24" s="336">
        <f t="shared" si="16"/>
        <v>53809.840677835746</v>
      </c>
      <c r="M24" s="336">
        <f t="shared" si="16"/>
        <v>54092.663829787234</v>
      </c>
      <c r="N24" s="336">
        <f t="shared" si="16"/>
        <v>35390.093617021274</v>
      </c>
      <c r="O24" s="346">
        <f>SUM(C24:N24)</f>
        <v>666082.12060847704</v>
      </c>
    </row>
    <row r="25" spans="2:17" ht="16" x14ac:dyDescent="0.15">
      <c r="B25" s="376" t="s">
        <v>244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338"/>
      <c r="Q25" s="237"/>
    </row>
    <row r="26" spans="2:17" ht="16" x14ac:dyDescent="0.15">
      <c r="B26" s="378" t="s">
        <v>232</v>
      </c>
      <c r="C26" s="377">
        <f>VLOOKUP(B25,'Tab. 6'!$B$38:$C$44,2,0)</f>
        <v>62800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338"/>
      <c r="Q26" s="238"/>
    </row>
    <row r="27" spans="2:17" ht="16" x14ac:dyDescent="0.15">
      <c r="B27" s="378" t="s">
        <v>261</v>
      </c>
      <c r="C27" s="377">
        <f>VLOOKUP(B25,'Tab. 6'!$B$25:$D$31,2,0)</f>
        <v>15</v>
      </c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338"/>
      <c r="Q27" s="238"/>
    </row>
    <row r="28" spans="2:17" ht="16" x14ac:dyDescent="0.15">
      <c r="B28" s="378" t="s">
        <v>262</v>
      </c>
      <c r="C28" s="377">
        <f>VLOOKUP(B25,'Tab. 6'!$B$25:$D$31,3,0)</f>
        <v>62800</v>
      </c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338"/>
      <c r="Q28" s="238"/>
    </row>
    <row r="29" spans="2:17" ht="16" x14ac:dyDescent="0.15">
      <c r="B29" s="230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338"/>
      <c r="Q29" s="238"/>
    </row>
    <row r="30" spans="2:17" ht="16" x14ac:dyDescent="0.15">
      <c r="B30" s="230" t="s">
        <v>231</v>
      </c>
      <c r="C30" s="347">
        <f>+C26</f>
        <v>62800</v>
      </c>
      <c r="D30" s="332">
        <f>+C32</f>
        <v>62800</v>
      </c>
      <c r="E30" s="332">
        <f t="shared" ref="E30" si="17">+D32</f>
        <v>62800</v>
      </c>
      <c r="F30" s="332">
        <f t="shared" ref="F30" si="18">+E32</f>
        <v>62800</v>
      </c>
      <c r="G30" s="332">
        <f t="shared" ref="G30" si="19">+F32</f>
        <v>62800</v>
      </c>
      <c r="H30" s="332">
        <f t="shared" ref="H30" si="20">+G32</f>
        <v>62800</v>
      </c>
      <c r="I30" s="332">
        <f t="shared" ref="I30" si="21">+H32</f>
        <v>62800</v>
      </c>
      <c r="J30" s="332">
        <f t="shared" ref="J30" si="22">+I32</f>
        <v>62800</v>
      </c>
      <c r="K30" s="332">
        <f t="shared" ref="K30" si="23">+J32</f>
        <v>62800</v>
      </c>
      <c r="L30" s="332">
        <f t="shared" ref="L30" si="24">+K32</f>
        <v>62800</v>
      </c>
      <c r="M30" s="332">
        <f t="shared" ref="M30" si="25">+L32</f>
        <v>62800</v>
      </c>
      <c r="N30" s="332">
        <f t="shared" ref="N30" si="26">+M32</f>
        <v>62800</v>
      </c>
      <c r="O30" s="247"/>
      <c r="Q30" s="388"/>
    </row>
    <row r="31" spans="2:17" ht="16" x14ac:dyDescent="0.15">
      <c r="B31" s="340" t="s">
        <v>263</v>
      </c>
      <c r="C31" s="332">
        <f>IFERROR(VLOOKUP($B25,'Tab. 6'!$B$5:$D$7,3,0),0)*'Tab 5'!C$15+IFERROR(VLOOKUP($B25,'Tab. 6'!$B$12:$D$16,3,0),0)*'Tab 5'!C$28</f>
        <v>55971.839040505154</v>
      </c>
      <c r="D31" s="332">
        <f>IFERROR(VLOOKUP($B25,'Tab. 6'!$B$5:$D$7,3,0),0)*'Tab 5'!D$15+IFERROR(VLOOKUP($B25,'Tab. 6'!$B$12:$D$16,3,0),0)*'Tab 5'!D$28</f>
        <v>63108.426171603111</v>
      </c>
      <c r="E31" s="332">
        <f>IFERROR(VLOOKUP($B25,'Tab. 6'!$B$5:$D$7,3,0),0)*'Tab 5'!E$15+IFERROR(VLOOKUP($B25,'Tab. 6'!$B$12:$D$16,3,0),0)*'Tab 5'!E$28</f>
        <v>70542.647979457368</v>
      </c>
      <c r="F31" s="332">
        <f>IFERROR(VLOOKUP($B25,'Tab. 6'!$B$5:$D$7,3,0),0)*'Tab 5'!F$15+IFERROR(VLOOKUP($B25,'Tab. 6'!$B$12:$D$16,3,0),0)*'Tab 5'!F$28</f>
        <v>65068.119555755649</v>
      </c>
      <c r="G31" s="332">
        <f>IFERROR(VLOOKUP($B25,'Tab. 6'!$B$5:$D$7,3,0),0)*'Tab 5'!G$15+IFERROR(VLOOKUP($B25,'Tab. 6'!$B$12:$D$16,3,0),0)*'Tab 5'!G$28</f>
        <v>63935.404113306802</v>
      </c>
      <c r="H31" s="332">
        <f>IFERROR(VLOOKUP($B25,'Tab. 6'!$B$5:$D$7,3,0),0)*'Tab 5'!H$15+IFERROR(VLOOKUP($B25,'Tab. 6'!$B$12:$D$16,3,0),0)*'Tab 5'!H$28</f>
        <v>68523.165957446749</v>
      </c>
      <c r="I31" s="332">
        <f>IFERROR(VLOOKUP($B25,'Tab. 6'!$B$5:$D$7,3,0),0)*'Tab 5'!I$15+IFERROR(VLOOKUP($B25,'Tab. 6'!$B$12:$D$16,3,0),0)*'Tab 5'!I$28</f>
        <v>60243.165957446836</v>
      </c>
      <c r="J31" s="332">
        <f>IFERROR(VLOOKUP($B25,'Tab. 6'!$B$5:$D$7,3,0),0)*'Tab 5'!J$15+IFERROR(VLOOKUP($B25,'Tab. 6'!$B$12:$D$16,3,0),0)*'Tab 5'!J$28</f>
        <v>37376.27234042553</v>
      </c>
      <c r="K31" s="332">
        <f>IFERROR(VLOOKUP($B25,'Tab. 6'!$B$5:$D$7,3,0),0)*'Tab 5'!K$15+IFERROR(VLOOKUP($B25,'Tab. 6'!$B$12:$D$16,3,0),0)*'Tab 5'!K$28</f>
        <v>63409.374012953129</v>
      </c>
      <c r="L31" s="332">
        <f>IFERROR(VLOOKUP($B25,'Tab. 6'!$B$5:$D$7,3,0),0)*'Tab 5'!L$15+IFERROR(VLOOKUP($B25,'Tab. 6'!$B$12:$D$16,3,0),0)*'Tab 5'!L$28</f>
        <v>57285.653443793191</v>
      </c>
      <c r="M31" s="332">
        <f>IFERROR(VLOOKUP($B25,'Tab. 6'!$B$5:$D$7,3,0),0)*'Tab 5'!M$15+IFERROR(VLOOKUP($B25,'Tab. 6'!$B$12:$D$16,3,0),0)*'Tab 5'!M$28</f>
        <v>57128.47659574468</v>
      </c>
      <c r="N31" s="332">
        <f>IFERROR(VLOOKUP($B25,'Tab. 6'!$B$5:$D$7,3,0),0)*'Tab 5'!N$15+IFERROR(VLOOKUP($B25,'Tab. 6'!$B$12:$D$16,3,0),0)*'Tab 5'!N$28</f>
        <v>37376.27234042553</v>
      </c>
      <c r="O31" s="247">
        <f>SUM(C31:N31)</f>
        <v>699968.81750886375</v>
      </c>
      <c r="Q31" s="388">
        <f>IFERROR(VLOOKUP($B25,'Tab. 6'!$B$5:$D$7,3,0),0)*'Tab 5'!Q$15+IFERROR(VLOOKUP($B25,'Tab. 6'!$B$12:$D$16,3,0),0)*'Tab 5'!Q$28</f>
        <v>68796.347343031084</v>
      </c>
    </row>
    <row r="32" spans="2:17" ht="17" thickBot="1" x14ac:dyDescent="0.2">
      <c r="B32" s="340" t="s">
        <v>236</v>
      </c>
      <c r="C32" s="332">
        <f>+IF(D31/2&gt;=$C28,D31/2,$C28)</f>
        <v>62800</v>
      </c>
      <c r="D32" s="332">
        <f t="shared" ref="D32:M32" si="27">+IF(E31/2&gt;=$C28,E31/2,$C28)</f>
        <v>62800</v>
      </c>
      <c r="E32" s="332">
        <f t="shared" si="27"/>
        <v>62800</v>
      </c>
      <c r="F32" s="332">
        <f t="shared" si="27"/>
        <v>62800</v>
      </c>
      <c r="G32" s="332">
        <f t="shared" si="27"/>
        <v>62800</v>
      </c>
      <c r="H32" s="332">
        <f t="shared" si="27"/>
        <v>62800</v>
      </c>
      <c r="I32" s="332">
        <f t="shared" si="27"/>
        <v>62800</v>
      </c>
      <c r="J32" s="332">
        <f t="shared" si="27"/>
        <v>62800</v>
      </c>
      <c r="K32" s="332">
        <f t="shared" si="27"/>
        <v>62800</v>
      </c>
      <c r="L32" s="332">
        <f t="shared" si="27"/>
        <v>62800</v>
      </c>
      <c r="M32" s="332">
        <f t="shared" si="27"/>
        <v>62800</v>
      </c>
      <c r="N32" s="332">
        <f>+IF(Q31/2&gt;=$C28,Q31/2,$C28)</f>
        <v>62800</v>
      </c>
      <c r="O32" s="247"/>
      <c r="Q32" s="389"/>
    </row>
    <row r="33" spans="2:17" ht="17" thickBot="1" x14ac:dyDescent="0.2">
      <c r="B33" s="341" t="s">
        <v>264</v>
      </c>
      <c r="C33" s="336">
        <f>(C32-C30+C31)</f>
        <v>55971.839040505154</v>
      </c>
      <c r="D33" s="336">
        <f t="shared" ref="D33:N33" si="28">(D32-D30+D31)</f>
        <v>63108.426171603111</v>
      </c>
      <c r="E33" s="336">
        <f t="shared" si="28"/>
        <v>70542.647979457368</v>
      </c>
      <c r="F33" s="336">
        <f t="shared" si="28"/>
        <v>65068.119555755649</v>
      </c>
      <c r="G33" s="336">
        <f t="shared" si="28"/>
        <v>63935.404113306802</v>
      </c>
      <c r="H33" s="336">
        <f t="shared" si="28"/>
        <v>68523.165957446749</v>
      </c>
      <c r="I33" s="336">
        <f t="shared" si="28"/>
        <v>60243.165957446836</v>
      </c>
      <c r="J33" s="336">
        <f t="shared" si="28"/>
        <v>37376.27234042553</v>
      </c>
      <c r="K33" s="336">
        <f t="shared" si="28"/>
        <v>63409.374012953129</v>
      </c>
      <c r="L33" s="336">
        <f t="shared" si="28"/>
        <v>57285.653443793191</v>
      </c>
      <c r="M33" s="336">
        <f t="shared" si="28"/>
        <v>57128.47659574468</v>
      </c>
      <c r="N33" s="336">
        <f t="shared" si="28"/>
        <v>37376.27234042553</v>
      </c>
      <c r="O33" s="346">
        <f>SUM(C33:N33)</f>
        <v>699968.81750886375</v>
      </c>
    </row>
    <row r="34" spans="2:17" ht="16" x14ac:dyDescent="0.15">
      <c r="B34" s="376" t="s">
        <v>190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338"/>
      <c r="Q34" s="237"/>
    </row>
    <row r="35" spans="2:17" ht="16" x14ac:dyDescent="0.15">
      <c r="B35" s="378" t="s">
        <v>232</v>
      </c>
      <c r="C35" s="377">
        <f>VLOOKUP(B34,'Tab. 6'!$B$38:$C$44,2,0)</f>
        <v>3500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338"/>
      <c r="Q35" s="238"/>
    </row>
    <row r="36" spans="2:17" ht="16" x14ac:dyDescent="0.15">
      <c r="B36" s="378" t="s">
        <v>261</v>
      </c>
      <c r="C36" s="377">
        <f>VLOOKUP(B34,'Tab. 6'!$B$25:$D$31,2,0)</f>
        <v>30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338"/>
      <c r="Q36" s="238"/>
    </row>
    <row r="37" spans="2:17" ht="16" x14ac:dyDescent="0.15">
      <c r="B37" s="378" t="s">
        <v>262</v>
      </c>
      <c r="C37" s="377">
        <f>VLOOKUP(B34,'Tab. 6'!$B$25:$D$31,3,0)</f>
        <v>3500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338"/>
      <c r="Q37" s="238"/>
    </row>
    <row r="38" spans="2:17" ht="16" x14ac:dyDescent="0.15">
      <c r="B38" s="230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338"/>
      <c r="Q38" s="238"/>
    </row>
    <row r="39" spans="2:17" ht="16" x14ac:dyDescent="0.15">
      <c r="B39" s="230" t="s">
        <v>231</v>
      </c>
      <c r="C39" s="347">
        <f>+C35</f>
        <v>3500</v>
      </c>
      <c r="D39" s="332">
        <f>+C41</f>
        <v>3500</v>
      </c>
      <c r="E39" s="332">
        <f t="shared" ref="E39" si="29">+D41</f>
        <v>3500</v>
      </c>
      <c r="F39" s="332">
        <f t="shared" ref="F39" si="30">+E41</f>
        <v>3500</v>
      </c>
      <c r="G39" s="332">
        <f t="shared" ref="G39" si="31">+F41</f>
        <v>3500</v>
      </c>
      <c r="H39" s="332">
        <f t="shared" ref="H39" si="32">+G41</f>
        <v>3500</v>
      </c>
      <c r="I39" s="332">
        <f t="shared" ref="I39" si="33">+H41</f>
        <v>3500</v>
      </c>
      <c r="J39" s="332">
        <f t="shared" ref="J39" si="34">+I41</f>
        <v>3500</v>
      </c>
      <c r="K39" s="332">
        <f t="shared" ref="K39" si="35">+J41</f>
        <v>3500</v>
      </c>
      <c r="L39" s="332">
        <f t="shared" ref="L39" si="36">+K41</f>
        <v>3500</v>
      </c>
      <c r="M39" s="332">
        <f t="shared" ref="M39" si="37">+L41</f>
        <v>3500</v>
      </c>
      <c r="N39" s="332">
        <f t="shared" ref="N39" si="38">+M41</f>
        <v>3500</v>
      </c>
      <c r="O39" s="247"/>
      <c r="Q39" s="388"/>
    </row>
    <row r="40" spans="2:17" ht="16" x14ac:dyDescent="0.15">
      <c r="B40" s="340" t="s">
        <v>263</v>
      </c>
      <c r="C40" s="332">
        <f>IFERROR(VLOOKUP($B34,'Tab. 6'!$B$5:$D$7,3,0),0)*'Tab 5'!C$15+IFERROR(VLOOKUP($B34,'Tab. 6'!$B$12:$D$16,3,0),0)*'Tab 5'!C$28</f>
        <v>1804.1866343582733</v>
      </c>
      <c r="D40" s="332">
        <f>IFERROR(VLOOKUP($B34,'Tab. 6'!$B$5:$D$7,3,0),0)*'Tab 5'!D$15+IFERROR(VLOOKUP($B34,'Tab. 6'!$B$12:$D$16,3,0),0)*'Tab 5'!D$28</f>
        <v>1870.5843819698034</v>
      </c>
      <c r="E40" s="332">
        <f>IFERROR(VLOOKUP($B34,'Tab. 6'!$B$5:$D$7,3,0),0)*'Tab 5'!E$15+IFERROR(VLOOKUP($B34,'Tab. 6'!$B$12:$D$16,3,0),0)*'Tab 5'!E$28</f>
        <v>1959.6598287302731</v>
      </c>
      <c r="F40" s="332">
        <f>IFERROR(VLOOKUP($B34,'Tab. 6'!$B$5:$D$7,3,0),0)*'Tab 5'!F$15+IFERROR(VLOOKUP($B34,'Tab. 6'!$B$12:$D$16,3,0),0)*'Tab 5'!F$28</f>
        <v>1959.6598287302659</v>
      </c>
      <c r="G40" s="332">
        <f>IFERROR(VLOOKUP($B34,'Tab. 6'!$B$5:$D$7,3,0),0)*'Tab 5'!G$15+IFERROR(VLOOKUP($B34,'Tab. 6'!$B$12:$D$16,3,0),0)*'Tab 5'!G$28</f>
        <v>1251.7126771997282</v>
      </c>
      <c r="H40" s="332">
        <f>IFERROR(VLOOKUP($B34,'Tab. 6'!$B$5:$D$7,3,0),0)*'Tab 5'!H$15+IFERROR(VLOOKUP($B34,'Tab. 6'!$B$12:$D$16,3,0),0)*'Tab 5'!H$28</f>
        <v>2275.8297872340409</v>
      </c>
      <c r="I40" s="332">
        <f>IFERROR(VLOOKUP($B34,'Tab. 6'!$B$5:$D$7,3,0),0)*'Tab 5'!I$15+IFERROR(VLOOKUP($B34,'Tab. 6'!$B$12:$D$16,3,0),0)*'Tab 5'!I$28</f>
        <v>2000.8297872340436</v>
      </c>
      <c r="J40" s="332">
        <f>IFERROR(VLOOKUP($B34,'Tab. 6'!$B$5:$D$7,3,0),0)*'Tab 5'!J$15+IFERROR(VLOOKUP($B34,'Tab. 6'!$B$12:$D$16,3,0),0)*'Tab 5'!J$28</f>
        <v>1241.3617021276596</v>
      </c>
      <c r="K40" s="332">
        <f>IFERROR(VLOOKUP($B34,'Tab. 6'!$B$5:$D$7,3,0),0)*'Tab 5'!K$15+IFERROR(VLOOKUP($B34,'Tab. 6'!$B$12:$D$16,3,0),0)*'Tab 5'!K$28</f>
        <v>1504.2332755831158</v>
      </c>
      <c r="L40" s="332">
        <f>IFERROR(VLOOKUP($B34,'Tab. 6'!$B$5:$D$7,3,0),0)*'Tab 5'!L$15+IFERROR(VLOOKUP($B34,'Tab. 6'!$B$12:$D$16,3,0),0)*'Tab 5'!L$28</f>
        <v>2172.382978723404</v>
      </c>
      <c r="M40" s="332">
        <f>IFERROR(VLOOKUP($B34,'Tab. 6'!$B$5:$D$7,3,0),0)*'Tab 5'!M$15+IFERROR(VLOOKUP($B34,'Tab. 6'!$B$12:$D$16,3,0),0)*'Tab 5'!M$28</f>
        <v>1897.382978723404</v>
      </c>
      <c r="N40" s="332">
        <f>IFERROR(VLOOKUP($B34,'Tab. 6'!$B$5:$D$7,3,0),0)*'Tab 5'!N$15+IFERROR(VLOOKUP($B34,'Tab. 6'!$B$12:$D$16,3,0),0)*'Tab 5'!N$28</f>
        <v>1241.3617021276596</v>
      </c>
      <c r="O40" s="247">
        <f>SUM(C40:N40)</f>
        <v>21179.185562741666</v>
      </c>
      <c r="Q40" s="388">
        <f>IFERROR(VLOOKUP($B34,'Tab. 6'!$B$5:$D$7,3,0),0)*'Tab 5'!Q$15+IFERROR(VLOOKUP($B34,'Tab. 6'!$B$12:$D$16,3,0),0)*'Tab 5'!Q$28</f>
        <v>1978.287984502806</v>
      </c>
    </row>
    <row r="41" spans="2:17" ht="17" thickBot="1" x14ac:dyDescent="0.2">
      <c r="B41" s="340" t="s">
        <v>236</v>
      </c>
      <c r="C41" s="332">
        <f>+IF(D40&gt;=$C37,D40,$C37)</f>
        <v>3500</v>
      </c>
      <c r="D41" s="332">
        <f t="shared" ref="D41:G41" si="39">+IF(E40&gt;=$C37,E40,$C37)</f>
        <v>3500</v>
      </c>
      <c r="E41" s="332">
        <f t="shared" si="39"/>
        <v>3500</v>
      </c>
      <c r="F41" s="332">
        <f t="shared" si="39"/>
        <v>3500</v>
      </c>
      <c r="G41" s="332">
        <f t="shared" si="39"/>
        <v>3500</v>
      </c>
      <c r="H41" s="332">
        <f>+IF(I40&gt;=$C37,I40,$C37)</f>
        <v>3500</v>
      </c>
      <c r="I41" s="332">
        <f>+IF(J40&gt;=$C37,J40,$C37)</f>
        <v>3500</v>
      </c>
      <c r="J41" s="332">
        <f>+IF(K40&gt;=$C37,K40,$C37)</f>
        <v>3500</v>
      </c>
      <c r="K41" s="332">
        <f t="shared" ref="K41" si="40">+IF(L40&gt;=$C37,L40,$C37)</f>
        <v>3500</v>
      </c>
      <c r="L41" s="332">
        <f>+IF(M40&gt;=$C37,M40,$C37)</f>
        <v>3500</v>
      </c>
      <c r="M41" s="332">
        <f t="shared" ref="M41" si="41">+IF(N40&gt;=$C37,N40,$C37)</f>
        <v>3500</v>
      </c>
      <c r="N41" s="332">
        <f>+IF(Q40&gt;=$C37,Q40,$C37)</f>
        <v>3500</v>
      </c>
      <c r="O41" s="247"/>
      <c r="Q41" s="389"/>
    </row>
    <row r="42" spans="2:17" ht="17" thickBot="1" x14ac:dyDescent="0.2">
      <c r="B42" s="341" t="s">
        <v>264</v>
      </c>
      <c r="C42" s="336">
        <f>(C41-C39+C40)</f>
        <v>1804.1866343582733</v>
      </c>
      <c r="D42" s="336">
        <f t="shared" ref="D42:N42" si="42">(D41-D39+D40)</f>
        <v>1870.5843819698034</v>
      </c>
      <c r="E42" s="336">
        <f t="shared" si="42"/>
        <v>1959.6598287302731</v>
      </c>
      <c r="F42" s="336">
        <f t="shared" si="42"/>
        <v>1959.6598287302659</v>
      </c>
      <c r="G42" s="336">
        <f t="shared" si="42"/>
        <v>1251.7126771997282</v>
      </c>
      <c r="H42" s="336">
        <f t="shared" si="42"/>
        <v>2275.8297872340409</v>
      </c>
      <c r="I42" s="336">
        <f t="shared" si="42"/>
        <v>2000.8297872340436</v>
      </c>
      <c r="J42" s="336">
        <f t="shared" si="42"/>
        <v>1241.3617021276596</v>
      </c>
      <c r="K42" s="336">
        <f t="shared" si="42"/>
        <v>1504.2332755831158</v>
      </c>
      <c r="L42" s="336">
        <f t="shared" si="42"/>
        <v>2172.382978723404</v>
      </c>
      <c r="M42" s="336">
        <f t="shared" si="42"/>
        <v>1897.382978723404</v>
      </c>
      <c r="N42" s="336">
        <f t="shared" si="42"/>
        <v>1241.3617021276596</v>
      </c>
      <c r="O42" s="346">
        <f>SUM(C42:N42)</f>
        <v>21179.185562741666</v>
      </c>
    </row>
    <row r="43" spans="2:17" ht="16" x14ac:dyDescent="0.15">
      <c r="B43" s="376" t="s">
        <v>250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338"/>
      <c r="Q43" s="237"/>
    </row>
    <row r="44" spans="2:17" ht="16" x14ac:dyDescent="0.15">
      <c r="B44" s="378" t="s">
        <v>232</v>
      </c>
      <c r="C44" s="377">
        <f>VLOOKUP(B43,'Tab. 6'!$B$38:$C$44,2,0)</f>
        <v>7000</v>
      </c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338"/>
      <c r="Q44" s="238"/>
    </row>
    <row r="45" spans="2:17" ht="16" x14ac:dyDescent="0.15">
      <c r="B45" s="378" t="s">
        <v>261</v>
      </c>
      <c r="C45" s="377">
        <f>VLOOKUP(B43,'Tab. 6'!$B$25:$D$31,2,0)</f>
        <v>30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338"/>
      <c r="Q45" s="238"/>
    </row>
    <row r="46" spans="2:17" ht="16" x14ac:dyDescent="0.15">
      <c r="B46" s="378" t="s">
        <v>262</v>
      </c>
      <c r="C46" s="377">
        <f>VLOOKUP(B43,'Tab. 6'!$B$25:$D$31,3,0)</f>
        <v>7000.0019999999995</v>
      </c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338"/>
      <c r="Q46" s="238"/>
    </row>
    <row r="47" spans="2:17" ht="16" x14ac:dyDescent="0.15">
      <c r="B47" s="230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338"/>
      <c r="Q47" s="238"/>
    </row>
    <row r="48" spans="2:17" ht="16" x14ac:dyDescent="0.15">
      <c r="B48" s="230" t="s">
        <v>231</v>
      </c>
      <c r="C48" s="347">
        <f>+C44</f>
        <v>7000</v>
      </c>
      <c r="D48" s="332">
        <f>+C50</f>
        <v>7482.3375278792137</v>
      </c>
      <c r="E48" s="332">
        <f t="shared" ref="E48" si="43">+D50</f>
        <v>7838.6393149210926</v>
      </c>
      <c r="F48" s="332">
        <f t="shared" ref="F48" si="44">+E50</f>
        <v>7838.6393149210635</v>
      </c>
      <c r="G48" s="332">
        <f t="shared" ref="G48" si="45">+F50</f>
        <v>7000.0019999999995</v>
      </c>
      <c r="H48" s="332">
        <f t="shared" ref="H48" si="46">+G50</f>
        <v>9103.3191489361634</v>
      </c>
      <c r="I48" s="332">
        <f t="shared" ref="I48" si="47">+H50</f>
        <v>8003.3191489361743</v>
      </c>
      <c r="J48" s="332">
        <f t="shared" ref="J48" si="48">+I50</f>
        <v>7000.0019999999995</v>
      </c>
      <c r="K48" s="332">
        <f t="shared" ref="K48" si="49">+J50</f>
        <v>7000.0019999999995</v>
      </c>
      <c r="L48" s="332">
        <f t="shared" ref="L48" si="50">+K50</f>
        <v>8689.531914893616</v>
      </c>
      <c r="M48" s="332">
        <f t="shared" ref="M48" si="51">+L50</f>
        <v>7589.531914893616</v>
      </c>
      <c r="N48" s="332">
        <f t="shared" ref="N48" si="52">+M50</f>
        <v>7000.0019999999995</v>
      </c>
      <c r="O48" s="247"/>
      <c r="Q48" s="388"/>
    </row>
    <row r="49" spans="2:17" ht="16" x14ac:dyDescent="0.15">
      <c r="B49" s="340" t="s">
        <v>263</v>
      </c>
      <c r="C49" s="332">
        <f>IFERROR(VLOOKUP($B43,'Tab. 6'!$B$5:$D$7,3,0),0)*'Tab 5'!C$15+IFERROR(VLOOKUP($B43,'Tab. 6'!$B$12:$D$16,3,0),0)*'Tab 5'!C$28</f>
        <v>7216.7465374330932</v>
      </c>
      <c r="D49" s="332">
        <f>IFERROR(VLOOKUP($B43,'Tab. 6'!$B$5:$D$7,3,0),0)*'Tab 5'!D$15+IFERROR(VLOOKUP($B43,'Tab. 6'!$B$12:$D$16,3,0),0)*'Tab 5'!D$28</f>
        <v>7482.3375278792137</v>
      </c>
      <c r="E49" s="332">
        <f>IFERROR(VLOOKUP($B43,'Tab. 6'!$B$5:$D$7,3,0),0)*'Tab 5'!E$15+IFERROR(VLOOKUP($B43,'Tab. 6'!$B$12:$D$16,3,0),0)*'Tab 5'!E$28</f>
        <v>7838.6393149210926</v>
      </c>
      <c r="F49" s="332">
        <f>IFERROR(VLOOKUP($B43,'Tab. 6'!$B$5:$D$7,3,0),0)*'Tab 5'!F$15+IFERROR(VLOOKUP($B43,'Tab. 6'!$B$12:$D$16,3,0),0)*'Tab 5'!F$28</f>
        <v>7838.6393149210635</v>
      </c>
      <c r="G49" s="332">
        <f>IFERROR(VLOOKUP($B43,'Tab. 6'!$B$5:$D$7,3,0),0)*'Tab 5'!G$15+IFERROR(VLOOKUP($B43,'Tab. 6'!$B$12:$D$16,3,0),0)*'Tab 5'!G$28</f>
        <v>5006.8507087989128</v>
      </c>
      <c r="H49" s="332">
        <f>IFERROR(VLOOKUP($B43,'Tab. 6'!$B$5:$D$7,3,0),0)*'Tab 5'!H$15+IFERROR(VLOOKUP($B43,'Tab. 6'!$B$12:$D$16,3,0),0)*'Tab 5'!H$28</f>
        <v>9103.3191489361634</v>
      </c>
      <c r="I49" s="332">
        <f>IFERROR(VLOOKUP($B43,'Tab. 6'!$B$5:$D$7,3,0),0)*'Tab 5'!I$15+IFERROR(VLOOKUP($B43,'Tab. 6'!$B$12:$D$16,3,0),0)*'Tab 5'!I$28</f>
        <v>8003.3191489361743</v>
      </c>
      <c r="J49" s="332">
        <f>IFERROR(VLOOKUP($B43,'Tab. 6'!$B$5:$D$7,3,0),0)*'Tab 5'!J$15+IFERROR(VLOOKUP($B43,'Tab. 6'!$B$12:$D$16,3,0),0)*'Tab 5'!J$28</f>
        <v>4965.4468085106382</v>
      </c>
      <c r="K49" s="332">
        <f>IFERROR(VLOOKUP($B43,'Tab. 6'!$B$5:$D$7,3,0),0)*'Tab 5'!K$15+IFERROR(VLOOKUP($B43,'Tab. 6'!$B$12:$D$16,3,0),0)*'Tab 5'!K$28</f>
        <v>6016.933102332463</v>
      </c>
      <c r="L49" s="332">
        <f>IFERROR(VLOOKUP($B43,'Tab. 6'!$B$5:$D$7,3,0),0)*'Tab 5'!L$15+IFERROR(VLOOKUP($B43,'Tab. 6'!$B$12:$D$16,3,0),0)*'Tab 5'!L$28</f>
        <v>8689.531914893616</v>
      </c>
      <c r="M49" s="332">
        <f>IFERROR(VLOOKUP($B43,'Tab. 6'!$B$5:$D$7,3,0),0)*'Tab 5'!M$15+IFERROR(VLOOKUP($B43,'Tab. 6'!$B$12:$D$16,3,0),0)*'Tab 5'!M$28</f>
        <v>7589.531914893616</v>
      </c>
      <c r="N49" s="332">
        <f>IFERROR(VLOOKUP($B43,'Tab. 6'!$B$5:$D$7,3,0),0)*'Tab 5'!N$15+IFERROR(VLOOKUP($B43,'Tab. 6'!$B$12:$D$16,3,0),0)*'Tab 5'!N$28</f>
        <v>4965.4468085106382</v>
      </c>
      <c r="O49" s="247">
        <f>SUM(C49:N49)</f>
        <v>84716.742250966665</v>
      </c>
      <c r="Q49" s="388">
        <f>IFERROR(VLOOKUP($B43,'Tab. 6'!$B$5:$D$7,3,0),0)*'Tab 5'!Q$15+IFERROR(VLOOKUP($B43,'Tab. 6'!$B$12:$D$16,3,0),0)*'Tab 5'!Q$28</f>
        <v>7913.151938011224</v>
      </c>
    </row>
    <row r="50" spans="2:17" ht="17" thickBot="1" x14ac:dyDescent="0.2">
      <c r="B50" s="340" t="s">
        <v>236</v>
      </c>
      <c r="C50" s="332">
        <f>+IF(D49&gt;=$C46,D49,$C46)</f>
        <v>7482.3375278792137</v>
      </c>
      <c r="D50" s="332">
        <f t="shared" ref="D50:G50" si="53">+IF(E49&gt;=$C46,E49,$C46)</f>
        <v>7838.6393149210926</v>
      </c>
      <c r="E50" s="332">
        <f t="shared" si="53"/>
        <v>7838.6393149210635</v>
      </c>
      <c r="F50" s="332">
        <f t="shared" si="53"/>
        <v>7000.0019999999995</v>
      </c>
      <c r="G50" s="332">
        <f t="shared" si="53"/>
        <v>9103.3191489361634</v>
      </c>
      <c r="H50" s="332">
        <f>+IF(I49&gt;=$C46,I49,$C46)</f>
        <v>8003.3191489361743</v>
      </c>
      <c r="I50" s="332">
        <f>+IF(J49&gt;=$C46,J49,$C46)</f>
        <v>7000.0019999999995</v>
      </c>
      <c r="J50" s="332">
        <f>+IF(K49&gt;=$C46,K49,$C46)</f>
        <v>7000.0019999999995</v>
      </c>
      <c r="K50" s="332">
        <f t="shared" ref="K50" si="54">+IF(L49&gt;=$C46,L49,$C46)</f>
        <v>8689.531914893616</v>
      </c>
      <c r="L50" s="332">
        <f>+IF(M49&gt;=$C46,M49,$C46)</f>
        <v>7589.531914893616</v>
      </c>
      <c r="M50" s="332">
        <f t="shared" ref="M50" si="55">+IF(N49&gt;=$C46,N49,$C46)</f>
        <v>7000.0019999999995</v>
      </c>
      <c r="N50" s="332">
        <f>+IF(Q49&gt;=$C46,Q49,$C46)</f>
        <v>7913.151938011224</v>
      </c>
      <c r="O50" s="247"/>
      <c r="Q50" s="389"/>
    </row>
    <row r="51" spans="2:17" ht="17" thickBot="1" x14ac:dyDescent="0.2">
      <c r="B51" s="341" t="s">
        <v>264</v>
      </c>
      <c r="C51" s="336">
        <f>(C50-C48+C49)</f>
        <v>7699.0840653123068</v>
      </c>
      <c r="D51" s="336">
        <f t="shared" ref="D51:N51" si="56">(D50-D48+D49)</f>
        <v>7838.6393149210926</v>
      </c>
      <c r="E51" s="336">
        <f t="shared" si="56"/>
        <v>7838.6393149210635</v>
      </c>
      <c r="F51" s="336">
        <f t="shared" si="56"/>
        <v>7000.0019999999995</v>
      </c>
      <c r="G51" s="336">
        <f t="shared" si="56"/>
        <v>7110.1678577350767</v>
      </c>
      <c r="H51" s="336">
        <f t="shared" si="56"/>
        <v>8003.3191489361743</v>
      </c>
      <c r="I51" s="336">
        <f t="shared" si="56"/>
        <v>7000.0019999999995</v>
      </c>
      <c r="J51" s="336">
        <f t="shared" si="56"/>
        <v>4965.4468085106382</v>
      </c>
      <c r="K51" s="336">
        <f t="shared" si="56"/>
        <v>7706.4630172260795</v>
      </c>
      <c r="L51" s="336">
        <f t="shared" si="56"/>
        <v>7589.531914893616</v>
      </c>
      <c r="M51" s="336">
        <f t="shared" si="56"/>
        <v>7000.0019999999995</v>
      </c>
      <c r="N51" s="336">
        <f t="shared" si="56"/>
        <v>5878.5967465218628</v>
      </c>
      <c r="O51" s="346">
        <f>SUM(C51:N51)</f>
        <v>85629.894188977894</v>
      </c>
    </row>
    <row r="52" spans="2:17" ht="16" x14ac:dyDescent="0.15">
      <c r="B52" s="376" t="s">
        <v>251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338"/>
      <c r="Q52" s="237"/>
    </row>
    <row r="53" spans="2:17" ht="16" x14ac:dyDescent="0.15">
      <c r="B53" s="378" t="s">
        <v>232</v>
      </c>
      <c r="C53" s="377">
        <f>VLOOKUP(B52,'Tab. 6'!$B$38:$C$44,2,0)</f>
        <v>21000</v>
      </c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338"/>
      <c r="Q53" s="238"/>
    </row>
    <row r="54" spans="2:17" ht="16" x14ac:dyDescent="0.15">
      <c r="B54" s="378" t="s">
        <v>261</v>
      </c>
      <c r="C54" s="377">
        <f>VLOOKUP(B52,'Tab. 6'!$B$25:$D$31,2,0)</f>
        <v>30</v>
      </c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338"/>
      <c r="Q54" s="238"/>
    </row>
    <row r="55" spans="2:17" ht="16" x14ac:dyDescent="0.15">
      <c r="B55" s="378" t="s">
        <v>262</v>
      </c>
      <c r="C55" s="377">
        <f>VLOOKUP(B52,'Tab. 6'!$B$25:$D$31,3,0)</f>
        <v>21000</v>
      </c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338"/>
      <c r="Q55" s="238"/>
    </row>
    <row r="56" spans="2:17" ht="16" x14ac:dyDescent="0.15">
      <c r="B56" s="230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338"/>
      <c r="Q56" s="238"/>
    </row>
    <row r="57" spans="2:17" ht="16" x14ac:dyDescent="0.15">
      <c r="B57" s="230" t="s">
        <v>231</v>
      </c>
      <c r="C57" s="347">
        <f>+C53</f>
        <v>21000</v>
      </c>
      <c r="D57" s="332">
        <f>+C59</f>
        <v>21000</v>
      </c>
      <c r="E57" s="332">
        <f t="shared" ref="E57" si="57">+D59</f>
        <v>21000</v>
      </c>
      <c r="F57" s="332">
        <f t="shared" ref="F57" si="58">+E59</f>
        <v>21000</v>
      </c>
      <c r="G57" s="332">
        <f t="shared" ref="G57" si="59">+F59</f>
        <v>21000</v>
      </c>
      <c r="H57" s="332">
        <f t="shared" ref="H57" si="60">+G59</f>
        <v>21000</v>
      </c>
      <c r="I57" s="332">
        <f t="shared" ref="I57" si="61">+H59</f>
        <v>21000</v>
      </c>
      <c r="J57" s="332">
        <f t="shared" ref="J57" si="62">+I59</f>
        <v>21000</v>
      </c>
      <c r="K57" s="332">
        <f t="shared" ref="K57" si="63">+J59</f>
        <v>21000</v>
      </c>
      <c r="L57" s="332">
        <f t="shared" ref="L57" si="64">+K59</f>
        <v>21000</v>
      </c>
      <c r="M57" s="332">
        <f t="shared" ref="M57" si="65">+L59</f>
        <v>21000</v>
      </c>
      <c r="N57" s="332">
        <f t="shared" ref="N57" si="66">+M59</f>
        <v>21000</v>
      </c>
      <c r="O57" s="247"/>
      <c r="Q57" s="388"/>
    </row>
    <row r="58" spans="2:17" ht="16" x14ac:dyDescent="0.15">
      <c r="B58" s="340" t="s">
        <v>263</v>
      </c>
      <c r="C58" s="332">
        <f>IFERROR(VLOOKUP($B52,'Tab. 6'!$B$5:$D$7,3,0),0)*'Tab 5'!C$15+IFERROR(VLOOKUP($B52,'Tab. 6'!$B$12:$D$16,3,0),0)*'Tab 5'!C$28</f>
        <v>10825.11980614964</v>
      </c>
      <c r="D58" s="332">
        <f>IFERROR(VLOOKUP($B52,'Tab. 6'!$B$5:$D$7,3,0),0)*'Tab 5'!D$15+IFERROR(VLOOKUP($B52,'Tab. 6'!$B$12:$D$16,3,0),0)*'Tab 5'!D$28</f>
        <v>11223.50629181882</v>
      </c>
      <c r="E58" s="332">
        <f>IFERROR(VLOOKUP($B52,'Tab. 6'!$B$5:$D$7,3,0),0)*'Tab 5'!E$15+IFERROR(VLOOKUP($B52,'Tab. 6'!$B$12:$D$16,3,0),0)*'Tab 5'!E$28</f>
        <v>11757.958972381639</v>
      </c>
      <c r="F58" s="332">
        <f>IFERROR(VLOOKUP($B52,'Tab. 6'!$B$5:$D$7,3,0),0)*'Tab 5'!F$15+IFERROR(VLOOKUP($B52,'Tab. 6'!$B$12:$D$16,3,0),0)*'Tab 5'!F$28</f>
        <v>11757.958972381595</v>
      </c>
      <c r="G58" s="332">
        <f>IFERROR(VLOOKUP($B52,'Tab. 6'!$B$5:$D$7,3,0),0)*'Tab 5'!G$15+IFERROR(VLOOKUP($B52,'Tab. 6'!$B$12:$D$16,3,0),0)*'Tab 5'!G$28</f>
        <v>7510.2760631983692</v>
      </c>
      <c r="H58" s="332">
        <f>IFERROR(VLOOKUP($B52,'Tab. 6'!$B$5:$D$7,3,0),0)*'Tab 5'!H$15+IFERROR(VLOOKUP($B52,'Tab. 6'!$B$12:$D$16,3,0),0)*'Tab 5'!H$28</f>
        <v>13654.978723404245</v>
      </c>
      <c r="I58" s="332">
        <f>IFERROR(VLOOKUP($B52,'Tab. 6'!$B$5:$D$7,3,0),0)*'Tab 5'!I$15+IFERROR(VLOOKUP($B52,'Tab. 6'!$B$12:$D$16,3,0),0)*'Tab 5'!I$28</f>
        <v>12004.978723404261</v>
      </c>
      <c r="J58" s="332">
        <f>IFERROR(VLOOKUP($B52,'Tab. 6'!$B$5:$D$7,3,0),0)*'Tab 5'!J$15+IFERROR(VLOOKUP($B52,'Tab. 6'!$B$12:$D$16,3,0),0)*'Tab 5'!J$28</f>
        <v>7448.1702127659573</v>
      </c>
      <c r="K58" s="332">
        <f>IFERROR(VLOOKUP($B52,'Tab. 6'!$B$5:$D$7,3,0),0)*'Tab 5'!K$15+IFERROR(VLOOKUP($B52,'Tab. 6'!$B$12:$D$16,3,0),0)*'Tab 5'!K$28</f>
        <v>9025.3996534986945</v>
      </c>
      <c r="L58" s="332">
        <f>IFERROR(VLOOKUP($B52,'Tab. 6'!$B$5:$D$7,3,0),0)*'Tab 5'!L$15+IFERROR(VLOOKUP($B52,'Tab. 6'!$B$12:$D$16,3,0),0)*'Tab 5'!L$28</f>
        <v>13034.297872340423</v>
      </c>
      <c r="M58" s="332">
        <f>IFERROR(VLOOKUP($B52,'Tab. 6'!$B$5:$D$7,3,0),0)*'Tab 5'!M$15+IFERROR(VLOOKUP($B52,'Tab. 6'!$B$12:$D$16,3,0),0)*'Tab 5'!M$28</f>
        <v>11384.297872340423</v>
      </c>
      <c r="N58" s="332">
        <f>IFERROR(VLOOKUP($B52,'Tab. 6'!$B$5:$D$7,3,0),0)*'Tab 5'!N$15+IFERROR(VLOOKUP($B52,'Tab. 6'!$B$12:$D$16,3,0),0)*'Tab 5'!N$28</f>
        <v>7448.1702127659573</v>
      </c>
      <c r="O58" s="247">
        <f>SUM(C58:N58)</f>
        <v>127075.11337645001</v>
      </c>
      <c r="Q58" s="388">
        <f>IFERROR(VLOOKUP($B52,'Tab. 6'!$B$5:$D$7,3,0),0)*'Tab 5'!Q$15+IFERROR(VLOOKUP($B52,'Tab. 6'!$B$12:$D$16,3,0),0)*'Tab 5'!Q$28</f>
        <v>11869.727907016837</v>
      </c>
    </row>
    <row r="59" spans="2:17" ht="17" thickBot="1" x14ac:dyDescent="0.2">
      <c r="B59" s="340" t="s">
        <v>236</v>
      </c>
      <c r="C59" s="332">
        <f>+IF(D58&gt;=$C55,D58,$C55)</f>
        <v>21000</v>
      </c>
      <c r="D59" s="332">
        <f t="shared" ref="D59:G59" si="67">+IF(E58&gt;=$C55,E58,$C55)</f>
        <v>21000</v>
      </c>
      <c r="E59" s="332">
        <f t="shared" si="67"/>
        <v>21000</v>
      </c>
      <c r="F59" s="332">
        <f t="shared" si="67"/>
        <v>21000</v>
      </c>
      <c r="G59" s="332">
        <f t="shared" si="67"/>
        <v>21000</v>
      </c>
      <c r="H59" s="332">
        <f>+IF(I58&gt;=$C55,I58,$C55)</f>
        <v>21000</v>
      </c>
      <c r="I59" s="332">
        <f>+IF(J58&gt;=$C55,J58,$C55)</f>
        <v>21000</v>
      </c>
      <c r="J59" s="332">
        <f>+IF(K58&gt;=$C55,K58,$C55)</f>
        <v>21000</v>
      </c>
      <c r="K59" s="332">
        <f t="shared" ref="K59" si="68">+IF(L58&gt;=$C55,L58,$C55)</f>
        <v>21000</v>
      </c>
      <c r="L59" s="332">
        <f>+IF(M58&gt;=$C55,M58,$C55)</f>
        <v>21000</v>
      </c>
      <c r="M59" s="332">
        <f t="shared" ref="M59" si="69">+IF(N58&gt;=$C55,N58,$C55)</f>
        <v>21000</v>
      </c>
      <c r="N59" s="332">
        <f>+IF(Q58&gt;=$C55,Q58,$C55)</f>
        <v>21000</v>
      </c>
      <c r="O59" s="247"/>
      <c r="Q59" s="389"/>
    </row>
    <row r="60" spans="2:17" ht="17" thickBot="1" x14ac:dyDescent="0.2">
      <c r="B60" s="341" t="s">
        <v>264</v>
      </c>
      <c r="C60" s="336">
        <f>(C59-C57+C58)</f>
        <v>10825.11980614964</v>
      </c>
      <c r="D60" s="336">
        <f t="shared" ref="D60:N60" si="70">(D59-D57+D58)</f>
        <v>11223.50629181882</v>
      </c>
      <c r="E60" s="336">
        <f t="shared" si="70"/>
        <v>11757.958972381639</v>
      </c>
      <c r="F60" s="336">
        <f t="shared" si="70"/>
        <v>11757.958972381595</v>
      </c>
      <c r="G60" s="336">
        <f t="shared" si="70"/>
        <v>7510.2760631983692</v>
      </c>
      <c r="H60" s="336">
        <f t="shared" si="70"/>
        <v>13654.978723404245</v>
      </c>
      <c r="I60" s="336">
        <f t="shared" si="70"/>
        <v>12004.978723404261</v>
      </c>
      <c r="J60" s="336">
        <f t="shared" si="70"/>
        <v>7448.1702127659573</v>
      </c>
      <c r="K60" s="336">
        <f t="shared" si="70"/>
        <v>9025.3996534986945</v>
      </c>
      <c r="L60" s="336">
        <f t="shared" si="70"/>
        <v>13034.297872340423</v>
      </c>
      <c r="M60" s="336">
        <f t="shared" si="70"/>
        <v>11384.297872340423</v>
      </c>
      <c r="N60" s="336">
        <f t="shared" si="70"/>
        <v>7448.1702127659573</v>
      </c>
      <c r="O60" s="346">
        <f>SUM(C60:N60)</f>
        <v>127075.11337645001</v>
      </c>
    </row>
    <row r="61" spans="2:17" ht="16" x14ac:dyDescent="0.15">
      <c r="B61" s="376" t="s">
        <v>252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338"/>
      <c r="Q61" s="237"/>
    </row>
    <row r="62" spans="2:17" ht="16" x14ac:dyDescent="0.15">
      <c r="B62" s="378" t="s">
        <v>232</v>
      </c>
      <c r="C62" s="377">
        <f>VLOOKUP(B61,'Tab. 6'!$B$38:$C$44,2,0)</f>
        <v>3500</v>
      </c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338"/>
      <c r="Q62" s="238"/>
    </row>
    <row r="63" spans="2:17" ht="16" x14ac:dyDescent="0.15">
      <c r="B63" s="378" t="s">
        <v>261</v>
      </c>
      <c r="C63" s="377">
        <f>VLOOKUP(B61,'Tab. 6'!$B$25:$D$31,2,0)</f>
        <v>30</v>
      </c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338"/>
      <c r="Q63" s="238"/>
    </row>
    <row r="64" spans="2:17" ht="16" x14ac:dyDescent="0.15">
      <c r="B64" s="378" t="s">
        <v>262</v>
      </c>
      <c r="C64" s="377">
        <f>VLOOKUP(B61,'Tab. 6'!$B$25:$D$31,3,0)</f>
        <v>3500</v>
      </c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338"/>
      <c r="Q64" s="238"/>
    </row>
    <row r="65" spans="2:17" ht="16" x14ac:dyDescent="0.15">
      <c r="B65" s="230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338"/>
      <c r="Q65" s="238"/>
    </row>
    <row r="66" spans="2:17" ht="16" x14ac:dyDescent="0.15">
      <c r="B66" s="230" t="s">
        <v>231</v>
      </c>
      <c r="C66" s="347">
        <f>+C62</f>
        <v>3500</v>
      </c>
      <c r="D66" s="332">
        <f>+C68</f>
        <v>3741.1687639396068</v>
      </c>
      <c r="E66" s="332">
        <f t="shared" ref="E66" si="71">+D68</f>
        <v>3919.3196574605463</v>
      </c>
      <c r="F66" s="332">
        <f t="shared" ref="F66" si="72">+E68</f>
        <v>3919.3196574605317</v>
      </c>
      <c r="G66" s="332">
        <f t="shared" ref="G66" si="73">+F68</f>
        <v>3500</v>
      </c>
      <c r="H66" s="332">
        <f t="shared" ref="H66" si="74">+G68</f>
        <v>4551.6595744680817</v>
      </c>
      <c r="I66" s="332">
        <f t="shared" ref="I66" si="75">+H68</f>
        <v>4001.6595744680872</v>
      </c>
      <c r="J66" s="332">
        <f t="shared" ref="J66" si="76">+I68</f>
        <v>3500</v>
      </c>
      <c r="K66" s="332">
        <f t="shared" ref="K66" si="77">+J68</f>
        <v>3500</v>
      </c>
      <c r="L66" s="332">
        <f t="shared" ref="L66" si="78">+K68</f>
        <v>4344.765957446808</v>
      </c>
      <c r="M66" s="332">
        <f t="shared" ref="M66" si="79">+L68</f>
        <v>3794.765957446808</v>
      </c>
      <c r="N66" s="332">
        <f t="shared" ref="N66" si="80">+M68</f>
        <v>3500</v>
      </c>
      <c r="O66" s="247"/>
      <c r="Q66" s="388"/>
    </row>
    <row r="67" spans="2:17" ht="16" x14ac:dyDescent="0.15">
      <c r="B67" s="340" t="s">
        <v>263</v>
      </c>
      <c r="C67" s="332">
        <f>IFERROR(VLOOKUP($B61,'Tab. 6'!$B$5:$D$7,3,0),0)*'Tab 5'!C$15+IFERROR(VLOOKUP($B61,'Tab. 6'!$B$12:$D$16,3,0),0)*'Tab 5'!C$28</f>
        <v>3608.3732687165466</v>
      </c>
      <c r="D67" s="332">
        <f>IFERROR(VLOOKUP($B61,'Tab. 6'!$B$5:$D$7,3,0),0)*'Tab 5'!D$15+IFERROR(VLOOKUP($B61,'Tab. 6'!$B$12:$D$16,3,0),0)*'Tab 5'!D$28</f>
        <v>3741.1687639396068</v>
      </c>
      <c r="E67" s="332">
        <f>IFERROR(VLOOKUP($B61,'Tab. 6'!$B$5:$D$7,3,0),0)*'Tab 5'!E$15+IFERROR(VLOOKUP($B61,'Tab. 6'!$B$12:$D$16,3,0),0)*'Tab 5'!E$28</f>
        <v>3919.3196574605463</v>
      </c>
      <c r="F67" s="332">
        <f>IFERROR(VLOOKUP($B61,'Tab. 6'!$B$5:$D$7,3,0),0)*'Tab 5'!F$15+IFERROR(VLOOKUP($B61,'Tab. 6'!$B$12:$D$16,3,0),0)*'Tab 5'!F$28</f>
        <v>3919.3196574605317</v>
      </c>
      <c r="G67" s="332">
        <f>IFERROR(VLOOKUP($B61,'Tab. 6'!$B$5:$D$7,3,0),0)*'Tab 5'!G$15+IFERROR(VLOOKUP($B61,'Tab. 6'!$B$12:$D$16,3,0),0)*'Tab 5'!G$28</f>
        <v>2503.4253543994564</v>
      </c>
      <c r="H67" s="332">
        <f>IFERROR(VLOOKUP($B61,'Tab. 6'!$B$5:$D$7,3,0),0)*'Tab 5'!H$15+IFERROR(VLOOKUP($B61,'Tab. 6'!$B$12:$D$16,3,0),0)*'Tab 5'!H$28</f>
        <v>4551.6595744680817</v>
      </c>
      <c r="I67" s="332">
        <f>IFERROR(VLOOKUP($B61,'Tab. 6'!$B$5:$D$7,3,0),0)*'Tab 5'!I$15+IFERROR(VLOOKUP($B61,'Tab. 6'!$B$12:$D$16,3,0),0)*'Tab 5'!I$28</f>
        <v>4001.6595744680872</v>
      </c>
      <c r="J67" s="332">
        <f>IFERROR(VLOOKUP($B61,'Tab. 6'!$B$5:$D$7,3,0),0)*'Tab 5'!J$15+IFERROR(VLOOKUP($B61,'Tab. 6'!$B$12:$D$16,3,0),0)*'Tab 5'!J$28</f>
        <v>2482.7234042553191</v>
      </c>
      <c r="K67" s="332">
        <f>IFERROR(VLOOKUP($B61,'Tab. 6'!$B$5:$D$7,3,0),0)*'Tab 5'!K$15+IFERROR(VLOOKUP($B61,'Tab. 6'!$B$12:$D$16,3,0),0)*'Tab 5'!K$28</f>
        <v>3008.4665511662315</v>
      </c>
      <c r="L67" s="332">
        <f>IFERROR(VLOOKUP($B61,'Tab. 6'!$B$5:$D$7,3,0),0)*'Tab 5'!L$15+IFERROR(VLOOKUP($B61,'Tab. 6'!$B$12:$D$16,3,0),0)*'Tab 5'!L$28</f>
        <v>4344.765957446808</v>
      </c>
      <c r="M67" s="332">
        <f>IFERROR(VLOOKUP($B61,'Tab. 6'!$B$5:$D$7,3,0),0)*'Tab 5'!M$15+IFERROR(VLOOKUP($B61,'Tab. 6'!$B$12:$D$16,3,0),0)*'Tab 5'!M$28</f>
        <v>3794.765957446808</v>
      </c>
      <c r="N67" s="332">
        <f>IFERROR(VLOOKUP($B61,'Tab. 6'!$B$5:$D$7,3,0),0)*'Tab 5'!N$15+IFERROR(VLOOKUP($B61,'Tab. 6'!$B$12:$D$16,3,0),0)*'Tab 5'!N$28</f>
        <v>2482.7234042553191</v>
      </c>
      <c r="O67" s="247">
        <f>SUM(C67:N67)</f>
        <v>42358.371125483332</v>
      </c>
      <c r="Q67" s="388">
        <f>IFERROR(VLOOKUP($B61,'Tab. 6'!$B$5:$D$7,3,0),0)*'Tab 5'!Q$15+IFERROR(VLOOKUP($B61,'Tab. 6'!$B$12:$D$16,3,0),0)*'Tab 5'!Q$28</f>
        <v>3956.575969005612</v>
      </c>
    </row>
    <row r="68" spans="2:17" ht="17" thickBot="1" x14ac:dyDescent="0.2">
      <c r="B68" s="340" t="s">
        <v>236</v>
      </c>
      <c r="C68" s="332">
        <f>+IF(D67&gt;=$C64,D67,$C64)</f>
        <v>3741.1687639396068</v>
      </c>
      <c r="D68" s="332">
        <f t="shared" ref="D68:G68" si="81">+IF(E67&gt;=$C64,E67,$C64)</f>
        <v>3919.3196574605463</v>
      </c>
      <c r="E68" s="332">
        <f t="shared" si="81"/>
        <v>3919.3196574605317</v>
      </c>
      <c r="F68" s="332">
        <f t="shared" si="81"/>
        <v>3500</v>
      </c>
      <c r="G68" s="332">
        <f t="shared" si="81"/>
        <v>4551.6595744680817</v>
      </c>
      <c r="H68" s="332">
        <f>+IF(I67&gt;=$C64,I67,$C64)</f>
        <v>4001.6595744680872</v>
      </c>
      <c r="I68" s="332">
        <f>+IF(J67&gt;=$C64,J67,$C64)</f>
        <v>3500</v>
      </c>
      <c r="J68" s="332">
        <f>+IF(K67&gt;=$C64,K67,$C64)</f>
        <v>3500</v>
      </c>
      <c r="K68" s="332">
        <f t="shared" ref="K68" si="82">+IF(L67&gt;=$C64,L67,$C64)</f>
        <v>4344.765957446808</v>
      </c>
      <c r="L68" s="332">
        <f>+IF(M67&gt;=$C64,M67,$C64)</f>
        <v>3794.765957446808</v>
      </c>
      <c r="M68" s="332">
        <f t="shared" ref="M68" si="83">+IF(N67&gt;=$C64,N67,$C64)</f>
        <v>3500</v>
      </c>
      <c r="N68" s="332">
        <f>+IF(Q67&gt;=$C64,Q67,$C64)</f>
        <v>3956.575969005612</v>
      </c>
      <c r="O68" s="247"/>
      <c r="Q68" s="389"/>
    </row>
    <row r="69" spans="2:17" ht="17" thickBot="1" x14ac:dyDescent="0.2">
      <c r="B69" s="341" t="s">
        <v>264</v>
      </c>
      <c r="C69" s="336">
        <f>(C68-C66+C67)</f>
        <v>3849.5420326561534</v>
      </c>
      <c r="D69" s="336">
        <f t="shared" ref="D69:N69" si="84">(D68-D66+D67)</f>
        <v>3919.3196574605463</v>
      </c>
      <c r="E69" s="336">
        <f t="shared" si="84"/>
        <v>3919.3196574605317</v>
      </c>
      <c r="F69" s="336">
        <f t="shared" si="84"/>
        <v>3500</v>
      </c>
      <c r="G69" s="336">
        <f t="shared" si="84"/>
        <v>3555.0849288675381</v>
      </c>
      <c r="H69" s="336">
        <f t="shared" si="84"/>
        <v>4001.6595744680872</v>
      </c>
      <c r="I69" s="336">
        <f t="shared" si="84"/>
        <v>3500</v>
      </c>
      <c r="J69" s="336">
        <f t="shared" si="84"/>
        <v>2482.7234042553191</v>
      </c>
      <c r="K69" s="336">
        <f t="shared" si="84"/>
        <v>3853.2325086130395</v>
      </c>
      <c r="L69" s="336">
        <f t="shared" si="84"/>
        <v>3794.765957446808</v>
      </c>
      <c r="M69" s="336">
        <f t="shared" si="84"/>
        <v>3500</v>
      </c>
      <c r="N69" s="336">
        <f t="shared" si="84"/>
        <v>2939.2993732609311</v>
      </c>
      <c r="O69" s="346">
        <f>SUM(C69:N69)</f>
        <v>42814.947094488954</v>
      </c>
    </row>
  </sheetData>
  <mergeCells count="1">
    <mergeCell ref="C5:O5"/>
  </mergeCells>
  <pageMargins left="0.25" right="0.25" top="0.75" bottom="0.75" header="0.3" footer="0.3"/>
  <pageSetup paperSize="9" scale="43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28B6-48AB-594D-B53F-B884DFE95C4A}">
  <sheetPr codeName="Foglio14">
    <pageSetUpPr fitToPage="1"/>
  </sheetPr>
  <dimension ref="B2:O66"/>
  <sheetViews>
    <sheetView showGridLines="0" topLeftCell="A40" zoomScale="170" zoomScaleNormal="170" workbookViewId="0">
      <selection activeCell="C60" sqref="C60"/>
    </sheetView>
  </sheetViews>
  <sheetFormatPr baseColWidth="10" defaultRowHeight="13" x14ac:dyDescent="0.15"/>
  <cols>
    <col min="2" max="2" width="29" bestFit="1" customWidth="1"/>
    <col min="3" max="4" width="12.1640625" bestFit="1" customWidth="1"/>
    <col min="15" max="15" width="12.6640625" bestFit="1" customWidth="1"/>
    <col min="16" max="16" width="2.1640625" customWidth="1"/>
  </cols>
  <sheetData>
    <row r="2" spans="2:15" ht="16" x14ac:dyDescent="0.15">
      <c r="B2" s="91" t="s">
        <v>272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2:15" x14ac:dyDescent="0.15"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2:15" ht="14" thickBot="1" x14ac:dyDescent="0.2"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2:15" ht="16" x14ac:dyDescent="0.15">
      <c r="B5" s="330"/>
      <c r="C5" s="1076" t="s">
        <v>196</v>
      </c>
      <c r="D5" s="1034"/>
      <c r="E5" s="1034"/>
      <c r="F5" s="1034"/>
      <c r="G5" s="1034"/>
      <c r="H5" s="1034"/>
      <c r="I5" s="1034"/>
      <c r="J5" s="1034"/>
      <c r="K5" s="1034"/>
      <c r="L5" s="1034"/>
      <c r="M5" s="1034"/>
      <c r="N5" s="1034"/>
      <c r="O5" s="1035"/>
    </row>
    <row r="6" spans="2:15" ht="16" x14ac:dyDescent="0.15">
      <c r="B6" s="339"/>
      <c r="C6" s="337" t="s">
        <v>211</v>
      </c>
      <c r="D6" s="337" t="s">
        <v>212</v>
      </c>
      <c r="E6" s="337" t="s">
        <v>213</v>
      </c>
      <c r="F6" s="337" t="s">
        <v>214</v>
      </c>
      <c r="G6" s="337" t="s">
        <v>215</v>
      </c>
      <c r="H6" s="337" t="s">
        <v>216</v>
      </c>
      <c r="I6" s="337" t="s">
        <v>217</v>
      </c>
      <c r="J6" s="337" t="s">
        <v>218</v>
      </c>
      <c r="K6" s="337" t="s">
        <v>219</v>
      </c>
      <c r="L6" s="337" t="s">
        <v>220</v>
      </c>
      <c r="M6" s="337" t="s">
        <v>221</v>
      </c>
      <c r="N6" s="337" t="s">
        <v>222</v>
      </c>
      <c r="O6" s="342" t="s">
        <v>179</v>
      </c>
    </row>
    <row r="7" spans="2:15" ht="16" x14ac:dyDescent="0.15">
      <c r="B7" s="376" t="s">
        <v>242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338"/>
    </row>
    <row r="8" spans="2:15" ht="16" x14ac:dyDescent="0.15">
      <c r="B8" s="378" t="s">
        <v>269</v>
      </c>
      <c r="C8" s="401">
        <f>VLOOKUP(B7,'Tab. 6'!$B$5:$F$16,4,0)</f>
        <v>5</v>
      </c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338"/>
    </row>
    <row r="9" spans="2:15" ht="16" x14ac:dyDescent="0.15">
      <c r="B9" s="230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338"/>
    </row>
    <row r="10" spans="2:15" ht="16" x14ac:dyDescent="0.15">
      <c r="B10" s="230" t="s">
        <v>231</v>
      </c>
      <c r="C10" s="402">
        <f>C8*'Tab. 7'!C12</f>
        <v>245000</v>
      </c>
      <c r="D10" s="403">
        <f>+C13</f>
        <v>225433.09185169285</v>
      </c>
      <c r="E10" s="403">
        <f t="shared" ref="E10:N10" si="0">+D13</f>
        <v>252776.97095058349</v>
      </c>
      <c r="F10" s="403">
        <f t="shared" si="0"/>
        <v>232247.48936170212</v>
      </c>
      <c r="G10" s="403">
        <f t="shared" si="0"/>
        <v>232247.48936170214</v>
      </c>
      <c r="H10" s="403">
        <f>+G13</f>
        <v>243306.89361702104</v>
      </c>
      <c r="I10" s="403">
        <f t="shared" si="0"/>
        <v>225000</v>
      </c>
      <c r="J10" s="403">
        <f t="shared" si="0"/>
        <v>225000</v>
      </c>
      <c r="K10" s="403">
        <f t="shared" si="0"/>
        <v>228759.75289507557</v>
      </c>
      <c r="L10" s="403">
        <f t="shared" si="0"/>
        <v>225000.00000000003</v>
      </c>
      <c r="M10" s="403">
        <f t="shared" si="0"/>
        <v>225000.00000000003</v>
      </c>
      <c r="N10" s="403">
        <f t="shared" si="0"/>
        <v>225000.00000000003</v>
      </c>
      <c r="O10" s="247"/>
    </row>
    <row r="11" spans="2:15" ht="16" x14ac:dyDescent="0.15">
      <c r="B11" s="340" t="s">
        <v>270</v>
      </c>
      <c r="C11" s="402">
        <f>$C8*'Tab. 7'!C13</f>
        <v>199069.27659574465</v>
      </c>
      <c r="D11" s="402">
        <f>$C8*'Tab. 7'!D13</f>
        <v>225433.09185169285</v>
      </c>
      <c r="E11" s="402">
        <f>$C8*'Tab. 7'!E13</f>
        <v>252776.97095058349</v>
      </c>
      <c r="F11" s="402">
        <f>$C8*'Tab. 7'!F13</f>
        <v>232247.48936170212</v>
      </c>
      <c r="G11" s="402">
        <f>$C8*'Tab. 7'!G13</f>
        <v>232247.48936170214</v>
      </c>
      <c r="H11" s="402">
        <f>$C8*'Tab. 7'!H13</f>
        <v>243306.89361702104</v>
      </c>
      <c r="I11" s="402">
        <f>$C8*'Tab. 7'!I13</f>
        <v>213906.89361702139</v>
      </c>
      <c r="J11" s="402">
        <f>$C8*'Tab. 7'!J13</f>
        <v>132712.85106382976</v>
      </c>
      <c r="K11" s="402">
        <f>$C8*'Tab. 7'!K13</f>
        <v>228759.75289507554</v>
      </c>
      <c r="L11" s="402">
        <f>$C8*'Tab. 7'!L13</f>
        <v>201786.90254188405</v>
      </c>
      <c r="M11" s="402">
        <f>$C8*'Tab. 7'!M13</f>
        <v>202847.48936170214</v>
      </c>
      <c r="N11" s="402">
        <f>$C8*'Tab. 7'!N13</f>
        <v>132712.85106382976</v>
      </c>
      <c r="O11" s="251">
        <f>SUM(C11:N11)</f>
        <v>2497807.9522817889</v>
      </c>
    </row>
    <row r="12" spans="2:15" ht="17" thickBot="1" x14ac:dyDescent="0.2">
      <c r="B12" s="340" t="s">
        <v>271</v>
      </c>
      <c r="C12" s="403">
        <f>$C8*'Tab. 7'!C15</f>
        <v>179502.3684474375</v>
      </c>
      <c r="D12" s="403">
        <f>$C8*'Tab. 7'!D15</f>
        <v>252776.97095058349</v>
      </c>
      <c r="E12" s="403">
        <f>$C8*'Tab. 7'!E15</f>
        <v>232247.48936170212</v>
      </c>
      <c r="F12" s="403">
        <f>$C8*'Tab. 7'!F15</f>
        <v>232247.48936170214</v>
      </c>
      <c r="G12" s="403">
        <f>$C8*'Tab. 7'!G15</f>
        <v>243306.89361702104</v>
      </c>
      <c r="H12" s="403">
        <f>$C8*'Tab. 7'!H15</f>
        <v>225000</v>
      </c>
      <c r="I12" s="403">
        <f>$C8*'Tab. 7'!I15</f>
        <v>213906.89361702139</v>
      </c>
      <c r="J12" s="403">
        <f>$C8*'Tab. 7'!J15</f>
        <v>136472.60395890533</v>
      </c>
      <c r="K12" s="403">
        <f>$C8*'Tab. 7'!K15</f>
        <v>225000</v>
      </c>
      <c r="L12" s="403">
        <f>$C8*'Tab. 7'!L15</f>
        <v>201786.90254188405</v>
      </c>
      <c r="M12" s="403">
        <f>$C8*'Tab. 7'!M15</f>
        <v>202847.48936170214</v>
      </c>
      <c r="N12" s="403">
        <f>$C8*'Tab. 7'!N15</f>
        <v>153829.42569317951</v>
      </c>
      <c r="O12" s="251">
        <f>SUM(C12:N12)</f>
        <v>2498924.5269111386</v>
      </c>
    </row>
    <row r="13" spans="2:15" ht="17" thickBot="1" x14ac:dyDescent="0.2">
      <c r="B13" s="341" t="s">
        <v>236</v>
      </c>
      <c r="C13" s="756">
        <f>C10-C11+C12</f>
        <v>225433.09185169285</v>
      </c>
      <c r="D13" s="756">
        <f>D10-D11+D12</f>
        <v>252776.97095058349</v>
      </c>
      <c r="E13" s="756">
        <f t="shared" ref="E13" si="1">E10-E11+E12</f>
        <v>232247.48936170212</v>
      </c>
      <c r="F13" s="756">
        <f t="shared" ref="F13" si="2">F10-F11+F12</f>
        <v>232247.48936170214</v>
      </c>
      <c r="G13" s="756">
        <f t="shared" ref="G13" si="3">G10-G11+G12</f>
        <v>243306.89361702104</v>
      </c>
      <c r="H13" s="756">
        <f t="shared" ref="H13" si="4">H10-H11+H12</f>
        <v>225000</v>
      </c>
      <c r="I13" s="756">
        <f t="shared" ref="I13" si="5">I10-I11+I12</f>
        <v>225000</v>
      </c>
      <c r="J13" s="756">
        <f t="shared" ref="J13" si="6">J10-J11+J12</f>
        <v>228759.75289507557</v>
      </c>
      <c r="K13" s="756">
        <f t="shared" ref="K13" si="7">K10-K11+K12</f>
        <v>225000.00000000003</v>
      </c>
      <c r="L13" s="756">
        <f t="shared" ref="L13" si="8">L10-L11+L12</f>
        <v>225000.00000000003</v>
      </c>
      <c r="M13" s="756">
        <f t="shared" ref="M13" si="9">M10-M11+M12</f>
        <v>225000.00000000003</v>
      </c>
      <c r="N13" s="756">
        <f t="shared" ref="N13" si="10">N10-N11+N12</f>
        <v>246116.57462934978</v>
      </c>
      <c r="O13" s="346"/>
    </row>
    <row r="14" spans="2:15" ht="16" x14ac:dyDescent="0.15">
      <c r="B14" s="376" t="s">
        <v>243</v>
      </c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338"/>
    </row>
    <row r="15" spans="2:15" ht="16" x14ac:dyDescent="0.15">
      <c r="B15" s="378" t="s">
        <v>269</v>
      </c>
      <c r="C15" s="401">
        <f>VLOOKUP(B14,'Tab. 6'!$B$5:$F$16,4,0)</f>
        <v>74.999650000000003</v>
      </c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338"/>
    </row>
    <row r="16" spans="2:15" ht="16" x14ac:dyDescent="0.15">
      <c r="B16" s="230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338"/>
    </row>
    <row r="17" spans="2:15" ht="16" x14ac:dyDescent="0.15">
      <c r="B17" s="230" t="s">
        <v>231</v>
      </c>
      <c r="C17" s="402">
        <f>C15*'Tab. 7'!C21</f>
        <v>4499979</v>
      </c>
      <c r="D17" s="403">
        <f>+C20</f>
        <v>4499979</v>
      </c>
      <c r="E17" s="403">
        <f t="shared" ref="E17:G17" si="11">+D20</f>
        <v>4499979</v>
      </c>
      <c r="F17" s="403">
        <f t="shared" si="11"/>
        <v>4499979</v>
      </c>
      <c r="G17" s="403">
        <f t="shared" si="11"/>
        <v>4499979</v>
      </c>
      <c r="H17" s="403">
        <f>+G20</f>
        <v>4499979</v>
      </c>
      <c r="I17" s="403">
        <f t="shared" ref="I17:N17" si="12">+H20</f>
        <v>4499979</v>
      </c>
      <c r="J17" s="403">
        <f t="shared" si="12"/>
        <v>4499979</v>
      </c>
      <c r="K17" s="403">
        <f t="shared" si="12"/>
        <v>4499979</v>
      </c>
      <c r="L17" s="403">
        <f t="shared" si="12"/>
        <v>4499979</v>
      </c>
      <c r="M17" s="403">
        <f t="shared" si="12"/>
        <v>4499979</v>
      </c>
      <c r="N17" s="403">
        <f t="shared" si="12"/>
        <v>4499979</v>
      </c>
      <c r="O17" s="247"/>
    </row>
    <row r="18" spans="2:15" ht="16" x14ac:dyDescent="0.15">
      <c r="B18" s="340" t="s">
        <v>270</v>
      </c>
      <c r="C18" s="402">
        <f>$C15*'Tab. 7'!C22</f>
        <v>3981366.9521157448</v>
      </c>
      <c r="D18" s="402">
        <f>$C15*'Tab. 7'!D22</f>
        <v>4508640.7966119507</v>
      </c>
      <c r="E18" s="402">
        <f>$C15*'Tab. 7'!E22</f>
        <v>5055515.8264943808</v>
      </c>
      <c r="F18" s="402">
        <f>$C15*'Tab. 7'!F22</f>
        <v>4644928.1108017014</v>
      </c>
      <c r="G18" s="402">
        <f>$C15*'Tab. 7'!G22</f>
        <v>4644928.1108017024</v>
      </c>
      <c r="H18" s="402">
        <f>$C15*'Tab. 7'!H22</f>
        <v>4866115.1636970174</v>
      </c>
      <c r="I18" s="402">
        <f>$C15*'Tab. 7'!I22</f>
        <v>4278117.9076970238</v>
      </c>
      <c r="J18" s="402">
        <f>$C15*'Tab. 7'!J22</f>
        <v>2654244.6347438297</v>
      </c>
      <c r="K18" s="402">
        <f>$C15*'Tab. 7'!K22</f>
        <v>4575173.7069912404</v>
      </c>
      <c r="L18" s="402">
        <f>$C15*'Tab. 7'!L22</f>
        <v>4035719.2173934439</v>
      </c>
      <c r="M18" s="402">
        <f>$C15*'Tab. 7'!M22</f>
        <v>4056930.8548017023</v>
      </c>
      <c r="N18" s="402">
        <f>$C15*'Tab. 7'!N22</f>
        <v>2654244.6347438297</v>
      </c>
      <c r="O18" s="251">
        <f>SUM(C18:N18)</f>
        <v>49955925.916893572</v>
      </c>
    </row>
    <row r="19" spans="2:15" ht="17" thickBot="1" x14ac:dyDescent="0.2">
      <c r="B19" s="340" t="s">
        <v>271</v>
      </c>
      <c r="C19" s="403">
        <f>$C15*'Tab. 7'!C24</f>
        <v>3981366.9521157448</v>
      </c>
      <c r="D19" s="403">
        <f>$C15*'Tab. 7'!D24</f>
        <v>4508640.7966119507</v>
      </c>
      <c r="E19" s="403">
        <f>$C15*'Tab. 7'!E24</f>
        <v>5055515.8264943808</v>
      </c>
      <c r="F19" s="403">
        <f>$C15*'Tab. 7'!F24</f>
        <v>4644928.1108017014</v>
      </c>
      <c r="G19" s="403">
        <f>$C15*'Tab. 7'!G24</f>
        <v>4644928.1108017024</v>
      </c>
      <c r="H19" s="403">
        <f>$C15*'Tab. 7'!H24</f>
        <v>4866115.1636970174</v>
      </c>
      <c r="I19" s="403">
        <f>$C15*'Tab. 7'!I24</f>
        <v>4278117.9076970238</v>
      </c>
      <c r="J19" s="403">
        <f>$C15*'Tab. 7'!J24</f>
        <v>2654244.6347438297</v>
      </c>
      <c r="K19" s="403">
        <f>$C15*'Tab. 7'!K24</f>
        <v>4575173.7069912404</v>
      </c>
      <c r="L19" s="403">
        <f>$C15*'Tab. 7'!L24</f>
        <v>4035719.2173934439</v>
      </c>
      <c r="M19" s="403">
        <f>$C15*'Tab. 7'!M24</f>
        <v>4056930.8548017023</v>
      </c>
      <c r="N19" s="403">
        <f>$C15*'Tab. 7'!N24</f>
        <v>2654244.6347438297</v>
      </c>
      <c r="O19" s="251">
        <f>SUM(C19:N19)</f>
        <v>49955925.916893572</v>
      </c>
    </row>
    <row r="20" spans="2:15" ht="17" thickBot="1" x14ac:dyDescent="0.2">
      <c r="B20" s="341" t="s">
        <v>236</v>
      </c>
      <c r="C20" s="756">
        <f>C17-C18+C19</f>
        <v>4499979</v>
      </c>
      <c r="D20" s="756">
        <f>D17-D18+D19</f>
        <v>4499979</v>
      </c>
      <c r="E20" s="756">
        <f t="shared" ref="E20" si="13">E17-E18+E19</f>
        <v>4499979</v>
      </c>
      <c r="F20" s="756">
        <f t="shared" ref="F20" si="14">F17-F18+F19</f>
        <v>4499979</v>
      </c>
      <c r="G20" s="756">
        <f t="shared" ref="G20" si="15">G17-G18+G19</f>
        <v>4499979</v>
      </c>
      <c r="H20" s="756">
        <f t="shared" ref="H20" si="16">H17-H18+H19</f>
        <v>4499979</v>
      </c>
      <c r="I20" s="756">
        <f t="shared" ref="I20" si="17">I17-I18+I19</f>
        <v>4499979</v>
      </c>
      <c r="J20" s="756">
        <f t="shared" ref="J20" si="18">J17-J18+J19</f>
        <v>4499979</v>
      </c>
      <c r="K20" s="756">
        <f t="shared" ref="K20" si="19">K17-K18+K19</f>
        <v>4499979</v>
      </c>
      <c r="L20" s="756">
        <f t="shared" ref="L20" si="20">L17-L18+L19</f>
        <v>4499979</v>
      </c>
      <c r="M20" s="756">
        <f t="shared" ref="M20" si="21">M17-M18+M19</f>
        <v>4499979</v>
      </c>
      <c r="N20" s="756">
        <f t="shared" ref="N20" si="22">N17-N18+N19</f>
        <v>4499979</v>
      </c>
      <c r="O20" s="346"/>
    </row>
    <row r="21" spans="2:15" ht="16" x14ac:dyDescent="0.15">
      <c r="B21" s="376" t="s">
        <v>244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338"/>
    </row>
    <row r="22" spans="2:15" ht="16" x14ac:dyDescent="0.15">
      <c r="B22" s="378" t="s">
        <v>269</v>
      </c>
      <c r="C22" s="401">
        <f>VLOOKUP(B21,'Tab. 6'!$B$5:$F$16,4,0)</f>
        <v>30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338"/>
    </row>
    <row r="23" spans="2:15" ht="16" x14ac:dyDescent="0.15">
      <c r="B23" s="230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338"/>
    </row>
    <row r="24" spans="2:15" ht="16" x14ac:dyDescent="0.15">
      <c r="B24" s="230" t="s">
        <v>231</v>
      </c>
      <c r="C24" s="402">
        <f>C22*'Tab. 7'!C30</f>
        <v>1884000</v>
      </c>
      <c r="D24" s="403">
        <f>+C27</f>
        <v>1884000</v>
      </c>
      <c r="E24" s="403">
        <f t="shared" ref="E24:G24" si="23">+D27</f>
        <v>1884000</v>
      </c>
      <c r="F24" s="403">
        <f t="shared" si="23"/>
        <v>1884000</v>
      </c>
      <c r="G24" s="403">
        <f t="shared" si="23"/>
        <v>1884000</v>
      </c>
      <c r="H24" s="403">
        <f>+G27</f>
        <v>1884000</v>
      </c>
      <c r="I24" s="403">
        <f t="shared" ref="I24:N24" si="24">+H27</f>
        <v>1884000</v>
      </c>
      <c r="J24" s="403">
        <f t="shared" si="24"/>
        <v>1884000</v>
      </c>
      <c r="K24" s="403">
        <f t="shared" si="24"/>
        <v>1884000</v>
      </c>
      <c r="L24" s="403">
        <f t="shared" si="24"/>
        <v>1884000</v>
      </c>
      <c r="M24" s="403">
        <f t="shared" si="24"/>
        <v>1884000</v>
      </c>
      <c r="N24" s="403">
        <f t="shared" si="24"/>
        <v>1884000</v>
      </c>
      <c r="O24" s="247"/>
    </row>
    <row r="25" spans="2:15" ht="16" x14ac:dyDescent="0.15">
      <c r="B25" s="340" t="s">
        <v>270</v>
      </c>
      <c r="C25" s="402">
        <f>$C22*'Tab. 7'!C31</f>
        <v>1679155.1712151547</v>
      </c>
      <c r="D25" s="402">
        <f>$C22*'Tab. 7'!D31</f>
        <v>1893252.7851480932</v>
      </c>
      <c r="E25" s="402">
        <f>$C22*'Tab. 7'!E31</f>
        <v>2116279.439383721</v>
      </c>
      <c r="F25" s="402">
        <f>$C22*'Tab. 7'!F31</f>
        <v>1952043.5866726695</v>
      </c>
      <c r="G25" s="402">
        <f>$C22*'Tab. 7'!G31</f>
        <v>1918062.1233992041</v>
      </c>
      <c r="H25" s="402">
        <f>$C22*'Tab. 7'!H31</f>
        <v>2055694.9787234024</v>
      </c>
      <c r="I25" s="402">
        <f>$C22*'Tab. 7'!I31</f>
        <v>1807294.9787234052</v>
      </c>
      <c r="J25" s="402">
        <f>$C22*'Tab. 7'!J31</f>
        <v>1121288.1702127659</v>
      </c>
      <c r="K25" s="402">
        <f>$C22*'Tab. 7'!K31</f>
        <v>1902281.2203885939</v>
      </c>
      <c r="L25" s="402">
        <f>$C22*'Tab. 7'!L31</f>
        <v>1718569.6033137958</v>
      </c>
      <c r="M25" s="402">
        <f>$C22*'Tab. 7'!M31</f>
        <v>1713854.2978723403</v>
      </c>
      <c r="N25" s="402">
        <f>$C22*'Tab. 7'!N31</f>
        <v>1121288.1702127659</v>
      </c>
      <c r="O25" s="251">
        <f>SUM(C25:N25)</f>
        <v>20999064.525265906</v>
      </c>
    </row>
    <row r="26" spans="2:15" ht="17" thickBot="1" x14ac:dyDescent="0.2">
      <c r="B26" s="340" t="s">
        <v>271</v>
      </c>
      <c r="C26" s="403">
        <f>$C22*'Tab. 7'!C33</f>
        <v>1679155.1712151547</v>
      </c>
      <c r="D26" s="403">
        <f>$C22*'Tab. 7'!D33</f>
        <v>1893252.7851480932</v>
      </c>
      <c r="E26" s="403">
        <f>$C22*'Tab. 7'!E33</f>
        <v>2116279.439383721</v>
      </c>
      <c r="F26" s="403">
        <f>$C22*'Tab. 7'!F33</f>
        <v>1952043.5866726695</v>
      </c>
      <c r="G26" s="403">
        <f>$C22*'Tab. 7'!G33</f>
        <v>1918062.1233992041</v>
      </c>
      <c r="H26" s="403">
        <f>$C22*'Tab. 7'!H33</f>
        <v>2055694.9787234024</v>
      </c>
      <c r="I26" s="403">
        <f>$C22*'Tab. 7'!I33</f>
        <v>1807294.9787234052</v>
      </c>
      <c r="J26" s="403">
        <f>$C22*'Tab. 7'!J33</f>
        <v>1121288.1702127659</v>
      </c>
      <c r="K26" s="403">
        <f>$C22*'Tab. 7'!K33</f>
        <v>1902281.2203885939</v>
      </c>
      <c r="L26" s="403">
        <f>$C22*'Tab. 7'!L33</f>
        <v>1718569.6033137958</v>
      </c>
      <c r="M26" s="403">
        <f>$C22*'Tab. 7'!M33</f>
        <v>1713854.2978723403</v>
      </c>
      <c r="N26" s="403">
        <f>$C22*'Tab. 7'!N33</f>
        <v>1121288.1702127659</v>
      </c>
      <c r="O26" s="251">
        <f>SUM(C26:N26)</f>
        <v>20999064.525265906</v>
      </c>
    </row>
    <row r="27" spans="2:15" ht="17" thickBot="1" x14ac:dyDescent="0.2">
      <c r="B27" s="341" t="s">
        <v>236</v>
      </c>
      <c r="C27" s="756">
        <f>C24-C25+C26</f>
        <v>1884000</v>
      </c>
      <c r="D27" s="756">
        <f>D24-D25+D26</f>
        <v>1884000</v>
      </c>
      <c r="E27" s="756">
        <f t="shared" ref="E27" si="25">E24-E25+E26</f>
        <v>1884000</v>
      </c>
      <c r="F27" s="756">
        <f t="shared" ref="F27" si="26">F24-F25+F26</f>
        <v>1884000</v>
      </c>
      <c r="G27" s="756">
        <f t="shared" ref="G27" si="27">G24-G25+G26</f>
        <v>1884000</v>
      </c>
      <c r="H27" s="756">
        <f t="shared" ref="H27" si="28">H24-H25+H26</f>
        <v>1884000</v>
      </c>
      <c r="I27" s="756">
        <f t="shared" ref="I27" si="29">I24-I25+I26</f>
        <v>1884000</v>
      </c>
      <c r="J27" s="756">
        <f t="shared" ref="J27" si="30">J24-J25+J26</f>
        <v>1884000</v>
      </c>
      <c r="K27" s="756">
        <f t="shared" ref="K27" si="31">K24-K25+K26</f>
        <v>1884000</v>
      </c>
      <c r="L27" s="756">
        <f t="shared" ref="L27" si="32">L24-L25+L26</f>
        <v>1884000</v>
      </c>
      <c r="M27" s="756">
        <f t="shared" ref="M27" si="33">M24-M25+M26</f>
        <v>1884000</v>
      </c>
      <c r="N27" s="756">
        <f t="shared" ref="N27" si="34">N24-N25+N26</f>
        <v>1884000</v>
      </c>
      <c r="O27" s="346"/>
    </row>
    <row r="28" spans="2:15" ht="16" x14ac:dyDescent="0.15">
      <c r="B28" s="376" t="s">
        <v>190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338"/>
    </row>
    <row r="29" spans="2:15" ht="16" x14ac:dyDescent="0.15">
      <c r="B29" s="378" t="s">
        <v>269</v>
      </c>
      <c r="C29" s="401">
        <f>VLOOKUP(B28,'Tab. 6'!$B$5:$F$16,4,0)</f>
        <v>50</v>
      </c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338"/>
    </row>
    <row r="30" spans="2:15" ht="16" x14ac:dyDescent="0.15">
      <c r="B30" s="230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338"/>
    </row>
    <row r="31" spans="2:15" ht="16" x14ac:dyDescent="0.15">
      <c r="B31" s="230" t="s">
        <v>231</v>
      </c>
      <c r="C31" s="402">
        <f>C29*'Tab. 7'!C39</f>
        <v>175000</v>
      </c>
      <c r="D31" s="403">
        <f>+C34</f>
        <v>175000</v>
      </c>
      <c r="E31" s="403">
        <f t="shared" ref="E31:G31" si="35">+D34</f>
        <v>175000</v>
      </c>
      <c r="F31" s="403">
        <f t="shared" si="35"/>
        <v>175000</v>
      </c>
      <c r="G31" s="403">
        <f t="shared" si="35"/>
        <v>175000</v>
      </c>
      <c r="H31" s="403">
        <f>+G34</f>
        <v>175000</v>
      </c>
      <c r="I31" s="403">
        <f t="shared" ref="I31:N31" si="36">+H34</f>
        <v>175000</v>
      </c>
      <c r="J31" s="403">
        <f t="shared" si="36"/>
        <v>175000</v>
      </c>
      <c r="K31" s="403">
        <f t="shared" si="36"/>
        <v>175000</v>
      </c>
      <c r="L31" s="403">
        <f t="shared" si="36"/>
        <v>175000</v>
      </c>
      <c r="M31" s="403">
        <f t="shared" si="36"/>
        <v>175000</v>
      </c>
      <c r="N31" s="403">
        <f t="shared" si="36"/>
        <v>175000</v>
      </c>
      <c r="O31" s="247"/>
    </row>
    <row r="32" spans="2:15" ht="16" x14ac:dyDescent="0.15">
      <c r="B32" s="340" t="s">
        <v>270</v>
      </c>
      <c r="C32" s="402">
        <f>$C29*'Tab. 7'!C40</f>
        <v>90209.331717913665</v>
      </c>
      <c r="D32" s="402">
        <f>$C29*'Tab. 7'!D40</f>
        <v>93529.219098490168</v>
      </c>
      <c r="E32" s="402">
        <f>$C29*'Tab. 7'!E40</f>
        <v>97982.991436513665</v>
      </c>
      <c r="F32" s="402">
        <f>$C29*'Tab. 7'!F40</f>
        <v>97982.991436513286</v>
      </c>
      <c r="G32" s="402">
        <f>$C29*'Tab. 7'!G40</f>
        <v>62585.63385998641</v>
      </c>
      <c r="H32" s="402">
        <f>$C29*'Tab. 7'!H40</f>
        <v>113791.48936170204</v>
      </c>
      <c r="I32" s="402">
        <f>$C29*'Tab. 7'!I40</f>
        <v>100041.48936170217</v>
      </c>
      <c r="J32" s="402">
        <f>$C29*'Tab. 7'!J40</f>
        <v>62068.085106382976</v>
      </c>
      <c r="K32" s="402">
        <f>$C29*'Tab. 7'!K40</f>
        <v>75211.663779155788</v>
      </c>
      <c r="L32" s="402">
        <f>$C29*'Tab. 7'!L40</f>
        <v>108619.1489361702</v>
      </c>
      <c r="M32" s="402">
        <f>$C29*'Tab. 7'!M40</f>
        <v>94869.148936170197</v>
      </c>
      <c r="N32" s="402">
        <f>$C29*'Tab. 7'!N40</f>
        <v>62068.085106382976</v>
      </c>
      <c r="O32" s="251">
        <f>SUM(C32:N32)</f>
        <v>1058959.2781370834</v>
      </c>
    </row>
    <row r="33" spans="2:15" ht="17" thickBot="1" x14ac:dyDescent="0.2">
      <c r="B33" s="340" t="s">
        <v>271</v>
      </c>
      <c r="C33" s="403">
        <f>$C29*'Tab. 7'!C42</f>
        <v>90209.331717913665</v>
      </c>
      <c r="D33" s="403">
        <f>$C29*'Tab. 7'!D42</f>
        <v>93529.219098490168</v>
      </c>
      <c r="E33" s="403">
        <f>$C29*'Tab. 7'!E42</f>
        <v>97982.991436513665</v>
      </c>
      <c r="F33" s="403">
        <f>$C29*'Tab. 7'!F42</f>
        <v>97982.991436513286</v>
      </c>
      <c r="G33" s="403">
        <f>$C29*'Tab. 7'!G42</f>
        <v>62585.63385998641</v>
      </c>
      <c r="H33" s="403">
        <f>$C29*'Tab. 7'!H42</f>
        <v>113791.48936170204</v>
      </c>
      <c r="I33" s="403">
        <f>$C29*'Tab. 7'!I42</f>
        <v>100041.48936170217</v>
      </c>
      <c r="J33" s="403">
        <f>$C29*'Tab. 7'!J42</f>
        <v>62068.085106382976</v>
      </c>
      <c r="K33" s="403">
        <f>$C29*'Tab. 7'!K42</f>
        <v>75211.663779155788</v>
      </c>
      <c r="L33" s="403">
        <f>$C29*'Tab. 7'!L42</f>
        <v>108619.1489361702</v>
      </c>
      <c r="M33" s="403">
        <f>$C29*'Tab. 7'!M42</f>
        <v>94869.148936170197</v>
      </c>
      <c r="N33" s="403">
        <f>$C29*'Tab. 7'!N42</f>
        <v>62068.085106382976</v>
      </c>
      <c r="O33" s="251">
        <f>SUM(C33:N33)</f>
        <v>1058959.2781370834</v>
      </c>
    </row>
    <row r="34" spans="2:15" ht="17" thickBot="1" x14ac:dyDescent="0.2">
      <c r="B34" s="341" t="s">
        <v>236</v>
      </c>
      <c r="C34" s="756">
        <f>C31-C32+C33</f>
        <v>175000</v>
      </c>
      <c r="D34" s="756">
        <f>D31-D32+D33</f>
        <v>175000</v>
      </c>
      <c r="E34" s="756">
        <f t="shared" ref="E34" si="37">E31-E32+E33</f>
        <v>175000</v>
      </c>
      <c r="F34" s="756">
        <f t="shared" ref="F34" si="38">F31-F32+F33</f>
        <v>175000</v>
      </c>
      <c r="G34" s="756">
        <f t="shared" ref="G34" si="39">G31-G32+G33</f>
        <v>175000</v>
      </c>
      <c r="H34" s="756">
        <f t="shared" ref="H34" si="40">H31-H32+H33</f>
        <v>175000</v>
      </c>
      <c r="I34" s="756">
        <f t="shared" ref="I34" si="41">I31-I32+I33</f>
        <v>175000</v>
      </c>
      <c r="J34" s="756">
        <f t="shared" ref="J34" si="42">J31-J32+J33</f>
        <v>175000</v>
      </c>
      <c r="K34" s="756">
        <f t="shared" ref="K34" si="43">K31-K32+K33</f>
        <v>175000</v>
      </c>
      <c r="L34" s="756">
        <f t="shared" ref="L34" si="44">L31-L32+L33</f>
        <v>175000</v>
      </c>
      <c r="M34" s="756">
        <f t="shared" ref="M34" si="45">M31-M32+M33</f>
        <v>175000</v>
      </c>
      <c r="N34" s="756">
        <f t="shared" ref="N34" si="46">N31-N32+N33</f>
        <v>175000</v>
      </c>
      <c r="O34" s="346"/>
    </row>
    <row r="35" spans="2:15" ht="16" x14ac:dyDescent="0.15">
      <c r="B35" s="376" t="s">
        <v>250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338"/>
    </row>
    <row r="36" spans="2:15" ht="16" x14ac:dyDescent="0.15">
      <c r="B36" s="378" t="s">
        <v>269</v>
      </c>
      <c r="C36" s="401">
        <f>VLOOKUP(B35,'Tab. 6'!$B$5:$F$16,4,0)</f>
        <v>15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338"/>
    </row>
    <row r="37" spans="2:15" ht="16" x14ac:dyDescent="0.15">
      <c r="B37" s="230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338"/>
    </row>
    <row r="38" spans="2:15" ht="16" x14ac:dyDescent="0.15">
      <c r="B38" s="230" t="s">
        <v>231</v>
      </c>
      <c r="C38" s="402">
        <f>C36*'Tab. 7'!C48</f>
        <v>105000</v>
      </c>
      <c r="D38" s="403">
        <f>+C41</f>
        <v>112235.06291818821</v>
      </c>
      <c r="E38" s="403">
        <f t="shared" ref="E38:G38" si="47">+D41</f>
        <v>117579.58972381639</v>
      </c>
      <c r="F38" s="403">
        <f t="shared" si="47"/>
        <v>117579.58972381595</v>
      </c>
      <c r="G38" s="403">
        <f t="shared" si="47"/>
        <v>105000.03</v>
      </c>
      <c r="H38" s="403">
        <f>+G41</f>
        <v>136549.78723404245</v>
      </c>
      <c r="I38" s="403">
        <f t="shared" ref="I38:N38" si="48">+H41</f>
        <v>120049.78723404261</v>
      </c>
      <c r="J38" s="403">
        <f t="shared" si="48"/>
        <v>105000.03</v>
      </c>
      <c r="K38" s="403">
        <f t="shared" si="48"/>
        <v>105000.03</v>
      </c>
      <c r="L38" s="403">
        <f t="shared" si="48"/>
        <v>130342.97872340425</v>
      </c>
      <c r="M38" s="403">
        <f t="shared" si="48"/>
        <v>113842.97872340425</v>
      </c>
      <c r="N38" s="403">
        <f t="shared" si="48"/>
        <v>105000.03</v>
      </c>
      <c r="O38" s="247"/>
    </row>
    <row r="39" spans="2:15" ht="16" x14ac:dyDescent="0.15">
      <c r="B39" s="340" t="s">
        <v>270</v>
      </c>
      <c r="C39" s="402">
        <f>$C36*'Tab. 7'!C49</f>
        <v>108251.1980614964</v>
      </c>
      <c r="D39" s="402">
        <f>$C36*'Tab. 7'!D49</f>
        <v>112235.06291818821</v>
      </c>
      <c r="E39" s="402">
        <f>$C36*'Tab. 7'!E49</f>
        <v>117579.58972381639</v>
      </c>
      <c r="F39" s="402">
        <f>$C36*'Tab. 7'!F49</f>
        <v>117579.58972381595</v>
      </c>
      <c r="G39" s="402">
        <f>$C36*'Tab. 7'!G49</f>
        <v>75102.760631983692</v>
      </c>
      <c r="H39" s="402">
        <f>$C36*'Tab. 7'!H49</f>
        <v>136549.78723404245</v>
      </c>
      <c r="I39" s="402">
        <f>$C36*'Tab. 7'!I49</f>
        <v>120049.78723404261</v>
      </c>
      <c r="J39" s="402">
        <f>$C36*'Tab. 7'!J49</f>
        <v>74481.702127659577</v>
      </c>
      <c r="K39" s="402">
        <f>$C36*'Tab. 7'!K49</f>
        <v>90253.996534986945</v>
      </c>
      <c r="L39" s="402">
        <f>$C36*'Tab. 7'!L49</f>
        <v>130342.97872340425</v>
      </c>
      <c r="M39" s="402">
        <f>$C36*'Tab. 7'!M49</f>
        <v>113842.97872340425</v>
      </c>
      <c r="N39" s="402">
        <f>$C36*'Tab. 7'!N49</f>
        <v>74481.702127659577</v>
      </c>
      <c r="O39" s="251">
        <f>SUM(C39:N39)</f>
        <v>1270751.1337645003</v>
      </c>
    </row>
    <row r="40" spans="2:15" ht="17" thickBot="1" x14ac:dyDescent="0.2">
      <c r="B40" s="340" t="s">
        <v>271</v>
      </c>
      <c r="C40" s="403">
        <f>$C36*'Tab. 7'!C51</f>
        <v>115486.26097968461</v>
      </c>
      <c r="D40" s="403">
        <f>$C36*'Tab. 7'!D51</f>
        <v>117579.58972381639</v>
      </c>
      <c r="E40" s="403">
        <f>$C36*'Tab. 7'!E51</f>
        <v>117579.58972381595</v>
      </c>
      <c r="F40" s="403">
        <f>$C36*'Tab. 7'!F51</f>
        <v>105000.03</v>
      </c>
      <c r="G40" s="403">
        <f>$C36*'Tab. 7'!G51</f>
        <v>106652.51786602614</v>
      </c>
      <c r="H40" s="403">
        <f>$C36*'Tab. 7'!H51</f>
        <v>120049.78723404261</v>
      </c>
      <c r="I40" s="403">
        <f>$C36*'Tab. 7'!I51</f>
        <v>105000.03</v>
      </c>
      <c r="J40" s="403">
        <f>$C36*'Tab. 7'!J51</f>
        <v>74481.702127659577</v>
      </c>
      <c r="K40" s="403">
        <f>$C36*'Tab. 7'!K51</f>
        <v>115596.94525839119</v>
      </c>
      <c r="L40" s="403">
        <f>$C36*'Tab. 7'!L51</f>
        <v>113842.97872340425</v>
      </c>
      <c r="M40" s="403">
        <f>$C36*'Tab. 7'!M51</f>
        <v>105000.03</v>
      </c>
      <c r="N40" s="403">
        <f>$C36*'Tab. 7'!N51</f>
        <v>88178.951197827948</v>
      </c>
      <c r="O40" s="251">
        <f>SUM(C40:N40)</f>
        <v>1284448.4128346688</v>
      </c>
    </row>
    <row r="41" spans="2:15" ht="17" thickBot="1" x14ac:dyDescent="0.2">
      <c r="B41" s="341" t="s">
        <v>236</v>
      </c>
      <c r="C41" s="756">
        <f>C38-C39+C40</f>
        <v>112235.06291818821</v>
      </c>
      <c r="D41" s="756">
        <f>D38-D39+D40</f>
        <v>117579.58972381639</v>
      </c>
      <c r="E41" s="756">
        <f t="shared" ref="E41" si="49">E38-E39+E40</f>
        <v>117579.58972381595</v>
      </c>
      <c r="F41" s="756">
        <f t="shared" ref="F41" si="50">F38-F39+F40</f>
        <v>105000.03</v>
      </c>
      <c r="G41" s="756">
        <f t="shared" ref="G41" si="51">G38-G39+G40</f>
        <v>136549.78723404245</v>
      </c>
      <c r="H41" s="756">
        <f t="shared" ref="H41" si="52">H38-H39+H40</f>
        <v>120049.78723404261</v>
      </c>
      <c r="I41" s="756">
        <f t="shared" ref="I41" si="53">I38-I39+I40</f>
        <v>105000.03</v>
      </c>
      <c r="J41" s="756">
        <f t="shared" ref="J41" si="54">J38-J39+J40</f>
        <v>105000.03</v>
      </c>
      <c r="K41" s="756">
        <f t="shared" ref="K41" si="55">K38-K39+K40</f>
        <v>130342.97872340425</v>
      </c>
      <c r="L41" s="756">
        <f t="shared" ref="L41" si="56">L38-L39+L40</f>
        <v>113842.97872340425</v>
      </c>
      <c r="M41" s="756">
        <f t="shared" ref="M41" si="57">M38-M39+M40</f>
        <v>105000.03</v>
      </c>
      <c r="N41" s="756">
        <f t="shared" ref="N41" si="58">N38-N39+N40</f>
        <v>118697.27907016837</v>
      </c>
      <c r="O41" s="346"/>
    </row>
    <row r="42" spans="2:15" ht="16" x14ac:dyDescent="0.15">
      <c r="B42" s="376" t="s">
        <v>251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338"/>
    </row>
    <row r="43" spans="2:15" ht="16" x14ac:dyDescent="0.15">
      <c r="B43" s="378" t="s">
        <v>269</v>
      </c>
      <c r="C43" s="401">
        <f>VLOOKUP(B42,'Tab. 6'!$B$5:$F$16,4,0)</f>
        <v>20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338"/>
    </row>
    <row r="44" spans="2:15" ht="16" x14ac:dyDescent="0.15">
      <c r="B44" s="230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338"/>
    </row>
    <row r="45" spans="2:15" ht="16" x14ac:dyDescent="0.15">
      <c r="B45" s="230" t="s">
        <v>231</v>
      </c>
      <c r="C45" s="402">
        <f>C43*'Tab. 7'!C57</f>
        <v>420000</v>
      </c>
      <c r="D45" s="403">
        <f>+C48</f>
        <v>420000</v>
      </c>
      <c r="E45" s="403">
        <f t="shared" ref="E45:G45" si="59">+D48</f>
        <v>420000</v>
      </c>
      <c r="F45" s="403">
        <f t="shared" si="59"/>
        <v>420000</v>
      </c>
      <c r="G45" s="403">
        <f t="shared" si="59"/>
        <v>420000</v>
      </c>
      <c r="H45" s="403">
        <f>+G48</f>
        <v>420000</v>
      </c>
      <c r="I45" s="403">
        <f t="shared" ref="I45:N45" si="60">+H48</f>
        <v>420000</v>
      </c>
      <c r="J45" s="403">
        <f t="shared" si="60"/>
        <v>420000</v>
      </c>
      <c r="K45" s="403">
        <f t="shared" si="60"/>
        <v>420000</v>
      </c>
      <c r="L45" s="403">
        <f t="shared" si="60"/>
        <v>420000</v>
      </c>
      <c r="M45" s="403">
        <f t="shared" si="60"/>
        <v>420000</v>
      </c>
      <c r="N45" s="403">
        <f t="shared" si="60"/>
        <v>420000</v>
      </c>
      <c r="O45" s="247"/>
    </row>
    <row r="46" spans="2:15" ht="16" x14ac:dyDescent="0.15">
      <c r="B46" s="340" t="s">
        <v>270</v>
      </c>
      <c r="C46" s="402">
        <f>$C43*'Tab. 7'!C58</f>
        <v>216502.3961229928</v>
      </c>
      <c r="D46" s="402">
        <f>$C43*'Tab. 7'!D58</f>
        <v>224470.12583637639</v>
      </c>
      <c r="E46" s="402">
        <f>$C43*'Tab. 7'!E58</f>
        <v>235159.17944763278</v>
      </c>
      <c r="F46" s="402">
        <f>$C43*'Tab. 7'!F58</f>
        <v>235159.1794476319</v>
      </c>
      <c r="G46" s="402">
        <f>$C43*'Tab. 7'!G58</f>
        <v>150205.52126396738</v>
      </c>
      <c r="H46" s="402">
        <f>$C43*'Tab. 7'!H58</f>
        <v>273099.5744680849</v>
      </c>
      <c r="I46" s="402">
        <f>$C43*'Tab. 7'!I58</f>
        <v>240099.57446808522</v>
      </c>
      <c r="J46" s="402">
        <f>$C43*'Tab. 7'!J58</f>
        <v>148963.40425531915</v>
      </c>
      <c r="K46" s="402">
        <f>$C43*'Tab. 7'!K58</f>
        <v>180507.99306997389</v>
      </c>
      <c r="L46" s="402">
        <f>$C43*'Tab. 7'!L58</f>
        <v>260685.95744680846</v>
      </c>
      <c r="M46" s="402">
        <f>$C43*'Tab. 7'!M58</f>
        <v>227685.95744680846</v>
      </c>
      <c r="N46" s="402">
        <f>$C43*'Tab. 7'!N58</f>
        <v>148963.40425531915</v>
      </c>
      <c r="O46" s="251">
        <f>SUM(C46:N46)</f>
        <v>2541502.2675290005</v>
      </c>
    </row>
    <row r="47" spans="2:15" ht="17" thickBot="1" x14ac:dyDescent="0.2">
      <c r="B47" s="340" t="s">
        <v>271</v>
      </c>
      <c r="C47" s="403">
        <f>$C43*'Tab. 7'!C60</f>
        <v>216502.3961229928</v>
      </c>
      <c r="D47" s="403">
        <f>$C43*'Tab. 7'!D60</f>
        <v>224470.12583637639</v>
      </c>
      <c r="E47" s="403">
        <f>$C43*'Tab. 7'!E60</f>
        <v>235159.17944763278</v>
      </c>
      <c r="F47" s="403">
        <f>$C43*'Tab. 7'!F60</f>
        <v>235159.1794476319</v>
      </c>
      <c r="G47" s="403">
        <f>$C43*'Tab. 7'!G60</f>
        <v>150205.52126396738</v>
      </c>
      <c r="H47" s="403">
        <f>$C43*'Tab. 7'!H60</f>
        <v>273099.5744680849</v>
      </c>
      <c r="I47" s="403">
        <f>$C43*'Tab. 7'!I60</f>
        <v>240099.57446808522</v>
      </c>
      <c r="J47" s="403">
        <f>$C43*'Tab. 7'!J60</f>
        <v>148963.40425531915</v>
      </c>
      <c r="K47" s="403">
        <f>$C43*'Tab. 7'!K60</f>
        <v>180507.99306997389</v>
      </c>
      <c r="L47" s="403">
        <f>$C43*'Tab. 7'!L60</f>
        <v>260685.95744680846</v>
      </c>
      <c r="M47" s="403">
        <f>$C43*'Tab. 7'!M60</f>
        <v>227685.95744680846</v>
      </c>
      <c r="N47" s="403">
        <f>$C43*'Tab. 7'!N60</f>
        <v>148963.40425531915</v>
      </c>
      <c r="O47" s="251">
        <f>SUM(C47:N47)</f>
        <v>2541502.2675290005</v>
      </c>
    </row>
    <row r="48" spans="2:15" ht="17" thickBot="1" x14ac:dyDescent="0.2">
      <c r="B48" s="341" t="s">
        <v>236</v>
      </c>
      <c r="C48" s="756">
        <f>C45-C46+C47</f>
        <v>420000</v>
      </c>
      <c r="D48" s="756">
        <f>D45-D46+D47</f>
        <v>420000</v>
      </c>
      <c r="E48" s="756">
        <f t="shared" ref="E48" si="61">E45-E46+E47</f>
        <v>420000</v>
      </c>
      <c r="F48" s="756">
        <f t="shared" ref="F48" si="62">F45-F46+F47</f>
        <v>420000</v>
      </c>
      <c r="G48" s="756">
        <f t="shared" ref="G48" si="63">G45-G46+G47</f>
        <v>420000</v>
      </c>
      <c r="H48" s="756">
        <f t="shared" ref="H48" si="64">H45-H46+H47</f>
        <v>420000</v>
      </c>
      <c r="I48" s="756">
        <f t="shared" ref="I48" si="65">I45-I46+I47</f>
        <v>420000</v>
      </c>
      <c r="J48" s="756">
        <f t="shared" ref="J48" si="66">J45-J46+J47</f>
        <v>420000</v>
      </c>
      <c r="K48" s="756">
        <f t="shared" ref="K48" si="67">K45-K46+K47</f>
        <v>420000</v>
      </c>
      <c r="L48" s="756">
        <f t="shared" ref="L48" si="68">L45-L46+L47</f>
        <v>420000</v>
      </c>
      <c r="M48" s="756">
        <f t="shared" ref="M48" si="69">M45-M46+M47</f>
        <v>420000</v>
      </c>
      <c r="N48" s="756">
        <f t="shared" ref="N48" si="70">N45-N46+N47</f>
        <v>420000</v>
      </c>
      <c r="O48" s="346"/>
    </row>
    <row r="49" spans="2:15" ht="16" x14ac:dyDescent="0.15">
      <c r="B49" s="376" t="s">
        <v>252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338"/>
    </row>
    <row r="50" spans="2:15" ht="16" x14ac:dyDescent="0.15">
      <c r="B50" s="378" t="s">
        <v>269</v>
      </c>
      <c r="C50" s="401">
        <f>VLOOKUP(B49,'Tab. 6'!$B$5:$F$16,4,0)</f>
        <v>50</v>
      </c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338"/>
    </row>
    <row r="51" spans="2:15" ht="16" x14ac:dyDescent="0.15">
      <c r="B51" s="230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338"/>
    </row>
    <row r="52" spans="2:15" ht="16" x14ac:dyDescent="0.15">
      <c r="B52" s="230" t="s">
        <v>231</v>
      </c>
      <c r="C52" s="402">
        <f>C50*'Tab. 7'!C66</f>
        <v>175000</v>
      </c>
      <c r="D52" s="403">
        <f>+C55</f>
        <v>187058.43819698034</v>
      </c>
      <c r="E52" s="403">
        <f t="shared" ref="E52:G52" si="71">+D55</f>
        <v>195965.98287302733</v>
      </c>
      <c r="F52" s="403">
        <f t="shared" si="71"/>
        <v>195965.98287302657</v>
      </c>
      <c r="G52" s="403">
        <f t="shared" si="71"/>
        <v>175000</v>
      </c>
      <c r="H52" s="403">
        <f>+G55</f>
        <v>227582.97872340409</v>
      </c>
      <c r="I52" s="403">
        <f t="shared" ref="I52:N52" si="72">+H55</f>
        <v>200082.97872340435</v>
      </c>
      <c r="J52" s="403">
        <f t="shared" si="72"/>
        <v>175000</v>
      </c>
      <c r="K52" s="403">
        <f t="shared" si="72"/>
        <v>175000</v>
      </c>
      <c r="L52" s="403">
        <f t="shared" si="72"/>
        <v>217238.29787234039</v>
      </c>
      <c r="M52" s="403">
        <f t="shared" si="72"/>
        <v>189738.29787234039</v>
      </c>
      <c r="N52" s="403">
        <f t="shared" si="72"/>
        <v>175000</v>
      </c>
      <c r="O52" s="247"/>
    </row>
    <row r="53" spans="2:15" ht="16" x14ac:dyDescent="0.15">
      <c r="B53" s="340" t="s">
        <v>270</v>
      </c>
      <c r="C53" s="402">
        <f>$C50*'Tab. 7'!C67</f>
        <v>180418.66343582733</v>
      </c>
      <c r="D53" s="402">
        <f>$C50*'Tab. 7'!D67</f>
        <v>187058.43819698034</v>
      </c>
      <c r="E53" s="402">
        <f>$C50*'Tab. 7'!E67</f>
        <v>195965.98287302733</v>
      </c>
      <c r="F53" s="402">
        <f>$C50*'Tab. 7'!F67</f>
        <v>195965.98287302657</v>
      </c>
      <c r="G53" s="402">
        <f>$C50*'Tab. 7'!G67</f>
        <v>125171.26771997282</v>
      </c>
      <c r="H53" s="402">
        <f>$C50*'Tab. 7'!H67</f>
        <v>227582.97872340409</v>
      </c>
      <c r="I53" s="402">
        <f>$C50*'Tab. 7'!I67</f>
        <v>200082.97872340435</v>
      </c>
      <c r="J53" s="402">
        <f>$C50*'Tab. 7'!J67</f>
        <v>124136.17021276595</v>
      </c>
      <c r="K53" s="402">
        <f>$C50*'Tab. 7'!K67</f>
        <v>150423.32755831158</v>
      </c>
      <c r="L53" s="402">
        <f>$C50*'Tab. 7'!L67</f>
        <v>217238.29787234039</v>
      </c>
      <c r="M53" s="402">
        <f>$C50*'Tab. 7'!M67</f>
        <v>189738.29787234039</v>
      </c>
      <c r="N53" s="402">
        <f>$C50*'Tab. 7'!N67</f>
        <v>124136.17021276595</v>
      </c>
      <c r="O53" s="251">
        <f>SUM(C53:N53)</f>
        <v>2117918.5562741668</v>
      </c>
    </row>
    <row r="54" spans="2:15" ht="17" thickBot="1" x14ac:dyDescent="0.2">
      <c r="B54" s="340" t="s">
        <v>271</v>
      </c>
      <c r="C54" s="403">
        <f>$C50*'Tab. 7'!C69</f>
        <v>192477.10163280767</v>
      </c>
      <c r="D54" s="403">
        <f>$C50*'Tab. 7'!D69</f>
        <v>195965.98287302733</v>
      </c>
      <c r="E54" s="403">
        <f>$C50*'Tab. 7'!E69</f>
        <v>195965.98287302657</v>
      </c>
      <c r="F54" s="403">
        <f>$C50*'Tab. 7'!F69</f>
        <v>175000</v>
      </c>
      <c r="G54" s="403">
        <f>$C50*'Tab. 7'!G69</f>
        <v>177754.24644337691</v>
      </c>
      <c r="H54" s="403">
        <f>$C50*'Tab. 7'!H69</f>
        <v>200082.97872340435</v>
      </c>
      <c r="I54" s="403">
        <f>$C50*'Tab. 7'!I69</f>
        <v>175000</v>
      </c>
      <c r="J54" s="403">
        <f>$C50*'Tab. 7'!J69</f>
        <v>124136.17021276595</v>
      </c>
      <c r="K54" s="403">
        <f>$C50*'Tab. 7'!K69</f>
        <v>192661.62543065197</v>
      </c>
      <c r="L54" s="403">
        <f>$C50*'Tab. 7'!L69</f>
        <v>189738.29787234039</v>
      </c>
      <c r="M54" s="403">
        <f>$C50*'Tab. 7'!M69</f>
        <v>175000</v>
      </c>
      <c r="N54" s="403">
        <f>$C50*'Tab. 7'!N69</f>
        <v>146964.96866304654</v>
      </c>
      <c r="O54" s="251">
        <f>SUM(C54:N54)</f>
        <v>2140747.3547244472</v>
      </c>
    </row>
    <row r="55" spans="2:15" ht="17" thickBot="1" x14ac:dyDescent="0.2">
      <c r="B55" s="341" t="s">
        <v>236</v>
      </c>
      <c r="C55" s="756">
        <f>C52-C53+C54</f>
        <v>187058.43819698034</v>
      </c>
      <c r="D55" s="756">
        <f>D52-D53+D54</f>
        <v>195965.98287302733</v>
      </c>
      <c r="E55" s="756">
        <f t="shared" ref="E55" si="73">E52-E53+E54</f>
        <v>195965.98287302657</v>
      </c>
      <c r="F55" s="756">
        <f t="shared" ref="F55" si="74">F52-F53+F54</f>
        <v>175000</v>
      </c>
      <c r="G55" s="756">
        <f t="shared" ref="G55" si="75">G52-G53+G54</f>
        <v>227582.97872340409</v>
      </c>
      <c r="H55" s="756">
        <f t="shared" ref="H55" si="76">H52-H53+H54</f>
        <v>200082.97872340435</v>
      </c>
      <c r="I55" s="756">
        <f t="shared" ref="I55" si="77">I52-I53+I54</f>
        <v>175000</v>
      </c>
      <c r="J55" s="756">
        <f t="shared" ref="J55" si="78">J52-J53+J54</f>
        <v>175000</v>
      </c>
      <c r="K55" s="756">
        <f t="shared" ref="K55" si="79">K52-K53+K54</f>
        <v>217238.29787234039</v>
      </c>
      <c r="L55" s="756">
        <f t="shared" ref="L55" si="80">L52-L53+L54</f>
        <v>189738.29787234039</v>
      </c>
      <c r="M55" s="756">
        <f t="shared" ref="M55" si="81">M52-M53+M54</f>
        <v>175000</v>
      </c>
      <c r="N55" s="756">
        <f t="shared" ref="N55" si="82">N52-N53+N54</f>
        <v>197828.79845028059</v>
      </c>
      <c r="O55" s="346"/>
    </row>
    <row r="56" spans="2:15" ht="16" x14ac:dyDescent="0.15">
      <c r="B56" s="407" t="s">
        <v>3</v>
      </c>
      <c r="C56" s="408"/>
      <c r="D56" s="408"/>
      <c r="E56" s="408"/>
      <c r="F56" s="408"/>
      <c r="G56" s="408"/>
      <c r="H56" s="408"/>
      <c r="I56" s="408"/>
      <c r="J56" s="408"/>
      <c r="K56" s="408"/>
      <c r="L56" s="408"/>
      <c r="M56" s="408"/>
      <c r="N56" s="408"/>
      <c r="O56" s="338"/>
    </row>
    <row r="57" spans="2:15" ht="16" x14ac:dyDescent="0.15">
      <c r="B57" s="409"/>
      <c r="C57" s="408"/>
      <c r="D57" s="408"/>
      <c r="E57" s="408"/>
      <c r="F57" s="408"/>
      <c r="G57" s="408"/>
      <c r="H57" s="408"/>
      <c r="I57" s="408"/>
      <c r="J57" s="408"/>
      <c r="K57" s="408"/>
      <c r="L57" s="408"/>
      <c r="M57" s="408"/>
      <c r="N57" s="408"/>
      <c r="O57" s="338"/>
    </row>
    <row r="58" spans="2:15" ht="16" x14ac:dyDescent="0.15">
      <c r="B58" s="409" t="s">
        <v>231</v>
      </c>
      <c r="C58" s="410">
        <f>+C10+C17+C24+C31+C38+C45+C52</f>
        <v>7503979</v>
      </c>
      <c r="D58" s="410">
        <f>+C61</f>
        <v>7503705.592966862</v>
      </c>
      <c r="E58" s="410">
        <f t="shared" ref="E58:G58" si="83">+D61</f>
        <v>7545301.5435474282</v>
      </c>
      <c r="F58" s="410">
        <f t="shared" si="83"/>
        <v>7524772.0619585458</v>
      </c>
      <c r="G58" s="410">
        <f t="shared" si="83"/>
        <v>7491226.5193617037</v>
      </c>
      <c r="H58" s="410">
        <f>+G61</f>
        <v>7586418.6595744677</v>
      </c>
      <c r="I58" s="410">
        <f t="shared" ref="I58:N58" si="84">+H61</f>
        <v>7524111.7659574468</v>
      </c>
      <c r="J58" s="410">
        <f t="shared" si="84"/>
        <v>7483979.0300000003</v>
      </c>
      <c r="K58" s="410">
        <f t="shared" si="84"/>
        <v>7487738.7828950761</v>
      </c>
      <c r="L58" s="410">
        <f t="shared" si="84"/>
        <v>7551560.2765957443</v>
      </c>
      <c r="M58" s="410">
        <f t="shared" si="84"/>
        <v>7507560.2765957443</v>
      </c>
      <c r="N58" s="410">
        <f t="shared" si="84"/>
        <v>7483979.0300000003</v>
      </c>
      <c r="O58" s="247"/>
    </row>
    <row r="59" spans="2:15" ht="16" x14ac:dyDescent="0.15">
      <c r="B59" s="411" t="s">
        <v>270</v>
      </c>
      <c r="C59" s="410">
        <f>+C11+C18+C25+C32+C39+C46+C53</f>
        <v>6454972.9892648738</v>
      </c>
      <c r="D59" s="410">
        <f t="shared" ref="D59:N59" si="85">+D11+D18+D25+D32+D39+D46+D53</f>
        <v>7244619.5196617711</v>
      </c>
      <c r="E59" s="410">
        <f t="shared" si="85"/>
        <v>8071259.9803096764</v>
      </c>
      <c r="F59" s="410">
        <f t="shared" si="85"/>
        <v>7475906.930317061</v>
      </c>
      <c r="G59" s="410">
        <f t="shared" si="85"/>
        <v>7208302.9070385201</v>
      </c>
      <c r="H59" s="410">
        <f t="shared" si="85"/>
        <v>7916140.8658246743</v>
      </c>
      <c r="I59" s="410">
        <f t="shared" si="85"/>
        <v>6959593.6098246844</v>
      </c>
      <c r="J59" s="410">
        <f t="shared" si="85"/>
        <v>4317895.0177225536</v>
      </c>
      <c r="K59" s="410">
        <f t="shared" si="85"/>
        <v>7202611.6612173384</v>
      </c>
      <c r="L59" s="410">
        <f t="shared" si="85"/>
        <v>6672962.1062278468</v>
      </c>
      <c r="M59" s="410">
        <f t="shared" si="85"/>
        <v>6599769.0250144675</v>
      </c>
      <c r="N59" s="410">
        <f t="shared" si="85"/>
        <v>4317895.0177225536</v>
      </c>
      <c r="O59" s="251">
        <f>SUM(C59:N59)</f>
        <v>80441929.630146027</v>
      </c>
    </row>
    <row r="60" spans="2:15" ht="17" thickBot="1" x14ac:dyDescent="0.2">
      <c r="B60" s="411" t="s">
        <v>271</v>
      </c>
      <c r="C60" s="410">
        <f>+C12+C19+C26+C33+C40+C47+C54</f>
        <v>6454699.5822317358</v>
      </c>
      <c r="D60" s="410">
        <f t="shared" ref="D60:N60" si="86">+D12+D19+D26+D33+D40+D47+D54</f>
        <v>7286215.4702423373</v>
      </c>
      <c r="E60" s="410">
        <f t="shared" si="86"/>
        <v>8050730.498720794</v>
      </c>
      <c r="F60" s="410">
        <f t="shared" si="86"/>
        <v>7442361.3877202189</v>
      </c>
      <c r="G60" s="410">
        <f t="shared" si="86"/>
        <v>7303495.0472512841</v>
      </c>
      <c r="H60" s="410">
        <f t="shared" si="86"/>
        <v>7853833.9722076533</v>
      </c>
      <c r="I60" s="410">
        <f t="shared" si="86"/>
        <v>6919460.8738672379</v>
      </c>
      <c r="J60" s="410">
        <f t="shared" si="86"/>
        <v>4321654.7706176294</v>
      </c>
      <c r="K60" s="410">
        <f t="shared" si="86"/>
        <v>7266433.1549180066</v>
      </c>
      <c r="L60" s="410">
        <f t="shared" si="86"/>
        <v>6628962.1062278468</v>
      </c>
      <c r="M60" s="410">
        <f t="shared" si="86"/>
        <v>6576187.7784187235</v>
      </c>
      <c r="N60" s="410">
        <f t="shared" si="86"/>
        <v>4375537.6398723517</v>
      </c>
      <c r="O60" s="251">
        <f>SUM(C60:N60)</f>
        <v>80479572.282295823</v>
      </c>
    </row>
    <row r="61" spans="2:15" ht="17" thickBot="1" x14ac:dyDescent="0.2">
      <c r="B61" s="412" t="s">
        <v>236</v>
      </c>
      <c r="C61" s="413">
        <f>C58-C59+C60</f>
        <v>7503705.592966862</v>
      </c>
      <c r="D61" s="413">
        <f>D58-D59+D60</f>
        <v>7545301.5435474282</v>
      </c>
      <c r="E61" s="413">
        <f t="shared" ref="E61:N61" si="87">E58-E59+E60</f>
        <v>7524772.0619585458</v>
      </c>
      <c r="F61" s="413">
        <f t="shared" si="87"/>
        <v>7491226.5193617037</v>
      </c>
      <c r="G61" s="413">
        <f t="shared" si="87"/>
        <v>7586418.6595744677</v>
      </c>
      <c r="H61" s="413">
        <f t="shared" si="87"/>
        <v>7524111.7659574468</v>
      </c>
      <c r="I61" s="413">
        <f t="shared" si="87"/>
        <v>7483979.0300000003</v>
      </c>
      <c r="J61" s="413">
        <f t="shared" si="87"/>
        <v>7487738.7828950761</v>
      </c>
      <c r="K61" s="413">
        <f t="shared" si="87"/>
        <v>7551560.2765957443</v>
      </c>
      <c r="L61" s="413">
        <f t="shared" si="87"/>
        <v>7507560.2765957443</v>
      </c>
      <c r="M61" s="413">
        <f t="shared" si="87"/>
        <v>7483979.0300000003</v>
      </c>
      <c r="N61" s="413">
        <f t="shared" si="87"/>
        <v>7541621.6521497983</v>
      </c>
      <c r="O61" s="346"/>
    </row>
    <row r="63" spans="2:15" s="2" customFormat="1" ht="14" x14ac:dyDescent="0.2">
      <c r="B63" s="2" t="s">
        <v>1082</v>
      </c>
      <c r="C63" s="499">
        <f>C61-C58</f>
        <v>-273.40703313797712</v>
      </c>
      <c r="D63" s="499">
        <f t="shared" ref="D63:N63" si="88">D61-D58</f>
        <v>41595.95058056619</v>
      </c>
      <c r="E63" s="499">
        <f t="shared" si="88"/>
        <v>-20529.481588882394</v>
      </c>
      <c r="F63" s="499">
        <f t="shared" si="88"/>
        <v>-33545.542596842162</v>
      </c>
      <c r="G63" s="499">
        <f t="shared" si="88"/>
        <v>95192.140212764032</v>
      </c>
      <c r="H63" s="499">
        <f t="shared" si="88"/>
        <v>-62306.89361702092</v>
      </c>
      <c r="I63" s="499">
        <f t="shared" si="88"/>
        <v>-40132.735957446508</v>
      </c>
      <c r="J63" s="499">
        <f t="shared" si="88"/>
        <v>3759.7528950758278</v>
      </c>
      <c r="K63" s="499">
        <f t="shared" si="88"/>
        <v>63821.493700668216</v>
      </c>
      <c r="L63" s="499">
        <f t="shared" si="88"/>
        <v>-44000</v>
      </c>
      <c r="M63" s="499">
        <f t="shared" si="88"/>
        <v>-23581.246595744044</v>
      </c>
      <c r="N63" s="499">
        <f t="shared" si="88"/>
        <v>57642.622149798088</v>
      </c>
    </row>
    <row r="66" spans="3:14" x14ac:dyDescent="0.15">
      <c r="C66" s="720">
        <f>C59-CE_1_mens!C15</f>
        <v>0</v>
      </c>
      <c r="D66" s="720">
        <f>D59-CE_1_mens!D15</f>
        <v>0</v>
      </c>
      <c r="E66" s="720">
        <f>E59-CE_1_mens!E15</f>
        <v>0</v>
      </c>
      <c r="F66" s="720">
        <f>F59-CE_1_mens!F15</f>
        <v>0</v>
      </c>
      <c r="G66" s="720">
        <f>G59-CE_1_mens!G15</f>
        <v>0</v>
      </c>
      <c r="H66" s="720">
        <f>H59-CE_1_mens!H15</f>
        <v>0</v>
      </c>
      <c r="I66" s="720">
        <f>I59-CE_1_mens!I15</f>
        <v>0</v>
      </c>
      <c r="J66" s="720">
        <f>J59-CE_1_mens!J15</f>
        <v>0</v>
      </c>
      <c r="K66" s="720">
        <f>K59-CE_1_mens!K15</f>
        <v>0</v>
      </c>
      <c r="L66" s="720">
        <f>L59-CE_1_mens!L15</f>
        <v>0</v>
      </c>
      <c r="M66" s="720">
        <f>M59-CE_1_mens!M15</f>
        <v>0</v>
      </c>
      <c r="N66" s="720">
        <f>N59-CE_1_mens!N15</f>
        <v>0</v>
      </c>
    </row>
  </sheetData>
  <mergeCells count="1">
    <mergeCell ref="C5:O5"/>
  </mergeCells>
  <pageMargins left="0.25" right="0.25" top="0.75" bottom="0.75" header="0.3" footer="0.3"/>
  <pageSetup paperSize="9" scale="4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19D4-AEED-BA40-9C3F-EB26679C5CCF}">
  <sheetPr codeName="Foglio15">
    <pageSetUpPr fitToPage="1"/>
  </sheetPr>
  <dimension ref="B2:DG48"/>
  <sheetViews>
    <sheetView showGridLines="0" zoomScale="140" zoomScaleNormal="140" workbookViewId="0">
      <selection activeCell="B3" sqref="B3"/>
    </sheetView>
  </sheetViews>
  <sheetFormatPr baseColWidth="10" defaultColWidth="9.1640625" defaultRowHeight="16" x14ac:dyDescent="0.2"/>
  <cols>
    <col min="1" max="1" width="1.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91" t="s">
        <v>1399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1058" t="s">
        <v>196</v>
      </c>
      <c r="D5" s="1059"/>
      <c r="E5" s="1059"/>
      <c r="F5" s="1059"/>
      <c r="G5" s="1059"/>
      <c r="H5" s="1059"/>
      <c r="I5" s="1059"/>
      <c r="J5" s="1059"/>
      <c r="K5" s="1059"/>
      <c r="L5" s="1059"/>
      <c r="M5" s="1059"/>
      <c r="N5" s="1059"/>
      <c r="O5" s="1059"/>
      <c r="P5" s="1059"/>
      <c r="Q5" s="1059"/>
      <c r="R5" s="1059"/>
      <c r="S5" s="1059"/>
      <c r="T5" s="1059"/>
      <c r="U5" s="1059"/>
      <c r="V5" s="1059"/>
      <c r="W5" s="1060"/>
      <c r="X5" s="14"/>
    </row>
    <row r="6" spans="2:24" x14ac:dyDescent="0.2">
      <c r="B6" s="15"/>
      <c r="C6" s="1061" t="s">
        <v>29</v>
      </c>
      <c r="D6" s="1062"/>
      <c r="E6" s="1062"/>
      <c r="F6" s="1062" t="s">
        <v>30</v>
      </c>
      <c r="G6" s="1062"/>
      <c r="H6" s="1062"/>
      <c r="I6" s="1062" t="s">
        <v>31</v>
      </c>
      <c r="J6" s="1062"/>
      <c r="K6" s="1062"/>
      <c r="L6" s="1062" t="s">
        <v>32</v>
      </c>
      <c r="M6" s="1062"/>
      <c r="N6" s="1062"/>
      <c r="O6" s="1062" t="s">
        <v>33</v>
      </c>
      <c r="P6" s="1062"/>
      <c r="Q6" s="1062"/>
      <c r="R6" s="1062" t="s">
        <v>34</v>
      </c>
      <c r="S6" s="1062"/>
      <c r="T6" s="1046"/>
      <c r="U6" s="1063" t="s">
        <v>2</v>
      </c>
      <c r="V6" s="1064"/>
      <c r="W6" s="1065"/>
      <c r="X6" s="16"/>
    </row>
    <row r="7" spans="2:24" x14ac:dyDescent="0.2">
      <c r="B7" s="17"/>
      <c r="C7" s="18" t="s">
        <v>0</v>
      </c>
      <c r="D7" s="16" t="s">
        <v>273</v>
      </c>
      <c r="E7" s="19" t="s">
        <v>1</v>
      </c>
      <c r="F7" s="20" t="s">
        <v>0</v>
      </c>
      <c r="G7" s="20" t="s">
        <v>273</v>
      </c>
      <c r="H7" s="21" t="s">
        <v>1</v>
      </c>
      <c r="I7" s="22" t="s">
        <v>0</v>
      </c>
      <c r="J7" s="20" t="s">
        <v>273</v>
      </c>
      <c r="K7" s="21" t="s">
        <v>1</v>
      </c>
      <c r="L7" s="22" t="s">
        <v>0</v>
      </c>
      <c r="M7" s="20" t="s">
        <v>273</v>
      </c>
      <c r="N7" s="21" t="s">
        <v>1</v>
      </c>
      <c r="O7" s="22" t="s">
        <v>0</v>
      </c>
      <c r="P7" s="20" t="s">
        <v>273</v>
      </c>
      <c r="Q7" s="21" t="s">
        <v>1</v>
      </c>
      <c r="R7" s="22" t="s">
        <v>0</v>
      </c>
      <c r="S7" s="20" t="s">
        <v>273</v>
      </c>
      <c r="T7" s="23" t="s">
        <v>1</v>
      </c>
      <c r="U7" s="24" t="s">
        <v>0</v>
      </c>
      <c r="V7" s="24" t="s">
        <v>273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199</v>
      </c>
      <c r="C9" s="32">
        <f>'Tab 3'!C9</f>
        <v>18863.320540150991</v>
      </c>
      <c r="D9" s="59">
        <f>'Tab. 6'!$F$8</f>
        <v>108.74965</v>
      </c>
      <c r="E9" s="62">
        <f>C9*D9</f>
        <v>2051379.5065792312</v>
      </c>
      <c r="F9" s="33">
        <f>'Tab 3'!F9</f>
        <v>20959.245044612213</v>
      </c>
      <c r="G9" s="59">
        <f>'Tab. 6'!$F$8</f>
        <v>108.74965</v>
      </c>
      <c r="H9" s="62">
        <f>F9*G9</f>
        <v>2279310.5628658128</v>
      </c>
      <c r="I9" s="33">
        <f>'Tab 3'!I9</f>
        <v>24103.131801304044</v>
      </c>
      <c r="J9" s="59">
        <f>'Tab. 6'!$F$8</f>
        <v>108.74965</v>
      </c>
      <c r="K9" s="62">
        <f>I9*J9</f>
        <v>2621207.1472956846</v>
      </c>
      <c r="L9" s="33">
        <f>'Tab 3'!L9</f>
        <v>22007.207296842822</v>
      </c>
      <c r="M9" s="59">
        <f>'Tab. 6'!$F$8</f>
        <v>108.74965</v>
      </c>
      <c r="N9" s="62">
        <f>L9*M9</f>
        <v>2393276.0910091032</v>
      </c>
      <c r="O9" s="33">
        <f>'Tab 3'!O9</f>
        <v>22007.207296842822</v>
      </c>
      <c r="P9" s="59">
        <f>'Tab. 6'!$F$8</f>
        <v>108.74965</v>
      </c>
      <c r="Q9" s="62">
        <f>O9*P9</f>
        <v>2393276.0910091032</v>
      </c>
      <c r="R9" s="33">
        <f>'Tab 3'!R9</f>
        <v>23055.169549073435</v>
      </c>
      <c r="S9" s="59">
        <f>'Tab. 6'!$F$8</f>
        <v>108.74965</v>
      </c>
      <c r="T9" s="62">
        <f>R9*S9</f>
        <v>2507241.6191523941</v>
      </c>
      <c r="U9" s="35">
        <f>C9+F9+I9+L9+O9+R9</f>
        <v>130995.28152882634</v>
      </c>
      <c r="V9" s="64">
        <f>IFERROR(W9/U9,0)</f>
        <v>108.74965</v>
      </c>
      <c r="W9" s="67">
        <f>E9+H9+K9+N9+Q9+T9</f>
        <v>14245691.01791133</v>
      </c>
      <c r="X9" s="36"/>
    </row>
    <row r="10" spans="2:24" x14ac:dyDescent="0.2">
      <c r="B10" s="17" t="s">
        <v>200</v>
      </c>
      <c r="C10" s="32">
        <f>'Tab 3'!C10</f>
        <v>33131.005957446803</v>
      </c>
      <c r="D10" s="59">
        <f>'Tab. 6'!$F$8</f>
        <v>108.74965</v>
      </c>
      <c r="E10" s="62">
        <f>C10*D10</f>
        <v>3602985.302020255</v>
      </c>
      <c r="F10" s="33">
        <f>'Tab 3'!F10</f>
        <v>36812.228841607561</v>
      </c>
      <c r="G10" s="59">
        <f>'Tab. 6'!$F$8</f>
        <v>108.74965</v>
      </c>
      <c r="H10" s="62">
        <f>F10*G10</f>
        <v>4003317.0022447277</v>
      </c>
      <c r="I10" s="33">
        <f>'Tab 3'!I10</f>
        <v>42334.063167848697</v>
      </c>
      <c r="J10" s="59">
        <f>'Tab. 6'!$F$8</f>
        <v>108.74965</v>
      </c>
      <c r="K10" s="62">
        <f>I10*J10</f>
        <v>4603814.5525814369</v>
      </c>
      <c r="L10" s="33">
        <f>'Tab 3'!L10</f>
        <v>38652.84028368794</v>
      </c>
      <c r="M10" s="59">
        <f>'Tab. 6'!$F$8</f>
        <v>108.74965</v>
      </c>
      <c r="N10" s="62">
        <f>L10*M10</f>
        <v>4203482.8523569638</v>
      </c>
      <c r="O10" s="33">
        <f>'Tab 3'!O10</f>
        <v>38652.84028368794</v>
      </c>
      <c r="P10" s="59">
        <f>'Tab. 6'!$F$8</f>
        <v>108.74965</v>
      </c>
      <c r="Q10" s="62">
        <f>O10*P10</f>
        <v>4203482.8523569638</v>
      </c>
      <c r="R10" s="33">
        <f>'Tab 3'!R10</f>
        <v>40493.451725768318</v>
      </c>
      <c r="S10" s="59">
        <f>'Tab. 6'!$F$8</f>
        <v>108.74965</v>
      </c>
      <c r="T10" s="62">
        <f>R10*S10</f>
        <v>4403648.7024692008</v>
      </c>
      <c r="U10" s="35">
        <f>C10+F10+I10+L10+O10+R10</f>
        <v>230076.43026004726</v>
      </c>
      <c r="V10" s="64">
        <f t="shared" ref="V10:V12" si="0">IFERROR(W10/U10,0)</f>
        <v>108.74965</v>
      </c>
      <c r="W10" s="67">
        <f>E10+H10+K10+N10+Q10+T10</f>
        <v>25020731.264029548</v>
      </c>
      <c r="X10" s="36"/>
    </row>
    <row r="11" spans="2:24" x14ac:dyDescent="0.2">
      <c r="B11" s="17" t="s">
        <v>201</v>
      </c>
      <c r="C11" s="32">
        <f>'Tab 3'!C11</f>
        <v>293.61702127659601</v>
      </c>
      <c r="D11" s="59">
        <f>'Tab. 6'!$F$8</f>
        <v>108.74965</v>
      </c>
      <c r="E11" s="62">
        <f>C11*D11</f>
        <v>31930.748297872371</v>
      </c>
      <c r="F11" s="33">
        <f>'Tab 3'!F11</f>
        <v>326.2411347517733</v>
      </c>
      <c r="G11" s="59">
        <f>'Tab. 6'!$F$8</f>
        <v>108.74965</v>
      </c>
      <c r="H11" s="62">
        <f>F11*G11</f>
        <v>35478.609219858183</v>
      </c>
      <c r="I11" s="33">
        <f>'Tab 3'!I11</f>
        <v>375.1773049645393</v>
      </c>
      <c r="J11" s="59">
        <f>'Tab. 6'!$F$8</f>
        <v>108.74965</v>
      </c>
      <c r="K11" s="62">
        <f>I11*J11</f>
        <v>40800.400602836911</v>
      </c>
      <c r="L11" s="33">
        <f>'Tab 3'!L11</f>
        <v>342.55319148936201</v>
      </c>
      <c r="M11" s="59">
        <f>'Tab. 6'!$F$8</f>
        <v>108.74965</v>
      </c>
      <c r="N11" s="62">
        <f>L11*M11</f>
        <v>37252.5396808511</v>
      </c>
      <c r="O11" s="33">
        <f>'Tab 3'!O11</f>
        <v>342.55319148936201</v>
      </c>
      <c r="P11" s="59">
        <f>'Tab. 6'!$F$8</f>
        <v>108.74965</v>
      </c>
      <c r="Q11" s="62">
        <f>O11*P11</f>
        <v>37252.5396808511</v>
      </c>
      <c r="R11" s="33">
        <f>'Tab 3'!R11</f>
        <v>358.86524822695065</v>
      </c>
      <c r="S11" s="59">
        <f>'Tab. 6'!$F$8</f>
        <v>108.74965</v>
      </c>
      <c r="T11" s="62">
        <f>R11*S11</f>
        <v>39026.470141844002</v>
      </c>
      <c r="U11" s="35">
        <f>C11+F11+I11+L11+O11+R11</f>
        <v>2039.0070921985832</v>
      </c>
      <c r="V11" s="64">
        <f t="shared" si="0"/>
        <v>108.74965000000002</v>
      </c>
      <c r="W11" s="67">
        <f>E11+H11+K11+N11+Q11+T11</f>
        <v>221741.30762411369</v>
      </c>
      <c r="X11" s="36"/>
    </row>
    <row r="12" spans="2:24" s="12" customFormat="1" ht="17" thickBot="1" x14ac:dyDescent="0.25">
      <c r="B12" s="37" t="s">
        <v>189</v>
      </c>
      <c r="C12" s="38">
        <f>SUM(C9:C11)</f>
        <v>52287.943518874388</v>
      </c>
      <c r="D12" s="60">
        <f>E12/C12</f>
        <v>108.74965</v>
      </c>
      <c r="E12" s="63">
        <f>SUM(E9:E11)</f>
        <v>5686295.556897358</v>
      </c>
      <c r="F12" s="39">
        <f>SUM(F9:F11)</f>
        <v>58097.71502097154</v>
      </c>
      <c r="G12" s="60">
        <f>H12/F12</f>
        <v>108.74965000000002</v>
      </c>
      <c r="H12" s="63">
        <f>SUM(H9:H11)</f>
        <v>6318106.1743303984</v>
      </c>
      <c r="I12" s="39">
        <f>SUM(I9:I11)</f>
        <v>66812.372274117282</v>
      </c>
      <c r="J12" s="60">
        <f>K12/I12</f>
        <v>108.74965</v>
      </c>
      <c r="K12" s="63">
        <f>SUM(K9:K11)</f>
        <v>7265822.1004799586</v>
      </c>
      <c r="L12" s="39">
        <f>SUM(L9:L11)</f>
        <v>61002.600772020131</v>
      </c>
      <c r="M12" s="60">
        <f>N12/L12</f>
        <v>108.74964999999999</v>
      </c>
      <c r="N12" s="63">
        <f>SUM(N9:N11)</f>
        <v>6634011.4830469182</v>
      </c>
      <c r="O12" s="39">
        <f>SUM(O9:O11)</f>
        <v>61002.600772020131</v>
      </c>
      <c r="P12" s="60">
        <f>Q12/O12</f>
        <v>108.74964999999999</v>
      </c>
      <c r="Q12" s="63">
        <f>SUM(Q9:Q11)</f>
        <v>6634011.4830469182</v>
      </c>
      <c r="R12" s="39">
        <f>SUM(R9:R11)</f>
        <v>63907.486523068706</v>
      </c>
      <c r="S12" s="60">
        <f>T12/R12</f>
        <v>108.74965</v>
      </c>
      <c r="T12" s="63">
        <f>SUM(T9:T11)</f>
        <v>6949916.7917634388</v>
      </c>
      <c r="U12" s="38">
        <f>SUM(U9:U11)</f>
        <v>363110.71888107219</v>
      </c>
      <c r="V12" s="65">
        <f t="shared" si="0"/>
        <v>108.74965</v>
      </c>
      <c r="W12" s="68">
        <f>SUM(W9:W11)</f>
        <v>39488163.589564994</v>
      </c>
      <c r="X12" s="41"/>
    </row>
    <row r="13" spans="2:24" x14ac:dyDescent="0.2">
      <c r="B13" s="17"/>
      <c r="C13" s="17"/>
      <c r="D13" s="59"/>
      <c r="E13" s="62"/>
      <c r="G13" s="59"/>
      <c r="H13" s="62"/>
      <c r="J13" s="59"/>
      <c r="K13" s="62"/>
      <c r="M13" s="59"/>
      <c r="N13" s="62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J14" s="59"/>
      <c r="K14" s="62"/>
      <c r="M14" s="59"/>
      <c r="N14" s="62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199</v>
      </c>
      <c r="C15" s="32">
        <f>'Tab 3'!C15</f>
        <v>1198.375657844887</v>
      </c>
      <c r="D15" s="59">
        <f>'Tab. 6'!$F$17</f>
        <v>189</v>
      </c>
      <c r="E15" s="62">
        <f>C15*D15</f>
        <v>226492.99933268363</v>
      </c>
      <c r="F15" s="33">
        <f>'Tab 3'!F15</f>
        <v>1331.528508716541</v>
      </c>
      <c r="G15" s="59">
        <f>'Tab. 6'!$F$17</f>
        <v>189</v>
      </c>
      <c r="H15" s="62">
        <f>F15*G15</f>
        <v>251658.88814742625</v>
      </c>
      <c r="I15" s="33">
        <f>'Tab 3'!I15</f>
        <v>1531.257785024022</v>
      </c>
      <c r="J15" s="59">
        <f>'Tab. 6'!$F$17</f>
        <v>189</v>
      </c>
      <c r="K15" s="62">
        <f>I15*J15</f>
        <v>289407.72136954014</v>
      </c>
      <c r="L15" s="33">
        <f>'Tab 3'!L15</f>
        <v>1398.1049341523681</v>
      </c>
      <c r="M15" s="59">
        <f>'Tab. 6'!$F$17</f>
        <v>189</v>
      </c>
      <c r="N15" s="62">
        <f>L15*M15</f>
        <v>264241.83255479758</v>
      </c>
      <c r="O15" s="33">
        <f>'Tab 3'!O15</f>
        <v>1398.1049341523681</v>
      </c>
      <c r="P15" s="59">
        <f>'Tab. 6'!$F$17</f>
        <v>189</v>
      </c>
      <c r="Q15" s="62">
        <f>O15*P15</f>
        <v>264241.83255479758</v>
      </c>
      <c r="R15" s="33">
        <f>'Tab 3'!R15</f>
        <v>1464.6813595881949</v>
      </c>
      <c r="S15" s="59">
        <f>'Tab. 6'!$F$17</f>
        <v>189</v>
      </c>
      <c r="T15" s="62">
        <f>R15*S15</f>
        <v>276824.77696216886</v>
      </c>
      <c r="U15" s="35">
        <f>C15+F15+I15+L15+O15+R15</f>
        <v>8322.0531794783819</v>
      </c>
      <c r="V15" s="64">
        <f>IFERROR(W15/U15,0)</f>
        <v>188.99999999999997</v>
      </c>
      <c r="W15" s="67">
        <f>E15+H15+K15+N15+Q15+T15</f>
        <v>1572868.050921414</v>
      </c>
      <c r="X15" s="36"/>
    </row>
    <row r="16" spans="2:24" x14ac:dyDescent="0.2">
      <c r="B16" s="17" t="s">
        <v>200</v>
      </c>
      <c r="C16" s="32">
        <f>'Tab 3'!C16</f>
        <v>0</v>
      </c>
      <c r="D16" s="59">
        <f>'Tab. 6'!$F$17</f>
        <v>189</v>
      </c>
      <c r="E16" s="62">
        <f>C16*D16</f>
        <v>0</v>
      </c>
      <c r="F16" s="33">
        <f>'Tab 3'!F16</f>
        <v>0</v>
      </c>
      <c r="G16" s="59">
        <f>'Tab. 6'!$F$17</f>
        <v>189</v>
      </c>
      <c r="H16" s="62">
        <f>F16*G16</f>
        <v>0</v>
      </c>
      <c r="I16" s="33">
        <f>'Tab 3'!I16</f>
        <v>0</v>
      </c>
      <c r="J16" s="59">
        <f>'Tab. 6'!$F$17</f>
        <v>189</v>
      </c>
      <c r="K16" s="62">
        <f>I16*J16</f>
        <v>0</v>
      </c>
      <c r="L16" s="33">
        <f>'Tab 3'!L16</f>
        <v>0</v>
      </c>
      <c r="M16" s="59">
        <f>'Tab. 6'!$F$17</f>
        <v>189</v>
      </c>
      <c r="N16" s="62">
        <f>L16*M16</f>
        <v>0</v>
      </c>
      <c r="O16" s="33">
        <f>'Tab 3'!O16</f>
        <v>0</v>
      </c>
      <c r="P16" s="59">
        <f>'Tab. 6'!$F$17</f>
        <v>189</v>
      </c>
      <c r="Q16" s="62">
        <f>O16*P16</f>
        <v>0</v>
      </c>
      <c r="R16" s="33">
        <f>'Tab 3'!R16</f>
        <v>0</v>
      </c>
      <c r="S16" s="59">
        <f>'Tab. 6'!$F$17</f>
        <v>189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201</v>
      </c>
      <c r="C17" s="32">
        <f>'Tab 3'!C17</f>
        <v>2008.3404255319151</v>
      </c>
      <c r="D17" s="59">
        <f>'Tab. 6'!$F$17</f>
        <v>189</v>
      </c>
      <c r="E17" s="62">
        <f>C17*D17</f>
        <v>379576.34042553196</v>
      </c>
      <c r="F17" s="33">
        <f>'Tab 3'!F17</f>
        <v>2231.489361702128</v>
      </c>
      <c r="G17" s="59">
        <f>'Tab. 6'!$F$17</f>
        <v>189</v>
      </c>
      <c r="H17" s="62">
        <f>F17*G17</f>
        <v>421751.48936170217</v>
      </c>
      <c r="I17" s="33">
        <f>'Tab 3'!I17</f>
        <v>2566.2127659574471</v>
      </c>
      <c r="J17" s="59">
        <f>'Tab. 6'!$F$17</f>
        <v>189</v>
      </c>
      <c r="K17" s="62">
        <f>I17*J17</f>
        <v>485014.21276595752</v>
      </c>
      <c r="L17" s="33">
        <f>'Tab 3'!L17</f>
        <v>2343.0638297872342</v>
      </c>
      <c r="M17" s="59">
        <f>'Tab. 6'!$F$17</f>
        <v>189</v>
      </c>
      <c r="N17" s="62">
        <f>L17*M17</f>
        <v>442839.06382978725</v>
      </c>
      <c r="O17" s="33">
        <f>'Tab 3'!O17</f>
        <v>2343.0638297872342</v>
      </c>
      <c r="P17" s="59">
        <f>'Tab. 6'!$F$17</f>
        <v>189</v>
      </c>
      <c r="Q17" s="62">
        <f>O17*P17</f>
        <v>442839.06382978725</v>
      </c>
      <c r="R17" s="33">
        <f>'Tab 3'!R17</f>
        <v>2454.6382978723404</v>
      </c>
      <c r="S17" s="59">
        <f>'Tab. 6'!$F$17</f>
        <v>189</v>
      </c>
      <c r="T17" s="62">
        <f>R17*S17</f>
        <v>463926.63829787233</v>
      </c>
      <c r="U17" s="35">
        <f>C17+F17+I17+L17+O17+R17</f>
        <v>13946.808510638297</v>
      </c>
      <c r="V17" s="64">
        <f t="shared" si="1"/>
        <v>189.00000000000003</v>
      </c>
      <c r="W17" s="67">
        <f>E17+H17+K17+N17+Q17+T17</f>
        <v>2635946.8085106383</v>
      </c>
      <c r="X17" s="36"/>
    </row>
    <row r="18" spans="2:111" ht="17" thickBot="1" x14ac:dyDescent="0.25">
      <c r="B18" s="37" t="s">
        <v>190</v>
      </c>
      <c r="C18" s="38">
        <f>SUM(C15:C17)</f>
        <v>3206.7160833768021</v>
      </c>
      <c r="D18" s="60">
        <f>E18/C18</f>
        <v>189</v>
      </c>
      <c r="E18" s="63">
        <f>SUM(E15:E17)</f>
        <v>606069.33975821559</v>
      </c>
      <c r="F18" s="39">
        <f>SUM(F15:F17)</f>
        <v>3563.0178704186692</v>
      </c>
      <c r="G18" s="60">
        <f>H18/F18</f>
        <v>188.99999999999997</v>
      </c>
      <c r="H18" s="63">
        <f>SUM(H15:H17)</f>
        <v>673410.37750912842</v>
      </c>
      <c r="I18" s="39">
        <f>SUM(I15:I17)</f>
        <v>4097.4705509814694</v>
      </c>
      <c r="J18" s="60">
        <f>K18/I18</f>
        <v>189</v>
      </c>
      <c r="K18" s="63">
        <f>SUM(K15:K17)</f>
        <v>774421.93413549766</v>
      </c>
      <c r="L18" s="39">
        <f>SUM(L15:L17)</f>
        <v>3741.1687639396023</v>
      </c>
      <c r="M18" s="60">
        <f>N18/L18</f>
        <v>189</v>
      </c>
      <c r="N18" s="63">
        <f>SUM(N15:N17)</f>
        <v>707080.89638458483</v>
      </c>
      <c r="O18" s="39">
        <f>SUM(O15:O17)</f>
        <v>3741.1687639396023</v>
      </c>
      <c r="P18" s="60">
        <f>Q18/O18</f>
        <v>189</v>
      </c>
      <c r="Q18" s="63">
        <f>SUM(Q15:Q17)</f>
        <v>707080.89638458483</v>
      </c>
      <c r="R18" s="39">
        <f>SUM(R15:R17)</f>
        <v>3919.3196574605354</v>
      </c>
      <c r="S18" s="60">
        <f>T18/R18</f>
        <v>189</v>
      </c>
      <c r="T18" s="63">
        <f>SUM(T15:T17)</f>
        <v>740751.41526004113</v>
      </c>
      <c r="U18" s="38">
        <f>SUM(U15:U17)</f>
        <v>22268.861690116679</v>
      </c>
      <c r="V18" s="65">
        <f t="shared" si="1"/>
        <v>189.00000000000003</v>
      </c>
      <c r="W18" s="68">
        <f>SUM(W15:W17)</f>
        <v>4208814.8594320528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J19" s="59"/>
      <c r="K19" s="62"/>
      <c r="M19" s="59"/>
      <c r="N19" s="62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J20" s="59"/>
      <c r="K20" s="62"/>
      <c r="M20" s="59"/>
      <c r="N20" s="62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199</v>
      </c>
      <c r="C21" s="42">
        <f>C9+C15</f>
        <v>20061.69619799588</v>
      </c>
      <c r="D21" s="61">
        <f>E21/C21</f>
        <v>113.54336559734512</v>
      </c>
      <c r="E21" s="62">
        <f>E9+E15</f>
        <v>2277872.5059119146</v>
      </c>
      <c r="F21" s="33">
        <f>F9+F15</f>
        <v>22290.773553328752</v>
      </c>
      <c r="G21" s="61">
        <f>H21/F21</f>
        <v>113.54336559734516</v>
      </c>
      <c r="H21" s="62">
        <f>H9+H15</f>
        <v>2530969.4510132391</v>
      </c>
      <c r="I21" s="33">
        <f>I9+I15</f>
        <v>25634.389586328067</v>
      </c>
      <c r="J21" s="61">
        <f>K21/I21</f>
        <v>113.54336559734514</v>
      </c>
      <c r="K21" s="62">
        <f>K9+K15</f>
        <v>2910614.8686652249</v>
      </c>
      <c r="L21" s="33">
        <f>L9+L15</f>
        <v>23405.31223099519</v>
      </c>
      <c r="M21" s="61">
        <f>N21/L21</f>
        <v>113.54336559734514</v>
      </c>
      <c r="N21" s="62">
        <f>N9+N15</f>
        <v>2657517.9235639009</v>
      </c>
      <c r="O21" s="33">
        <f>O9+O15</f>
        <v>23405.31223099519</v>
      </c>
      <c r="P21" s="61">
        <f>Q21/O21</f>
        <v>113.54336559734514</v>
      </c>
      <c r="Q21" s="62">
        <f>Q9+Q15</f>
        <v>2657517.9235639009</v>
      </c>
      <c r="R21" s="33">
        <f>R9+R15</f>
        <v>24519.850908661629</v>
      </c>
      <c r="S21" s="61">
        <f>T21/R21</f>
        <v>113.54336559734516</v>
      </c>
      <c r="T21" s="62">
        <f>T9+T15</f>
        <v>2784066.3961145631</v>
      </c>
      <c r="U21" s="35">
        <f>C21+F21+I21+L21+O21+R21</f>
        <v>139317.3347083047</v>
      </c>
      <c r="V21" s="64">
        <f>IFERROR(W21/U21,0)</f>
        <v>113.54336559734516</v>
      </c>
      <c r="W21" s="67">
        <f>E21+H21+K21+N21+Q21+T21</f>
        <v>15818559.068832744</v>
      </c>
      <c r="X21" s="41"/>
      <c r="Y21" s="36"/>
      <c r="Z21" s="44"/>
      <c r="AA21" s="44"/>
    </row>
    <row r="22" spans="2:111" x14ac:dyDescent="0.2">
      <c r="B22" s="17" t="s">
        <v>200</v>
      </c>
      <c r="C22" s="42">
        <f t="shared" ref="C22:C23" si="2">C10+C16</f>
        <v>33131.005957446803</v>
      </c>
      <c r="D22" s="61">
        <f>E22/C22</f>
        <v>108.74965</v>
      </c>
      <c r="E22" s="62">
        <f t="shared" ref="E22:F23" si="3">E10+E16</f>
        <v>3602985.302020255</v>
      </c>
      <c r="F22" s="33">
        <f t="shared" si="3"/>
        <v>36812.228841607561</v>
      </c>
      <c r="G22" s="61">
        <f>H22/F22</f>
        <v>108.74965</v>
      </c>
      <c r="H22" s="62">
        <f t="shared" ref="H22:I23" si="4">H10+H16</f>
        <v>4003317.0022447277</v>
      </c>
      <c r="I22" s="33">
        <f t="shared" si="4"/>
        <v>42334.063167848697</v>
      </c>
      <c r="J22" s="61">
        <f>K22/I22</f>
        <v>108.74965</v>
      </c>
      <c r="K22" s="62">
        <f t="shared" ref="K22:L23" si="5">K10+K16</f>
        <v>4603814.5525814369</v>
      </c>
      <c r="L22" s="33">
        <f t="shared" si="5"/>
        <v>38652.84028368794</v>
      </c>
      <c r="M22" s="61">
        <f>N22/L22</f>
        <v>108.74964999999999</v>
      </c>
      <c r="N22" s="62">
        <f t="shared" ref="N22:O23" si="6">N10+N16</f>
        <v>4203482.8523569638</v>
      </c>
      <c r="O22" s="33">
        <f t="shared" si="6"/>
        <v>38652.84028368794</v>
      </c>
      <c r="P22" s="61">
        <f>Q22/O22</f>
        <v>108.74964999999999</v>
      </c>
      <c r="Q22" s="62">
        <f t="shared" ref="Q22:R23" si="7">Q10+Q16</f>
        <v>4203482.8523569638</v>
      </c>
      <c r="R22" s="33">
        <f t="shared" si="7"/>
        <v>40493.451725768318</v>
      </c>
      <c r="S22" s="61">
        <f>T22/R22</f>
        <v>108.74965</v>
      </c>
      <c r="T22" s="62">
        <f t="shared" ref="T22:T23" si="8">T10+T16</f>
        <v>4403648.7024692008</v>
      </c>
      <c r="U22" s="35">
        <f>C22+F22+I22+L22+O22+R22</f>
        <v>230076.43026004726</v>
      </c>
      <c r="V22" s="64">
        <f t="shared" ref="V22:V24" si="9">IFERROR(W22/U22,0)</f>
        <v>108.74965</v>
      </c>
      <c r="W22" s="67">
        <f>E22+H22+K22+N22+Q22+T22</f>
        <v>25020731.264029548</v>
      </c>
      <c r="X22" s="41"/>
      <c r="Y22" s="36"/>
      <c r="Z22" s="44"/>
      <c r="AA22" s="44"/>
    </row>
    <row r="23" spans="2:111" x14ac:dyDescent="0.2">
      <c r="B23" s="17" t="s">
        <v>201</v>
      </c>
      <c r="C23" s="42">
        <f t="shared" si="2"/>
        <v>2301.9574468085111</v>
      </c>
      <c r="D23" s="61">
        <f>E23/C23</f>
        <v>178.76398596938776</v>
      </c>
      <c r="E23" s="62">
        <f t="shared" si="3"/>
        <v>411507.08872340433</v>
      </c>
      <c r="F23" s="33">
        <f t="shared" si="3"/>
        <v>2557.7304964539012</v>
      </c>
      <c r="G23" s="61">
        <f>H23/F23</f>
        <v>178.76398596938776</v>
      </c>
      <c r="H23" s="62">
        <f t="shared" si="4"/>
        <v>457230.09858156036</v>
      </c>
      <c r="I23" s="33">
        <f t="shared" si="4"/>
        <v>2941.3900709219865</v>
      </c>
      <c r="J23" s="61">
        <f>K23/I23</f>
        <v>178.76398596938776</v>
      </c>
      <c r="K23" s="62">
        <f t="shared" si="5"/>
        <v>525814.61336879444</v>
      </c>
      <c r="L23" s="33">
        <f t="shared" si="5"/>
        <v>2685.6170212765965</v>
      </c>
      <c r="M23" s="61">
        <f>N23/L23</f>
        <v>178.76398596938773</v>
      </c>
      <c r="N23" s="62">
        <f t="shared" si="6"/>
        <v>480091.60351063835</v>
      </c>
      <c r="O23" s="33">
        <f t="shared" si="6"/>
        <v>2685.6170212765965</v>
      </c>
      <c r="P23" s="61">
        <f>Q23/O23</f>
        <v>178.76398596938773</v>
      </c>
      <c r="Q23" s="62">
        <f t="shared" si="7"/>
        <v>480091.60351063835</v>
      </c>
      <c r="R23" s="33">
        <f t="shared" si="7"/>
        <v>2813.5035460992913</v>
      </c>
      <c r="S23" s="61">
        <f>T23/R23</f>
        <v>178.76398596938773</v>
      </c>
      <c r="T23" s="62">
        <f t="shared" si="8"/>
        <v>502953.10843971634</v>
      </c>
      <c r="U23" s="35">
        <f>C23+F23+I23+L23+O23+R23</f>
        <v>15985.815602836883</v>
      </c>
      <c r="V23" s="64">
        <f t="shared" si="9"/>
        <v>178.76398596938773</v>
      </c>
      <c r="W23" s="67">
        <f>E23+H23+K23+N23+Q23+T23</f>
        <v>2857688.1161347521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113.38685455060109</v>
      </c>
      <c r="E24" s="63">
        <f>SUM(E21:E23)</f>
        <v>6292364.8966555744</v>
      </c>
      <c r="F24" s="38">
        <f>SUM(F21:F23)</f>
        <v>61660.732891390209</v>
      </c>
      <c r="G24" s="60">
        <f>H24/F24</f>
        <v>113.3868545506011</v>
      </c>
      <c r="H24" s="63">
        <f>SUM(H21:H23)</f>
        <v>6991516.5518395267</v>
      </c>
      <c r="I24" s="38">
        <f>SUM(I21:I23)</f>
        <v>70909.842825098749</v>
      </c>
      <c r="J24" s="60">
        <f>K24/I24</f>
        <v>113.38685455060109</v>
      </c>
      <c r="K24" s="63">
        <f>SUM(K21:K23)</f>
        <v>8040244.0346154561</v>
      </c>
      <c r="L24" s="38">
        <f>SUM(L21:L23)</f>
        <v>64743.76953595972</v>
      </c>
      <c r="M24" s="60">
        <f>N24/L24</f>
        <v>113.3868545506011</v>
      </c>
      <c r="N24" s="63">
        <f>SUM(N21:N23)</f>
        <v>7341092.3794315029</v>
      </c>
      <c r="O24" s="38">
        <f>SUM(O21:O23)</f>
        <v>64743.76953595972</v>
      </c>
      <c r="P24" s="60">
        <f>Q24/O24</f>
        <v>113.3868545506011</v>
      </c>
      <c r="Q24" s="63">
        <f>SUM(Q21:Q23)</f>
        <v>7341092.3794315029</v>
      </c>
      <c r="R24" s="38">
        <f>SUM(R21:R23)</f>
        <v>67826.806180529238</v>
      </c>
      <c r="S24" s="60">
        <f>T24/R24</f>
        <v>113.38685455060109</v>
      </c>
      <c r="T24" s="63">
        <f>SUM(T21:T23)</f>
        <v>7690668.20702348</v>
      </c>
      <c r="U24" s="38">
        <f>SUM(U21:U23)</f>
        <v>385379.58057118882</v>
      </c>
      <c r="V24" s="65">
        <f t="shared" si="9"/>
        <v>113.3868545506011</v>
      </c>
      <c r="W24" s="68">
        <f>SUM(W21:W23)</f>
        <v>43696978.448997043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157"/>
      <c r="C29" s="1058" t="s">
        <v>196</v>
      </c>
      <c r="D29" s="1059"/>
      <c r="E29" s="1059"/>
      <c r="F29" s="1059"/>
      <c r="G29" s="1059"/>
      <c r="H29" s="1059"/>
      <c r="I29" s="1059"/>
      <c r="J29" s="1059"/>
      <c r="K29" s="1059"/>
      <c r="L29" s="1059"/>
      <c r="M29" s="1059"/>
      <c r="N29" s="1059"/>
      <c r="O29" s="1059"/>
      <c r="P29" s="1059"/>
      <c r="Q29" s="1059"/>
      <c r="R29" s="1059"/>
      <c r="S29" s="1059"/>
      <c r="T29" s="1059"/>
      <c r="U29" s="1059"/>
      <c r="V29" s="1059"/>
      <c r="W29" s="1060"/>
      <c r="X29" s="14"/>
      <c r="Y29" s="1069" t="s">
        <v>3</v>
      </c>
      <c r="Z29" s="1070"/>
      <c r="AA29" s="1071"/>
    </row>
    <row r="30" spans="2:111" x14ac:dyDescent="0.2">
      <c r="B30" s="414"/>
      <c r="C30" s="1047" t="s">
        <v>23</v>
      </c>
      <c r="D30" s="1047"/>
      <c r="E30" s="1048"/>
      <c r="F30" s="1046" t="s">
        <v>24</v>
      </c>
      <c r="G30" s="1047"/>
      <c r="H30" s="1048"/>
      <c r="I30" s="1046" t="s">
        <v>25</v>
      </c>
      <c r="J30" s="1047"/>
      <c r="K30" s="1048"/>
      <c r="L30" s="1046" t="s">
        <v>26</v>
      </c>
      <c r="M30" s="1047"/>
      <c r="N30" s="1048"/>
      <c r="O30" s="1046" t="s">
        <v>27</v>
      </c>
      <c r="P30" s="1047"/>
      <c r="Q30" s="1048"/>
      <c r="R30" s="1046" t="s">
        <v>28</v>
      </c>
      <c r="S30" s="1047"/>
      <c r="T30" s="1049"/>
      <c r="U30" s="1063" t="s">
        <v>275</v>
      </c>
      <c r="V30" s="1064"/>
      <c r="W30" s="1065"/>
      <c r="X30" s="16"/>
      <c r="Y30" s="1072"/>
      <c r="Z30" s="1073"/>
      <c r="AA30" s="1074"/>
    </row>
    <row r="31" spans="2:111" x14ac:dyDescent="0.2">
      <c r="B31" s="122"/>
      <c r="C31" s="16" t="s">
        <v>0</v>
      </c>
      <c r="D31" s="16" t="s">
        <v>273</v>
      </c>
      <c r="E31" s="19" t="s">
        <v>1</v>
      </c>
      <c r="F31" s="16" t="s">
        <v>0</v>
      </c>
      <c r="G31" s="16" t="s">
        <v>273</v>
      </c>
      <c r="H31" s="19" t="s">
        <v>1</v>
      </c>
      <c r="I31" s="417" t="s">
        <v>0</v>
      </c>
      <c r="J31" s="16" t="s">
        <v>273</v>
      </c>
      <c r="K31" s="19" t="s">
        <v>1</v>
      </c>
      <c r="L31" s="417" t="s">
        <v>0</v>
      </c>
      <c r="M31" s="16" t="s">
        <v>273</v>
      </c>
      <c r="N31" s="19" t="s">
        <v>1</v>
      </c>
      <c r="O31" s="417" t="s">
        <v>0</v>
      </c>
      <c r="P31" s="16" t="s">
        <v>274</v>
      </c>
      <c r="Q31" s="19" t="s">
        <v>1</v>
      </c>
      <c r="R31" s="417" t="s">
        <v>0</v>
      </c>
      <c r="S31" s="16" t="s">
        <v>273</v>
      </c>
      <c r="T31" s="418" t="s">
        <v>1</v>
      </c>
      <c r="U31" s="24" t="s">
        <v>0</v>
      </c>
      <c r="V31" s="24" t="s">
        <v>273</v>
      </c>
      <c r="W31" s="25" t="s">
        <v>1</v>
      </c>
      <c r="X31" s="16"/>
      <c r="Y31" s="47" t="s">
        <v>0</v>
      </c>
      <c r="Z31" s="24" t="s">
        <v>273</v>
      </c>
      <c r="AA31" s="25" t="s">
        <v>1</v>
      </c>
    </row>
    <row r="32" spans="2:111" x14ac:dyDescent="0.2">
      <c r="B32" s="415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122" t="s">
        <v>199</v>
      </c>
      <c r="C33" s="33">
        <f>'Tab 3'!C33</f>
        <v>23055.169549073435</v>
      </c>
      <c r="D33" s="59">
        <f>'Tab. 6'!$F$8</f>
        <v>108.74965</v>
      </c>
      <c r="E33" s="62">
        <f>C33*D33</f>
        <v>2507241.6191523941</v>
      </c>
      <c r="F33" s="33">
        <f>'Tab 3'!F33</f>
        <v>12575.547026767326</v>
      </c>
      <c r="G33" s="59">
        <f>'Tab. 6'!$F$8</f>
        <v>108.74965</v>
      </c>
      <c r="H33" s="62">
        <f>F33*G33</f>
        <v>1367586.3377194875</v>
      </c>
      <c r="I33" s="33">
        <f>'Tab 3'!I33</f>
        <v>23055.169549073435</v>
      </c>
      <c r="J33" s="59">
        <f>'Tab. 6'!$F$8</f>
        <v>108.74965</v>
      </c>
      <c r="K33" s="62">
        <f>I33*J33</f>
        <v>2507241.6191523941</v>
      </c>
      <c r="L33" s="33">
        <f>'Tab 3'!L33</f>
        <v>22007.207296842822</v>
      </c>
      <c r="M33" s="59">
        <f>'Tab. 6'!$F$8</f>
        <v>108.74965</v>
      </c>
      <c r="N33" s="62">
        <f>L33*M33</f>
        <v>2393276.0910091032</v>
      </c>
      <c r="O33" s="33">
        <f>'Tab 3'!O33</f>
        <v>22007.207296842822</v>
      </c>
      <c r="P33" s="59">
        <f>'Tab. 6'!$F$8</f>
        <v>108.74965</v>
      </c>
      <c r="Q33" s="62">
        <f>O33*P33</f>
        <v>2393276.0910091032</v>
      </c>
      <c r="R33" s="33">
        <f>'Tab 3'!R33</f>
        <v>12575.547026767326</v>
      </c>
      <c r="S33" s="59">
        <f>'Tab. 6'!$F$8</f>
        <v>108.74965</v>
      </c>
      <c r="T33" s="62">
        <f>R33*S33</f>
        <v>1367586.3377194875</v>
      </c>
      <c r="U33" s="35">
        <f>C33+F33+I33+L33+O33+R33</f>
        <v>115275.84774536717</v>
      </c>
      <c r="V33" s="64">
        <f>IFERROR(W33/U33,0)</f>
        <v>108.74964999999999</v>
      </c>
      <c r="W33" s="67">
        <f>E33+H33+K33+N33+Q33+T33</f>
        <v>12536208.095761968</v>
      </c>
      <c r="X33" s="36"/>
      <c r="Y33" s="35">
        <f>U9+U33</f>
        <v>246271.12927419349</v>
      </c>
      <c r="Z33" s="64">
        <f>IFERROR(AA33/Y33,0)</f>
        <v>108.74965000000002</v>
      </c>
      <c r="AA33" s="67">
        <f>W9+W33</f>
        <v>26781899.1136733</v>
      </c>
    </row>
    <row r="34" spans="2:32" x14ac:dyDescent="0.2">
      <c r="B34" s="122" t="s">
        <v>200</v>
      </c>
      <c r="C34" s="33">
        <f>'Tab 3'!C34</f>
        <v>40493.451725768318</v>
      </c>
      <c r="D34" s="59">
        <f>'Tab. 6'!$F$8</f>
        <v>108.74965</v>
      </c>
      <c r="E34" s="62">
        <f>C34*D34</f>
        <v>4403648.7024692008</v>
      </c>
      <c r="F34" s="33">
        <f>'Tab 3'!F34</f>
        <v>22087.337304964538</v>
      </c>
      <c r="G34" s="59">
        <f>'Tab. 6'!$F$8</f>
        <v>108.74965</v>
      </c>
      <c r="H34" s="62">
        <f>F34*G34</f>
        <v>2401990.201346837</v>
      </c>
      <c r="I34" s="33">
        <f>'Tab 3'!I34</f>
        <v>40493.451725768318</v>
      </c>
      <c r="J34" s="59">
        <f>'Tab. 6'!$F$8</f>
        <v>108.74965</v>
      </c>
      <c r="K34" s="62">
        <f>I34*J34</f>
        <v>4403648.7024692008</v>
      </c>
      <c r="L34" s="33">
        <f>'Tab 3'!L34</f>
        <v>38652.84028368794</v>
      </c>
      <c r="M34" s="59">
        <f>'Tab. 6'!$F$8</f>
        <v>108.74965</v>
      </c>
      <c r="N34" s="62">
        <f>L34*M34</f>
        <v>4203482.8523569638</v>
      </c>
      <c r="O34" s="33">
        <f>'Tab 3'!O34</f>
        <v>38652.84028368794</v>
      </c>
      <c r="P34" s="59">
        <f>'Tab. 6'!$F$8</f>
        <v>108.74965</v>
      </c>
      <c r="Q34" s="62">
        <f>O34*P34</f>
        <v>4203482.8523569638</v>
      </c>
      <c r="R34" s="33">
        <f>'Tab 3'!R34</f>
        <v>22087.337304964538</v>
      </c>
      <c r="S34" s="59">
        <f>'Tab. 6'!$F$8</f>
        <v>108.74965</v>
      </c>
      <c r="T34" s="62">
        <f>R34*S34</f>
        <v>2401990.201346837</v>
      </c>
      <c r="U34" s="35">
        <f>C34+F34+I34+L34+O34+R34</f>
        <v>202467.25862884161</v>
      </c>
      <c r="V34" s="64">
        <f t="shared" ref="V34:V36" si="10">IFERROR(W34/U34,0)</f>
        <v>108.74964999999999</v>
      </c>
      <c r="W34" s="67">
        <f>E34+H34+K34+N34+Q34+T34</f>
        <v>22018243.512346003</v>
      </c>
      <c r="X34" s="36"/>
      <c r="Y34" s="35">
        <f>U10+U34</f>
        <v>432543.68888888886</v>
      </c>
      <c r="Z34" s="64">
        <f t="shared" ref="Z34:Z36" si="11">IFERROR(AA34/Y34,0)</f>
        <v>108.74964999999999</v>
      </c>
      <c r="AA34" s="67">
        <f>W10+W34</f>
        <v>47038974.776375547</v>
      </c>
    </row>
    <row r="35" spans="2:32" x14ac:dyDescent="0.2">
      <c r="B35" s="122" t="s">
        <v>201</v>
      </c>
      <c r="C35" s="33">
        <f>'Tab 3'!C35</f>
        <v>358.86524822695065</v>
      </c>
      <c r="D35" s="59">
        <f>'Tab. 6'!$F$8</f>
        <v>108.74965</v>
      </c>
      <c r="E35" s="62">
        <f>C35*D35</f>
        <v>39026.470141844002</v>
      </c>
      <c r="F35" s="33">
        <f>'Tab 3'!F35</f>
        <v>195.744680851064</v>
      </c>
      <c r="G35" s="59">
        <f>'Tab. 6'!$F$8</f>
        <v>108.74965</v>
      </c>
      <c r="H35" s="62">
        <f>F35*G35</f>
        <v>21287.165531914914</v>
      </c>
      <c r="I35" s="33">
        <f>'Tab 3'!I35</f>
        <v>358.86524822695065</v>
      </c>
      <c r="J35" s="59">
        <f>'Tab. 6'!$F$8</f>
        <v>108.74965</v>
      </c>
      <c r="K35" s="62">
        <f>I35*J35</f>
        <v>39026.470141844002</v>
      </c>
      <c r="L35" s="33">
        <f>'Tab 3'!L35</f>
        <v>342.55319148936201</v>
      </c>
      <c r="M35" s="59">
        <f>'Tab. 6'!$F$8</f>
        <v>108.74965</v>
      </c>
      <c r="N35" s="62">
        <f>L35*M35</f>
        <v>37252.5396808511</v>
      </c>
      <c r="O35" s="33">
        <f>'Tab 3'!O35</f>
        <v>342.55319148936201</v>
      </c>
      <c r="P35" s="59">
        <f>'Tab. 6'!$F$8</f>
        <v>108.74965</v>
      </c>
      <c r="Q35" s="62">
        <f>O35*P35</f>
        <v>37252.5396808511</v>
      </c>
      <c r="R35" s="33">
        <f>'Tab 3'!R35</f>
        <v>195.744680851064</v>
      </c>
      <c r="S35" s="59">
        <f>'Tab. 6'!$F$8</f>
        <v>108.74965</v>
      </c>
      <c r="T35" s="62">
        <f>R35*S35</f>
        <v>21287.165531914914</v>
      </c>
      <c r="U35" s="35">
        <f>C35+F35+I35+L35+O35+R35</f>
        <v>1794.3262411347532</v>
      </c>
      <c r="V35" s="64">
        <f t="shared" si="10"/>
        <v>108.74965000000002</v>
      </c>
      <c r="W35" s="67">
        <f>E35+H35+K35+N35+Q35+T35</f>
        <v>195132.35070922005</v>
      </c>
      <c r="X35" s="36"/>
      <c r="Y35" s="35">
        <f>U11+U35</f>
        <v>3833.3333333333367</v>
      </c>
      <c r="Z35" s="64">
        <f t="shared" si="11"/>
        <v>108.74965</v>
      </c>
      <c r="AA35" s="67">
        <f>W11+W35</f>
        <v>416873.65833333373</v>
      </c>
    </row>
    <row r="36" spans="2:32" ht="17" thickBot="1" x14ac:dyDescent="0.25">
      <c r="B36" s="416" t="s">
        <v>189</v>
      </c>
      <c r="C36" s="39">
        <f>SUM(C33:C35)</f>
        <v>63907.486523068706</v>
      </c>
      <c r="D36" s="60">
        <f>E36/C36</f>
        <v>108.74965</v>
      </c>
      <c r="E36" s="63">
        <f>SUM(E33:E35)</f>
        <v>6949916.7917634388</v>
      </c>
      <c r="F36" s="39">
        <f>SUM(F33:F35)</f>
        <v>34858.629012582933</v>
      </c>
      <c r="G36" s="60">
        <f>H36/F36</f>
        <v>108.74965</v>
      </c>
      <c r="H36" s="63">
        <f>SUM(H33:H35)</f>
        <v>3790863.7045982396</v>
      </c>
      <c r="I36" s="39">
        <f>SUM(I33:I35)</f>
        <v>63907.486523068706</v>
      </c>
      <c r="J36" s="60">
        <f>K36/I36</f>
        <v>108.74965</v>
      </c>
      <c r="K36" s="63">
        <f>SUM(K33:K35)</f>
        <v>6949916.7917634388</v>
      </c>
      <c r="L36" s="39">
        <f>SUM(L33:L35)</f>
        <v>61002.600772020131</v>
      </c>
      <c r="M36" s="60">
        <f>N36/L36</f>
        <v>108.74964999999999</v>
      </c>
      <c r="N36" s="63">
        <f>SUM(N33:N35)</f>
        <v>6634011.4830469182</v>
      </c>
      <c r="O36" s="39">
        <f>SUM(O33:O35)</f>
        <v>61002.600772020131</v>
      </c>
      <c r="P36" s="60">
        <f>Q36/O36</f>
        <v>108.74964999999999</v>
      </c>
      <c r="Q36" s="63">
        <f>SUM(Q33:Q35)</f>
        <v>6634011.4830469182</v>
      </c>
      <c r="R36" s="39">
        <f>SUM(R33:R35)</f>
        <v>34858.629012582933</v>
      </c>
      <c r="S36" s="60">
        <f>T36/R36</f>
        <v>108.74965</v>
      </c>
      <c r="T36" s="63">
        <f>SUM(T33:T35)</f>
        <v>3790863.7045982396</v>
      </c>
      <c r="U36" s="38">
        <f>SUM(U33:U35)</f>
        <v>319537.43261534348</v>
      </c>
      <c r="V36" s="65">
        <f t="shared" si="10"/>
        <v>108.74965000000002</v>
      </c>
      <c r="W36" s="68">
        <f>SUM(W33:W35)</f>
        <v>34749583.958817191</v>
      </c>
      <c r="X36" s="41"/>
      <c r="Y36" s="38">
        <f>SUM(Y33:Y35)</f>
        <v>682648.15149641572</v>
      </c>
      <c r="Z36" s="65">
        <f t="shared" si="11"/>
        <v>108.74964999999999</v>
      </c>
      <c r="AA36" s="68">
        <f>SUM(AA33:AA35)</f>
        <v>74237747.548382178</v>
      </c>
      <c r="AC36" s="48"/>
      <c r="AD36" s="48"/>
      <c r="AE36" s="48"/>
      <c r="AF36" s="43"/>
    </row>
    <row r="37" spans="2:32" x14ac:dyDescent="0.2">
      <c r="B37" s="122"/>
      <c r="D37" s="59"/>
      <c r="E37" s="62"/>
      <c r="G37" s="59"/>
      <c r="H37" s="62"/>
      <c r="J37" s="59"/>
      <c r="K37" s="62"/>
      <c r="M37" s="59"/>
      <c r="N37" s="62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415"/>
      <c r="D38" s="59"/>
      <c r="E38" s="62"/>
      <c r="G38" s="59"/>
      <c r="H38" s="62"/>
      <c r="J38" s="59"/>
      <c r="K38" s="62"/>
      <c r="M38" s="59"/>
      <c r="N38" s="62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122" t="s">
        <v>199</v>
      </c>
      <c r="C39" s="33">
        <f>'Tab 3'!C39</f>
        <v>1464.6813595881949</v>
      </c>
      <c r="D39" s="59">
        <f>'Tab. 6'!$F$17</f>
        <v>189</v>
      </c>
      <c r="E39" s="62">
        <f>C39*D39</f>
        <v>276824.77696216886</v>
      </c>
      <c r="F39" s="33">
        <f>'Tab 3'!F39</f>
        <v>798.91710522992457</v>
      </c>
      <c r="G39" s="59">
        <f>'Tab. 6'!$F$17</f>
        <v>189</v>
      </c>
      <c r="H39" s="62">
        <f>F39*G39</f>
        <v>150995.33288845574</v>
      </c>
      <c r="I39" s="33">
        <f>'Tab 3'!I39</f>
        <v>1464.6813595881949</v>
      </c>
      <c r="J39" s="59">
        <f>'Tab. 6'!$F$17</f>
        <v>189</v>
      </c>
      <c r="K39" s="62">
        <f>I39*J39</f>
        <v>276824.77696216886</v>
      </c>
      <c r="L39" s="33">
        <f>'Tab 3'!L39</f>
        <v>1398.1049341523681</v>
      </c>
      <c r="M39" s="59">
        <f>'Tab. 6'!$F$17</f>
        <v>189</v>
      </c>
      <c r="N39" s="62">
        <f>L39*M39</f>
        <v>264241.83255479758</v>
      </c>
      <c r="O39" s="33">
        <f>'Tab 3'!O39</f>
        <v>1398.1049341523681</v>
      </c>
      <c r="P39" s="59">
        <f>'Tab. 6'!$F$17</f>
        <v>189</v>
      </c>
      <c r="Q39" s="62">
        <f>O39*P39</f>
        <v>264241.83255479758</v>
      </c>
      <c r="R39" s="33">
        <f>'Tab 3'!R39</f>
        <v>798.91710522992457</v>
      </c>
      <c r="S39" s="59">
        <f>'Tab. 6'!$F$17</f>
        <v>189</v>
      </c>
      <c r="T39" s="62">
        <f>R39*S39</f>
        <v>150995.33288845574</v>
      </c>
      <c r="U39" s="35">
        <f>C39+F39+I39+L39+O39+R39</f>
        <v>7323.4067979409756</v>
      </c>
      <c r="V39" s="64">
        <f>IFERROR(W39/U39,0)</f>
        <v>189</v>
      </c>
      <c r="W39" s="67">
        <f>E39+H39+K39+N39+Q39+T39</f>
        <v>1384123.8848108444</v>
      </c>
      <c r="X39" s="36"/>
      <c r="Y39" s="35">
        <f>U15+U39</f>
        <v>15645.459977419358</v>
      </c>
      <c r="Z39" s="64">
        <f>IFERROR(AA39/Y39,0)</f>
        <v>189</v>
      </c>
      <c r="AA39" s="67">
        <f>W15+W39</f>
        <v>2956991.9357322585</v>
      </c>
      <c r="AC39" s="48"/>
      <c r="AD39" s="48"/>
      <c r="AE39" s="48"/>
    </row>
    <row r="40" spans="2:32" x14ac:dyDescent="0.2">
      <c r="B40" s="122" t="s">
        <v>200</v>
      </c>
      <c r="C40" s="33">
        <f>'Tab 3'!C40</f>
        <v>0</v>
      </c>
      <c r="D40" s="59">
        <f>'Tab. 6'!$F$17</f>
        <v>189</v>
      </c>
      <c r="E40" s="62">
        <f>C40*D40</f>
        <v>0</v>
      </c>
      <c r="F40" s="33">
        <f>'Tab 3'!F40</f>
        <v>0</v>
      </c>
      <c r="G40" s="59">
        <f>'Tab. 6'!$F$17</f>
        <v>189</v>
      </c>
      <c r="H40" s="62">
        <f>F40*G40</f>
        <v>0</v>
      </c>
      <c r="I40" s="33">
        <f>'Tab 3'!I40</f>
        <v>0</v>
      </c>
      <c r="J40" s="59">
        <f>'Tab. 6'!$F$17</f>
        <v>189</v>
      </c>
      <c r="K40" s="62">
        <f>I40*J40</f>
        <v>0</v>
      </c>
      <c r="L40" s="33">
        <f>'Tab 3'!L40</f>
        <v>0</v>
      </c>
      <c r="M40" s="59">
        <f>'Tab. 6'!$F$17</f>
        <v>189</v>
      </c>
      <c r="N40" s="62">
        <f>L40*M40</f>
        <v>0</v>
      </c>
      <c r="O40" s="33">
        <f>'Tab 3'!O40</f>
        <v>0</v>
      </c>
      <c r="P40" s="59">
        <f>'Tab. 6'!$F$17</f>
        <v>189</v>
      </c>
      <c r="Q40" s="62">
        <f>O40*P40</f>
        <v>0</v>
      </c>
      <c r="R40" s="33">
        <f>'Tab 3'!R40</f>
        <v>0</v>
      </c>
      <c r="S40" s="59">
        <f>'Tab. 6'!$F$17</f>
        <v>189</v>
      </c>
      <c r="T40" s="62">
        <f>R40*S40</f>
        <v>0</v>
      </c>
      <c r="U40" s="35">
        <f>C40+F40+I40+L40+O40+R40</f>
        <v>0</v>
      </c>
      <c r="V40" s="64">
        <f t="shared" ref="V40:V42" si="12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3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122" t="s">
        <v>201</v>
      </c>
      <c r="C41" s="33">
        <f>'Tab 3'!C41</f>
        <v>2454.6382978723404</v>
      </c>
      <c r="D41" s="59">
        <f>'Tab. 6'!$F$17</f>
        <v>189</v>
      </c>
      <c r="E41" s="62">
        <f>C41*D41</f>
        <v>463926.63829787233</v>
      </c>
      <c r="F41" s="33">
        <f>'Tab 3'!F41</f>
        <v>1338.8936170212767</v>
      </c>
      <c r="G41" s="59">
        <f>'Tab. 6'!$F$17</f>
        <v>189</v>
      </c>
      <c r="H41" s="62">
        <f>F41*G41</f>
        <v>253050.8936170213</v>
      </c>
      <c r="I41" s="33">
        <f>'Tab 3'!I41</f>
        <v>2454.6382978723404</v>
      </c>
      <c r="J41" s="59">
        <f>'Tab. 6'!$F$17</f>
        <v>189</v>
      </c>
      <c r="K41" s="62">
        <f>I41*J41</f>
        <v>463926.63829787233</v>
      </c>
      <c r="L41" s="33">
        <f>'Tab 3'!L41</f>
        <v>2343.0638297872342</v>
      </c>
      <c r="M41" s="59">
        <f>'Tab. 6'!$F$17</f>
        <v>189</v>
      </c>
      <c r="N41" s="62">
        <f>L41*M41</f>
        <v>442839.06382978725</v>
      </c>
      <c r="O41" s="33">
        <f>'Tab 3'!O41</f>
        <v>2343.0638297872342</v>
      </c>
      <c r="P41" s="59">
        <f>'Tab. 6'!$F$17</f>
        <v>189</v>
      </c>
      <c r="Q41" s="62">
        <f>O41*P41</f>
        <v>442839.06382978725</v>
      </c>
      <c r="R41" s="33">
        <f>'Tab 3'!R41</f>
        <v>1338.8936170212767</v>
      </c>
      <c r="S41" s="59">
        <f>'Tab. 6'!$F$17</f>
        <v>189</v>
      </c>
      <c r="T41" s="62">
        <f>R41*S41</f>
        <v>253050.8936170213</v>
      </c>
      <c r="U41" s="35">
        <f>C41+F41+I41+L41+O41+R41</f>
        <v>12273.191489361701</v>
      </c>
      <c r="V41" s="64">
        <f t="shared" si="12"/>
        <v>189</v>
      </c>
      <c r="W41" s="67">
        <f>E41+H41+K41+N41+Q41+T41</f>
        <v>2319633.1914893617</v>
      </c>
      <c r="X41" s="36"/>
      <c r="Y41" s="35">
        <f>U17+U41</f>
        <v>26220</v>
      </c>
      <c r="Z41" s="64">
        <f t="shared" si="13"/>
        <v>189</v>
      </c>
      <c r="AA41" s="67">
        <f>W17+W41</f>
        <v>4955580</v>
      </c>
      <c r="AC41" s="48"/>
      <c r="AD41" s="48"/>
      <c r="AE41" s="48"/>
    </row>
    <row r="42" spans="2:32" ht="17" thickBot="1" x14ac:dyDescent="0.25">
      <c r="B42" s="416" t="s">
        <v>190</v>
      </c>
      <c r="C42" s="39">
        <f>SUM(C39:C41)</f>
        <v>3919.3196574605354</v>
      </c>
      <c r="D42" s="60">
        <f>E42/C42</f>
        <v>189</v>
      </c>
      <c r="E42" s="63">
        <f>SUM(E39:E41)</f>
        <v>740751.41526004113</v>
      </c>
      <c r="F42" s="39">
        <f>SUM(F39:F41)</f>
        <v>2137.8107222512012</v>
      </c>
      <c r="G42" s="60">
        <f>H42/F42</f>
        <v>189</v>
      </c>
      <c r="H42" s="63">
        <f>SUM(H39:H41)</f>
        <v>404046.22650547704</v>
      </c>
      <c r="I42" s="39">
        <f>SUM(I39:I41)</f>
        <v>3919.3196574605354</v>
      </c>
      <c r="J42" s="60">
        <f>K42/I42</f>
        <v>189</v>
      </c>
      <c r="K42" s="63">
        <f>SUM(K39:K41)</f>
        <v>740751.41526004113</v>
      </c>
      <c r="L42" s="39">
        <f>SUM(L39:L41)</f>
        <v>3741.1687639396023</v>
      </c>
      <c r="M42" s="60">
        <f>N42/L42</f>
        <v>189</v>
      </c>
      <c r="N42" s="63">
        <f>SUM(N39:N41)</f>
        <v>707080.89638458483</v>
      </c>
      <c r="O42" s="39">
        <f>SUM(O39:O41)</f>
        <v>3741.1687639396023</v>
      </c>
      <c r="P42" s="60">
        <f>Q42/O42</f>
        <v>189</v>
      </c>
      <c r="Q42" s="63">
        <f>SUM(Q39:Q41)</f>
        <v>707080.89638458483</v>
      </c>
      <c r="R42" s="39">
        <f>SUM(R39:R41)</f>
        <v>2137.8107222512012</v>
      </c>
      <c r="S42" s="60">
        <f>T42/R42</f>
        <v>189</v>
      </c>
      <c r="T42" s="63">
        <f>SUM(T39:T41)</f>
        <v>404046.22650547704</v>
      </c>
      <c r="U42" s="38">
        <f>SUM(U39:U41)</f>
        <v>19596.598287302677</v>
      </c>
      <c r="V42" s="65">
        <f t="shared" si="12"/>
        <v>189</v>
      </c>
      <c r="W42" s="68">
        <f>SUM(W39:W41)</f>
        <v>3703757.0763002061</v>
      </c>
      <c r="X42" s="41"/>
      <c r="Y42" s="38">
        <f>SUM(Y39:Y41)</f>
        <v>41865.459977419356</v>
      </c>
      <c r="Z42" s="65">
        <f t="shared" si="13"/>
        <v>189</v>
      </c>
      <c r="AA42" s="68">
        <f>SUM(AA39:AA41)</f>
        <v>7912571.9357322585</v>
      </c>
      <c r="AC42" s="48"/>
      <c r="AD42" s="48"/>
      <c r="AE42" s="48"/>
      <c r="AF42" s="43"/>
    </row>
    <row r="43" spans="2:32" x14ac:dyDescent="0.2">
      <c r="B43" s="122"/>
      <c r="D43" s="59"/>
      <c r="E43" s="62"/>
      <c r="G43" s="59"/>
      <c r="H43" s="62"/>
      <c r="J43" s="59"/>
      <c r="K43" s="62"/>
      <c r="M43" s="59"/>
      <c r="N43" s="62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415"/>
      <c r="D44" s="59"/>
      <c r="E44" s="62"/>
      <c r="G44" s="59"/>
      <c r="H44" s="62"/>
      <c r="J44" s="59"/>
      <c r="K44" s="62"/>
      <c r="M44" s="59"/>
      <c r="N44" s="62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122" t="s">
        <v>199</v>
      </c>
      <c r="C45" s="33">
        <f>C33+C39</f>
        <v>24519.850908661629</v>
      </c>
      <c r="D45" s="61">
        <f>E45/C45</f>
        <v>113.54336559734516</v>
      </c>
      <c r="E45" s="62">
        <f>E33+E39</f>
        <v>2784066.3961145631</v>
      </c>
      <c r="F45" s="33">
        <f>F33+F39</f>
        <v>13374.464131997251</v>
      </c>
      <c r="G45" s="61">
        <f>H45/F45</f>
        <v>113.54336559734516</v>
      </c>
      <c r="H45" s="62">
        <f>H33+H39</f>
        <v>1518581.6706079433</v>
      </c>
      <c r="I45" s="33">
        <f>I33+I39</f>
        <v>24519.850908661629</v>
      </c>
      <c r="J45" s="61">
        <f>K45/I45</f>
        <v>113.54336559734516</v>
      </c>
      <c r="K45" s="62">
        <f>K33+K39</f>
        <v>2784066.3961145631</v>
      </c>
      <c r="L45" s="33">
        <f>L33+L39</f>
        <v>23405.31223099519</v>
      </c>
      <c r="M45" s="61">
        <f>N45/L45</f>
        <v>113.54336559734514</v>
      </c>
      <c r="N45" s="62">
        <f>N33+N39</f>
        <v>2657517.9235639009</v>
      </c>
      <c r="O45" s="33">
        <f>O33+O39</f>
        <v>23405.31223099519</v>
      </c>
      <c r="P45" s="61">
        <f>Q45/O45</f>
        <v>113.54336559734514</v>
      </c>
      <c r="Q45" s="62">
        <f>Q33+Q39</f>
        <v>2657517.9235639009</v>
      </c>
      <c r="R45" s="33">
        <f>R33+R39</f>
        <v>13374.464131997251</v>
      </c>
      <c r="S45" s="61">
        <f>T45/R45</f>
        <v>113.54336559734516</v>
      </c>
      <c r="T45" s="62">
        <f>T33+T39</f>
        <v>1518581.6706079433</v>
      </c>
      <c r="U45" s="35">
        <f>C45+F45+I45+L45+O45+R45</f>
        <v>122599.25454330814</v>
      </c>
      <c r="V45" s="64">
        <f>IFERROR(W45/U45,0)</f>
        <v>113.54336559734516</v>
      </c>
      <c r="W45" s="67">
        <f>E45+H45+K45+N45+Q45+T45</f>
        <v>13920331.980572816</v>
      </c>
      <c r="Y45" s="35">
        <f>U21+U45</f>
        <v>261916.58925161284</v>
      </c>
      <c r="Z45" s="64">
        <f>IFERROR(AA45/Y45,0)</f>
        <v>113.54336559734516</v>
      </c>
      <c r="AA45" s="67">
        <f>W21+W45</f>
        <v>29738891.04940556</v>
      </c>
    </row>
    <row r="46" spans="2:32" x14ac:dyDescent="0.2">
      <c r="B46" s="122" t="s">
        <v>200</v>
      </c>
      <c r="C46" s="33">
        <f t="shared" ref="C46" si="14">C34+C40</f>
        <v>40493.451725768318</v>
      </c>
      <c r="D46" s="61">
        <f>E46/C46</f>
        <v>108.74965</v>
      </c>
      <c r="E46" s="62">
        <f t="shared" ref="E46:F47" si="15">E34+E40</f>
        <v>4403648.7024692008</v>
      </c>
      <c r="F46" s="33">
        <f t="shared" si="15"/>
        <v>22087.337304964538</v>
      </c>
      <c r="G46" s="61">
        <f>H46/F46</f>
        <v>108.74965000000002</v>
      </c>
      <c r="H46" s="62">
        <f t="shared" ref="H46:I47" si="16">H34+H40</f>
        <v>2401990.201346837</v>
      </c>
      <c r="I46" s="33">
        <f t="shared" si="16"/>
        <v>40493.451725768318</v>
      </c>
      <c r="J46" s="61">
        <f>K46/I46</f>
        <v>108.74965</v>
      </c>
      <c r="K46" s="62">
        <f t="shared" ref="K46:L47" si="17">K34+K40</f>
        <v>4403648.7024692008</v>
      </c>
      <c r="L46" s="33">
        <f t="shared" si="17"/>
        <v>38652.84028368794</v>
      </c>
      <c r="M46" s="61">
        <f>N46/L46</f>
        <v>108.74964999999999</v>
      </c>
      <c r="N46" s="62">
        <f t="shared" ref="N46:O47" si="18">N34+N40</f>
        <v>4203482.8523569638</v>
      </c>
      <c r="O46" s="33">
        <f t="shared" si="18"/>
        <v>38652.84028368794</v>
      </c>
      <c r="P46" s="61">
        <f>Q46/O46</f>
        <v>108.74964999999999</v>
      </c>
      <c r="Q46" s="62">
        <f t="shared" ref="Q46:R47" si="19">Q34+Q40</f>
        <v>4203482.8523569638</v>
      </c>
      <c r="R46" s="33">
        <f t="shared" si="19"/>
        <v>22087.337304964538</v>
      </c>
      <c r="S46" s="61">
        <f>T46/R46</f>
        <v>108.74965000000002</v>
      </c>
      <c r="T46" s="62">
        <f t="shared" ref="T46:T47" si="20">T34+T40</f>
        <v>2401990.201346837</v>
      </c>
      <c r="U46" s="35">
        <f>C46+F46+I46+L46+O46+R46</f>
        <v>202467.25862884161</v>
      </c>
      <c r="V46" s="64">
        <f t="shared" ref="V46:V48" si="21">IFERROR(W46/U46,0)</f>
        <v>108.74964999999999</v>
      </c>
      <c r="W46" s="67">
        <f>E46+H46+K46+N46+Q46+T46</f>
        <v>22018243.512346003</v>
      </c>
      <c r="Y46" s="35">
        <f>U22+U46</f>
        <v>432543.68888888886</v>
      </c>
      <c r="Z46" s="64">
        <f t="shared" ref="Z46:Z48" si="22">IFERROR(AA46/Y46,0)</f>
        <v>108.74964999999999</v>
      </c>
      <c r="AA46" s="67">
        <f>W22+W46</f>
        <v>47038974.776375547</v>
      </c>
    </row>
    <row r="47" spans="2:32" x14ac:dyDescent="0.2">
      <c r="B47" s="122" t="s">
        <v>201</v>
      </c>
      <c r="C47" s="33">
        <f t="shared" ref="C47" si="23">C35+C41</f>
        <v>2813.5035460992913</v>
      </c>
      <c r="D47" s="61">
        <f>E47/C47</f>
        <v>178.76398596938773</v>
      </c>
      <c r="E47" s="62">
        <f t="shared" si="15"/>
        <v>502953.10843971634</v>
      </c>
      <c r="F47" s="33">
        <f t="shared" si="15"/>
        <v>1534.6382978723407</v>
      </c>
      <c r="G47" s="61">
        <f>H47/F47</f>
        <v>178.76398596938773</v>
      </c>
      <c r="H47" s="62">
        <f t="shared" si="16"/>
        <v>274338.05914893618</v>
      </c>
      <c r="I47" s="33">
        <f t="shared" si="16"/>
        <v>2813.5035460992913</v>
      </c>
      <c r="J47" s="61">
        <f>K47/I47</f>
        <v>178.76398596938773</v>
      </c>
      <c r="K47" s="62">
        <f t="shared" si="17"/>
        <v>502953.10843971634</v>
      </c>
      <c r="L47" s="33">
        <f t="shared" si="17"/>
        <v>2685.6170212765965</v>
      </c>
      <c r="M47" s="61">
        <f>N47/L47</f>
        <v>178.76398596938773</v>
      </c>
      <c r="N47" s="62">
        <f t="shared" si="18"/>
        <v>480091.60351063835</v>
      </c>
      <c r="O47" s="33">
        <f t="shared" si="18"/>
        <v>2685.6170212765965</v>
      </c>
      <c r="P47" s="61">
        <f>Q47/O47</f>
        <v>178.76398596938773</v>
      </c>
      <c r="Q47" s="62">
        <f t="shared" si="19"/>
        <v>480091.60351063835</v>
      </c>
      <c r="R47" s="33">
        <f t="shared" si="19"/>
        <v>1534.6382978723407</v>
      </c>
      <c r="S47" s="61">
        <f>T47/R47</f>
        <v>178.76398596938773</v>
      </c>
      <c r="T47" s="62">
        <f t="shared" si="20"/>
        <v>274338.05914893618</v>
      </c>
      <c r="U47" s="35">
        <f>C47+F47+I47+L47+O47+R47</f>
        <v>14067.517730496456</v>
      </c>
      <c r="V47" s="64">
        <f t="shared" si="21"/>
        <v>178.76398596938773</v>
      </c>
      <c r="W47" s="67">
        <f>E47+H47+K47+N47+Q47+T47</f>
        <v>2514765.5421985816</v>
      </c>
      <c r="Y47" s="35">
        <f>U23+U47</f>
        <v>30053.333333333339</v>
      </c>
      <c r="Z47" s="64">
        <f t="shared" si="22"/>
        <v>178.7639859693877</v>
      </c>
      <c r="AA47" s="67">
        <f>W23+W47</f>
        <v>5372453.6583333332</v>
      </c>
    </row>
    <row r="48" spans="2:32" ht="17" thickBot="1" x14ac:dyDescent="0.25">
      <c r="B48" s="416" t="s">
        <v>3</v>
      </c>
      <c r="C48" s="39">
        <f>SUM(C45:C47)</f>
        <v>67826.806180529238</v>
      </c>
      <c r="D48" s="60">
        <f>E48/C48</f>
        <v>113.38685455060109</v>
      </c>
      <c r="E48" s="63">
        <f>SUM(E45:E47)</f>
        <v>7690668.20702348</v>
      </c>
      <c r="F48" s="38">
        <f>SUM(F45:F47)</f>
        <v>36996.43973483413</v>
      </c>
      <c r="G48" s="60">
        <f>H48/F48</f>
        <v>113.3868545506011</v>
      </c>
      <c r="H48" s="63">
        <f>SUM(H45:H47)</f>
        <v>4194909.9311037166</v>
      </c>
      <c r="I48" s="38">
        <f>SUM(I45:I47)</f>
        <v>67826.806180529238</v>
      </c>
      <c r="J48" s="60">
        <f>K48/I48</f>
        <v>113.38685455060109</v>
      </c>
      <c r="K48" s="63">
        <f>SUM(K45:K47)</f>
        <v>7690668.20702348</v>
      </c>
      <c r="L48" s="38">
        <f>SUM(L45:L47)</f>
        <v>64743.76953595972</v>
      </c>
      <c r="M48" s="60">
        <f>N48/L48</f>
        <v>113.3868545506011</v>
      </c>
      <c r="N48" s="63">
        <f>SUM(N45:N47)</f>
        <v>7341092.3794315029</v>
      </c>
      <c r="O48" s="38">
        <f>SUM(O45:O47)</f>
        <v>64743.76953595972</v>
      </c>
      <c r="P48" s="60">
        <f>Q48/O48</f>
        <v>113.3868545506011</v>
      </c>
      <c r="Q48" s="63">
        <f>SUM(Q45:Q47)</f>
        <v>7341092.3794315029</v>
      </c>
      <c r="R48" s="38">
        <f>SUM(R45:R47)</f>
        <v>36996.43973483413</v>
      </c>
      <c r="S48" s="60">
        <f>T48/R48</f>
        <v>113.3868545506011</v>
      </c>
      <c r="T48" s="63">
        <f>SUM(T45:T47)</f>
        <v>4194909.9311037166</v>
      </c>
      <c r="U48" s="38">
        <f>SUM(U45:U47)</f>
        <v>339134.03090264625</v>
      </c>
      <c r="V48" s="65">
        <f t="shared" si="21"/>
        <v>113.38685455060109</v>
      </c>
      <c r="W48" s="68">
        <f>SUM(W45:W47)</f>
        <v>38453341.035117403</v>
      </c>
      <c r="Y48" s="38">
        <f>SUM(Y45:Y47)</f>
        <v>724513.61147383507</v>
      </c>
      <c r="Z48" s="65">
        <f t="shared" si="22"/>
        <v>113.38685455060107</v>
      </c>
      <c r="AA48" s="68">
        <f>SUM(AA45:AA47)</f>
        <v>82150319.484114438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C29:W29"/>
    <mergeCell ref="Y29:AA30"/>
    <mergeCell ref="C30:E30"/>
    <mergeCell ref="F30:H30"/>
    <mergeCell ref="I30:K30"/>
    <mergeCell ref="L30:N30"/>
    <mergeCell ref="O30:Q30"/>
    <mergeCell ref="R30:T30"/>
    <mergeCell ref="U30:W30"/>
  </mergeCells>
  <pageMargins left="0.25" right="0.25" top="0.75" bottom="0.75" header="0.3" footer="0.3"/>
  <pageSetup paperSize="9" scale="43" orientation="landscape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97A7-875E-F54C-A0D3-58575AF387A1}">
  <sheetPr codeName="Foglio16">
    <tabColor theme="0" tint="-0.499984740745262"/>
  </sheetPr>
  <dimension ref="B2:M195"/>
  <sheetViews>
    <sheetView topLeftCell="B6" zoomScale="190" zoomScaleNormal="190" workbookViewId="0">
      <selection activeCell="L10" sqref="L10"/>
    </sheetView>
  </sheetViews>
  <sheetFormatPr baseColWidth="10" defaultRowHeight="14" x14ac:dyDescent="0.2"/>
  <cols>
    <col min="1" max="1" width="10.83203125" style="2"/>
    <col min="2" max="4" width="13.5" style="2" customWidth="1"/>
    <col min="5" max="12" width="13.5" style="421" customWidth="1"/>
    <col min="13" max="13" width="12.1640625" style="2" customWidth="1"/>
    <col min="14" max="16384" width="10.83203125" style="2"/>
  </cols>
  <sheetData>
    <row r="2" spans="2:13" x14ac:dyDescent="0.2">
      <c r="B2" s="2" t="s">
        <v>279</v>
      </c>
    </row>
    <row r="4" spans="2:13" x14ac:dyDescent="0.2">
      <c r="B4" s="2" t="s">
        <v>82</v>
      </c>
      <c r="E4" s="426">
        <v>0.23810000000000001</v>
      </c>
    </row>
    <row r="5" spans="2:13" x14ac:dyDescent="0.2">
      <c r="B5" s="2" t="s">
        <v>83</v>
      </c>
      <c r="E5" s="426">
        <f>33%-E4</f>
        <v>9.1900000000000009E-2</v>
      </c>
    </row>
    <row r="6" spans="2:13" x14ac:dyDescent="0.2">
      <c r="B6" s="2" t="s">
        <v>84</v>
      </c>
      <c r="E6" s="426">
        <v>0.25</v>
      </c>
    </row>
    <row r="8" spans="2:13" x14ac:dyDescent="0.2">
      <c r="B8" s="1090" t="s">
        <v>170</v>
      </c>
      <c r="C8" s="1090"/>
      <c r="D8" s="1090"/>
      <c r="E8" s="1090"/>
      <c r="F8" s="1090"/>
      <c r="G8" s="1090"/>
      <c r="H8" s="1090"/>
      <c r="I8" s="1090"/>
      <c r="J8" s="1090"/>
      <c r="K8" s="1090"/>
      <c r="L8" s="1090"/>
    </row>
    <row r="9" spans="2:13" x14ac:dyDescent="0.2">
      <c r="B9" s="422" t="s">
        <v>79</v>
      </c>
      <c r="C9" s="422" t="s">
        <v>672</v>
      </c>
      <c r="D9" s="422" t="s">
        <v>280</v>
      </c>
      <c r="E9" s="422" t="s">
        <v>660</v>
      </c>
      <c r="F9" s="423" t="s">
        <v>281</v>
      </c>
      <c r="G9" s="423" t="s">
        <v>51</v>
      </c>
      <c r="H9" s="423" t="s">
        <v>77</v>
      </c>
      <c r="I9" s="423" t="s">
        <v>282</v>
      </c>
      <c r="J9" s="423" t="s">
        <v>78</v>
      </c>
      <c r="K9" s="423" t="s">
        <v>283</v>
      </c>
      <c r="L9" s="423" t="s">
        <v>50</v>
      </c>
      <c r="M9" s="425" t="s">
        <v>284</v>
      </c>
    </row>
    <row r="10" spans="2:13" x14ac:dyDescent="0.2">
      <c r="B10" s="2" t="s">
        <v>475</v>
      </c>
      <c r="C10" s="2" t="s">
        <v>285</v>
      </c>
      <c r="D10" s="2" t="s">
        <v>285</v>
      </c>
      <c r="E10" s="2"/>
      <c r="F10" s="421">
        <v>52666.67</v>
      </c>
      <c r="G10" s="421">
        <f t="shared" ref="G10:G41" si="0">F10*$E$4</f>
        <v>12539.934127</v>
      </c>
      <c r="H10" s="421">
        <f>F10/12</f>
        <v>4388.8891666666668</v>
      </c>
      <c r="I10" s="421">
        <f t="shared" ref="I10:I41" si="1">H10*$E$4</f>
        <v>1044.9945105833333</v>
      </c>
      <c r="J10" s="421">
        <f>F10/12</f>
        <v>4388.8891666666668</v>
      </c>
      <c r="K10" s="421">
        <f t="shared" ref="K10:K41" si="2">J10*$E$4</f>
        <v>1044.9945105833333</v>
      </c>
      <c r="L10" s="421">
        <f>F10/13.5</f>
        <v>3901.2348148148149</v>
      </c>
      <c r="M10" s="424">
        <f>SUM(G10:L10)+F10</f>
        <v>79975.606296314814</v>
      </c>
    </row>
    <row r="11" spans="2:13" x14ac:dyDescent="0.2">
      <c r="B11" s="2" t="s">
        <v>476</v>
      </c>
      <c r="C11" s="2" t="s">
        <v>399</v>
      </c>
      <c r="D11" s="2" t="s">
        <v>286</v>
      </c>
      <c r="E11" s="2"/>
      <c r="F11" s="421">
        <v>23537.57</v>
      </c>
      <c r="G11" s="421">
        <f t="shared" si="0"/>
        <v>5604.2954170000003</v>
      </c>
      <c r="H11" s="421">
        <f t="shared" ref="H11:H53" si="3">F11/12</f>
        <v>1961.4641666666666</v>
      </c>
      <c r="I11" s="421">
        <f t="shared" si="1"/>
        <v>467.02461808333334</v>
      </c>
      <c r="J11" s="421">
        <f t="shared" ref="J11:J53" si="4">F11/12</f>
        <v>1961.4641666666666</v>
      </c>
      <c r="K11" s="421">
        <f t="shared" si="2"/>
        <v>467.02461808333334</v>
      </c>
      <c r="L11" s="421">
        <f t="shared" ref="L11:L53" si="5">F11/13.5</f>
        <v>1743.5237037037036</v>
      </c>
      <c r="M11" s="424">
        <f t="shared" ref="M11:M53" si="6">SUM(G11:L11)+F11</f>
        <v>35742.366690203708</v>
      </c>
    </row>
    <row r="12" spans="2:13" x14ac:dyDescent="0.2">
      <c r="B12" s="2" t="s">
        <v>477</v>
      </c>
      <c r="C12" s="2" t="s">
        <v>400</v>
      </c>
      <c r="D12" s="2" t="s">
        <v>287</v>
      </c>
      <c r="E12" s="2"/>
      <c r="F12" s="421">
        <v>40536.639999999999</v>
      </c>
      <c r="G12" s="421">
        <f t="shared" si="0"/>
        <v>9651.7739839999995</v>
      </c>
      <c r="H12" s="421">
        <f t="shared" si="3"/>
        <v>3378.0533333333333</v>
      </c>
      <c r="I12" s="421">
        <f t="shared" si="1"/>
        <v>804.31449866666662</v>
      </c>
      <c r="J12" s="421">
        <f t="shared" si="4"/>
        <v>3378.0533333333333</v>
      </c>
      <c r="K12" s="421">
        <f t="shared" si="2"/>
        <v>804.31449866666662</v>
      </c>
      <c r="L12" s="421">
        <f t="shared" si="5"/>
        <v>3002.7140740740742</v>
      </c>
      <c r="M12" s="424">
        <f t="shared" si="6"/>
        <v>61555.863722074071</v>
      </c>
    </row>
    <row r="13" spans="2:13" x14ac:dyDescent="0.2">
      <c r="B13" s="2" t="s">
        <v>478</v>
      </c>
      <c r="C13" s="2" t="s">
        <v>288</v>
      </c>
      <c r="D13" s="2" t="s">
        <v>288</v>
      </c>
      <c r="E13" s="2"/>
      <c r="F13" s="421">
        <v>59504.31</v>
      </c>
      <c r="G13" s="421">
        <f t="shared" si="0"/>
        <v>14167.976210999999</v>
      </c>
      <c r="H13" s="421">
        <f t="shared" si="3"/>
        <v>4958.6925000000001</v>
      </c>
      <c r="I13" s="421">
        <f t="shared" si="1"/>
        <v>1180.6646842500002</v>
      </c>
      <c r="J13" s="421">
        <f t="shared" si="4"/>
        <v>4958.6925000000001</v>
      </c>
      <c r="K13" s="421">
        <f t="shared" si="2"/>
        <v>1180.6646842500002</v>
      </c>
      <c r="L13" s="421">
        <f t="shared" si="5"/>
        <v>4407.7266666666665</v>
      </c>
      <c r="M13" s="424">
        <f t="shared" si="6"/>
        <v>90358.727246166673</v>
      </c>
    </row>
    <row r="14" spans="2:13" x14ac:dyDescent="0.2">
      <c r="B14" s="2" t="s">
        <v>479</v>
      </c>
      <c r="C14" s="2" t="s">
        <v>289</v>
      </c>
      <c r="D14" s="2" t="s">
        <v>289</v>
      </c>
      <c r="E14" s="2"/>
      <c r="F14" s="421">
        <v>27109.83</v>
      </c>
      <c r="G14" s="421">
        <f t="shared" si="0"/>
        <v>6454.850523000001</v>
      </c>
      <c r="H14" s="421">
        <f t="shared" si="3"/>
        <v>2259.1525000000001</v>
      </c>
      <c r="I14" s="421">
        <f t="shared" si="1"/>
        <v>537.90421025000001</v>
      </c>
      <c r="J14" s="421">
        <f t="shared" si="4"/>
        <v>2259.1525000000001</v>
      </c>
      <c r="K14" s="421">
        <f t="shared" si="2"/>
        <v>537.90421025000001</v>
      </c>
      <c r="L14" s="421">
        <f t="shared" si="5"/>
        <v>2008.1355555555556</v>
      </c>
      <c r="M14" s="424">
        <f t="shared" si="6"/>
        <v>41166.929499055565</v>
      </c>
    </row>
    <row r="15" spans="2:13" x14ac:dyDescent="0.2">
      <c r="B15" s="2" t="s">
        <v>480</v>
      </c>
      <c r="C15" s="2" t="s">
        <v>402</v>
      </c>
      <c r="D15" s="2" t="s">
        <v>290</v>
      </c>
      <c r="E15" s="2" t="s">
        <v>790</v>
      </c>
      <c r="F15" s="421">
        <v>23062.27</v>
      </c>
      <c r="G15" s="421">
        <f t="shared" si="0"/>
        <v>5491.1264870000005</v>
      </c>
      <c r="H15" s="421">
        <f t="shared" si="3"/>
        <v>1921.8558333333333</v>
      </c>
      <c r="I15" s="421">
        <f t="shared" si="1"/>
        <v>457.59387391666667</v>
      </c>
      <c r="J15" s="421">
        <f t="shared" si="4"/>
        <v>1921.8558333333333</v>
      </c>
      <c r="K15" s="421">
        <f t="shared" si="2"/>
        <v>457.59387391666667</v>
      </c>
      <c r="L15" s="421">
        <f t="shared" si="5"/>
        <v>1708.3162962962963</v>
      </c>
      <c r="M15" s="424">
        <f t="shared" si="6"/>
        <v>35020.612197796298</v>
      </c>
    </row>
    <row r="16" spans="2:13" x14ac:dyDescent="0.2">
      <c r="B16" s="2" t="s">
        <v>481</v>
      </c>
      <c r="C16" s="2" t="s">
        <v>402</v>
      </c>
      <c r="D16" s="2" t="s">
        <v>291</v>
      </c>
      <c r="E16" s="2" t="s">
        <v>790</v>
      </c>
      <c r="F16" s="421">
        <v>22137.439999999999</v>
      </c>
      <c r="G16" s="421">
        <f t="shared" si="0"/>
        <v>5270.9244639999997</v>
      </c>
      <c r="H16" s="421">
        <f t="shared" si="3"/>
        <v>1844.7866666666666</v>
      </c>
      <c r="I16" s="421">
        <f t="shared" si="1"/>
        <v>439.24370533333331</v>
      </c>
      <c r="J16" s="421">
        <f t="shared" si="4"/>
        <v>1844.7866666666666</v>
      </c>
      <c r="K16" s="421">
        <f t="shared" si="2"/>
        <v>439.24370533333331</v>
      </c>
      <c r="L16" s="421">
        <f t="shared" si="5"/>
        <v>1639.8103703703703</v>
      </c>
      <c r="M16" s="424">
        <f t="shared" si="6"/>
        <v>33616.235578370368</v>
      </c>
    </row>
    <row r="17" spans="2:13" x14ac:dyDescent="0.2">
      <c r="B17" s="2" t="s">
        <v>482</v>
      </c>
      <c r="C17" s="2" t="s">
        <v>402</v>
      </c>
      <c r="D17" s="2" t="s">
        <v>292</v>
      </c>
      <c r="E17" s="2" t="s">
        <v>790</v>
      </c>
      <c r="F17" s="421">
        <v>20242.759999999998</v>
      </c>
      <c r="G17" s="421">
        <f t="shared" si="0"/>
        <v>4819.8011559999995</v>
      </c>
      <c r="H17" s="421">
        <f t="shared" si="3"/>
        <v>1686.8966666666665</v>
      </c>
      <c r="I17" s="421">
        <f t="shared" si="1"/>
        <v>401.65009633333329</v>
      </c>
      <c r="J17" s="421">
        <f t="shared" si="4"/>
        <v>1686.8966666666665</v>
      </c>
      <c r="K17" s="421">
        <f t="shared" si="2"/>
        <v>401.65009633333329</v>
      </c>
      <c r="L17" s="421">
        <f t="shared" si="5"/>
        <v>1499.4637037037037</v>
      </c>
      <c r="M17" s="424">
        <f t="shared" si="6"/>
        <v>30739.118385703703</v>
      </c>
    </row>
    <row r="18" spans="2:13" x14ac:dyDescent="0.2">
      <c r="B18" s="2" t="s">
        <v>483</v>
      </c>
      <c r="C18" s="2" t="s">
        <v>402</v>
      </c>
      <c r="D18" s="2" t="s">
        <v>293</v>
      </c>
      <c r="E18" s="2" t="s">
        <v>790</v>
      </c>
      <c r="F18" s="421">
        <v>20242.759999999998</v>
      </c>
      <c r="G18" s="421">
        <f t="shared" si="0"/>
        <v>4819.8011559999995</v>
      </c>
      <c r="H18" s="421">
        <f t="shared" si="3"/>
        <v>1686.8966666666665</v>
      </c>
      <c r="I18" s="421">
        <f t="shared" si="1"/>
        <v>401.65009633333329</v>
      </c>
      <c r="J18" s="421">
        <f t="shared" si="4"/>
        <v>1686.8966666666665</v>
      </c>
      <c r="K18" s="421">
        <f t="shared" si="2"/>
        <v>401.65009633333329</v>
      </c>
      <c r="L18" s="421">
        <f t="shared" si="5"/>
        <v>1499.4637037037037</v>
      </c>
      <c r="M18" s="424">
        <f t="shared" si="6"/>
        <v>30739.118385703703</v>
      </c>
    </row>
    <row r="19" spans="2:13" x14ac:dyDescent="0.2">
      <c r="B19" s="2" t="s">
        <v>484</v>
      </c>
      <c r="C19" s="2" t="s">
        <v>402</v>
      </c>
      <c r="D19" s="2" t="s">
        <v>294</v>
      </c>
      <c r="E19" s="2" t="s">
        <v>790</v>
      </c>
      <c r="F19" s="421">
        <v>20013.53</v>
      </c>
      <c r="G19" s="421">
        <f t="shared" si="0"/>
        <v>4765.221493</v>
      </c>
      <c r="H19" s="421">
        <f t="shared" si="3"/>
        <v>1667.7941666666666</v>
      </c>
      <c r="I19" s="421">
        <f t="shared" si="1"/>
        <v>397.1017910833333</v>
      </c>
      <c r="J19" s="421">
        <f t="shared" si="4"/>
        <v>1667.7941666666666</v>
      </c>
      <c r="K19" s="421">
        <f t="shared" si="2"/>
        <v>397.1017910833333</v>
      </c>
      <c r="L19" s="421">
        <f t="shared" si="5"/>
        <v>1482.4837037037037</v>
      </c>
      <c r="M19" s="424">
        <f t="shared" si="6"/>
        <v>30391.027112203701</v>
      </c>
    </row>
    <row r="20" spans="2:13" x14ac:dyDescent="0.2">
      <c r="B20" s="2" t="s">
        <v>485</v>
      </c>
      <c r="C20" s="2" t="s">
        <v>402</v>
      </c>
      <c r="D20" s="2" t="s">
        <v>295</v>
      </c>
      <c r="E20" s="2" t="s">
        <v>790</v>
      </c>
      <c r="F20" s="421">
        <v>18900.68</v>
      </c>
      <c r="G20" s="421">
        <f t="shared" si="0"/>
        <v>4500.2519080000002</v>
      </c>
      <c r="H20" s="421">
        <f t="shared" si="3"/>
        <v>1575.0566666666666</v>
      </c>
      <c r="I20" s="421">
        <f t="shared" si="1"/>
        <v>375.02099233333331</v>
      </c>
      <c r="J20" s="421">
        <f t="shared" si="4"/>
        <v>1575.0566666666666</v>
      </c>
      <c r="K20" s="421">
        <f t="shared" si="2"/>
        <v>375.02099233333331</v>
      </c>
      <c r="L20" s="421">
        <f t="shared" si="5"/>
        <v>1400.0503703703705</v>
      </c>
      <c r="M20" s="424">
        <f t="shared" si="6"/>
        <v>28701.137596370369</v>
      </c>
    </row>
    <row r="21" spans="2:13" x14ac:dyDescent="0.2">
      <c r="B21" s="2" t="s">
        <v>486</v>
      </c>
      <c r="C21" s="2" t="s">
        <v>402</v>
      </c>
      <c r="D21" s="2" t="s">
        <v>296</v>
      </c>
      <c r="E21" s="2" t="s">
        <v>790</v>
      </c>
      <c r="F21" s="421">
        <v>18510.68</v>
      </c>
      <c r="G21" s="421">
        <f t="shared" si="0"/>
        <v>4407.3929079999998</v>
      </c>
      <c r="H21" s="421">
        <f t="shared" si="3"/>
        <v>1542.5566666666666</v>
      </c>
      <c r="I21" s="421">
        <f t="shared" si="1"/>
        <v>367.28274233333332</v>
      </c>
      <c r="J21" s="421">
        <f t="shared" si="4"/>
        <v>1542.5566666666666</v>
      </c>
      <c r="K21" s="421">
        <f t="shared" si="2"/>
        <v>367.28274233333332</v>
      </c>
      <c r="L21" s="421">
        <f t="shared" si="5"/>
        <v>1371.1614814814816</v>
      </c>
      <c r="M21" s="424">
        <f t="shared" si="6"/>
        <v>28108.913207481484</v>
      </c>
    </row>
    <row r="22" spans="2:13" x14ac:dyDescent="0.2">
      <c r="B22" s="2" t="s">
        <v>487</v>
      </c>
      <c r="C22" s="2" t="s">
        <v>402</v>
      </c>
      <c r="D22" s="2" t="s">
        <v>297</v>
      </c>
      <c r="E22" s="2" t="s">
        <v>790</v>
      </c>
      <c r="F22" s="421">
        <v>14939.09</v>
      </c>
      <c r="G22" s="421">
        <f t="shared" si="0"/>
        <v>3556.9973290000003</v>
      </c>
      <c r="H22" s="421">
        <f t="shared" si="3"/>
        <v>1244.9241666666667</v>
      </c>
      <c r="I22" s="421">
        <f t="shared" si="1"/>
        <v>296.41644408333332</v>
      </c>
      <c r="J22" s="421">
        <f t="shared" si="4"/>
        <v>1244.9241666666667</v>
      </c>
      <c r="K22" s="421">
        <f t="shared" si="2"/>
        <v>296.41644408333332</v>
      </c>
      <c r="L22" s="421">
        <f t="shared" si="5"/>
        <v>1106.5992592592593</v>
      </c>
      <c r="M22" s="424">
        <f t="shared" si="6"/>
        <v>22685.36780975926</v>
      </c>
    </row>
    <row r="23" spans="2:13" x14ac:dyDescent="0.2">
      <c r="B23" s="2" t="s">
        <v>488</v>
      </c>
      <c r="C23" s="2" t="s">
        <v>402</v>
      </c>
      <c r="D23" s="2" t="s">
        <v>298</v>
      </c>
      <c r="E23" s="2" t="s">
        <v>790</v>
      </c>
      <c r="F23" s="421">
        <v>14939.09</v>
      </c>
      <c r="G23" s="421">
        <f t="shared" si="0"/>
        <v>3556.9973290000003</v>
      </c>
      <c r="H23" s="421">
        <f t="shared" si="3"/>
        <v>1244.9241666666667</v>
      </c>
      <c r="I23" s="421">
        <f t="shared" si="1"/>
        <v>296.41644408333332</v>
      </c>
      <c r="J23" s="421">
        <f t="shared" si="4"/>
        <v>1244.9241666666667</v>
      </c>
      <c r="K23" s="421">
        <f t="shared" si="2"/>
        <v>296.41644408333332</v>
      </c>
      <c r="L23" s="421">
        <f t="shared" si="5"/>
        <v>1106.5992592592593</v>
      </c>
      <c r="M23" s="424">
        <f t="shared" si="6"/>
        <v>22685.36780975926</v>
      </c>
    </row>
    <row r="24" spans="2:13" x14ac:dyDescent="0.2">
      <c r="B24" s="2" t="s">
        <v>489</v>
      </c>
      <c r="C24" s="2" t="s">
        <v>402</v>
      </c>
      <c r="D24" s="2" t="s">
        <v>299</v>
      </c>
      <c r="E24" s="2" t="s">
        <v>790</v>
      </c>
      <c r="F24" s="421">
        <v>14939.09</v>
      </c>
      <c r="G24" s="421">
        <f t="shared" si="0"/>
        <v>3556.9973290000003</v>
      </c>
      <c r="H24" s="421">
        <f t="shared" si="3"/>
        <v>1244.9241666666667</v>
      </c>
      <c r="I24" s="421">
        <f t="shared" si="1"/>
        <v>296.41644408333332</v>
      </c>
      <c r="J24" s="421">
        <f t="shared" si="4"/>
        <v>1244.9241666666667</v>
      </c>
      <c r="K24" s="421">
        <f t="shared" si="2"/>
        <v>296.41644408333332</v>
      </c>
      <c r="L24" s="421">
        <f t="shared" si="5"/>
        <v>1106.5992592592593</v>
      </c>
      <c r="M24" s="424">
        <f t="shared" si="6"/>
        <v>22685.36780975926</v>
      </c>
    </row>
    <row r="25" spans="2:13" x14ac:dyDescent="0.2">
      <c r="B25" s="2" t="s">
        <v>490</v>
      </c>
      <c r="C25" s="2" t="s">
        <v>402</v>
      </c>
      <c r="D25" s="2" t="s">
        <v>300</v>
      </c>
      <c r="E25" s="2" t="s">
        <v>790</v>
      </c>
      <c r="F25" s="421">
        <v>14939.09</v>
      </c>
      <c r="G25" s="421">
        <f t="shared" si="0"/>
        <v>3556.9973290000003</v>
      </c>
      <c r="H25" s="421">
        <f t="shared" si="3"/>
        <v>1244.9241666666667</v>
      </c>
      <c r="I25" s="421">
        <f t="shared" si="1"/>
        <v>296.41644408333332</v>
      </c>
      <c r="J25" s="421">
        <f t="shared" si="4"/>
        <v>1244.9241666666667</v>
      </c>
      <c r="K25" s="421">
        <f t="shared" si="2"/>
        <v>296.41644408333332</v>
      </c>
      <c r="L25" s="421">
        <f t="shared" si="5"/>
        <v>1106.5992592592593</v>
      </c>
      <c r="M25" s="424">
        <f t="shared" si="6"/>
        <v>22685.36780975926</v>
      </c>
    </row>
    <row r="26" spans="2:13" x14ac:dyDescent="0.2">
      <c r="B26" s="2" t="s">
        <v>491</v>
      </c>
      <c r="C26" s="2" t="s">
        <v>402</v>
      </c>
      <c r="D26" s="2" t="s">
        <v>301</v>
      </c>
      <c r="E26" s="2" t="s">
        <v>790</v>
      </c>
      <c r="F26" s="421">
        <v>14939.09</v>
      </c>
      <c r="G26" s="421">
        <f t="shared" si="0"/>
        <v>3556.9973290000003</v>
      </c>
      <c r="H26" s="421">
        <f t="shared" si="3"/>
        <v>1244.9241666666667</v>
      </c>
      <c r="I26" s="421">
        <f t="shared" si="1"/>
        <v>296.41644408333332</v>
      </c>
      <c r="J26" s="421">
        <f t="shared" si="4"/>
        <v>1244.9241666666667</v>
      </c>
      <c r="K26" s="421">
        <f t="shared" si="2"/>
        <v>296.41644408333332</v>
      </c>
      <c r="L26" s="421">
        <f t="shared" si="5"/>
        <v>1106.5992592592593</v>
      </c>
      <c r="M26" s="424">
        <f t="shared" si="6"/>
        <v>22685.36780975926</v>
      </c>
    </row>
    <row r="27" spans="2:13" x14ac:dyDescent="0.2">
      <c r="B27" s="2" t="s">
        <v>492</v>
      </c>
      <c r="C27" s="2" t="s">
        <v>402</v>
      </c>
      <c r="D27" s="2" t="s">
        <v>302</v>
      </c>
      <c r="E27" s="2" t="s">
        <v>790</v>
      </c>
      <c r="F27" s="421">
        <v>14939.09</v>
      </c>
      <c r="G27" s="421">
        <f t="shared" si="0"/>
        <v>3556.9973290000003</v>
      </c>
      <c r="H27" s="421">
        <f t="shared" si="3"/>
        <v>1244.9241666666667</v>
      </c>
      <c r="I27" s="421">
        <f t="shared" si="1"/>
        <v>296.41644408333332</v>
      </c>
      <c r="J27" s="421">
        <f t="shared" si="4"/>
        <v>1244.9241666666667</v>
      </c>
      <c r="K27" s="421">
        <f t="shared" si="2"/>
        <v>296.41644408333332</v>
      </c>
      <c r="L27" s="421">
        <f t="shared" si="5"/>
        <v>1106.5992592592593</v>
      </c>
      <c r="M27" s="424">
        <f t="shared" si="6"/>
        <v>22685.36780975926</v>
      </c>
    </row>
    <row r="28" spans="2:13" x14ac:dyDescent="0.2">
      <c r="B28" s="2" t="s">
        <v>493</v>
      </c>
      <c r="C28" s="2" t="s">
        <v>402</v>
      </c>
      <c r="D28" s="2" t="s">
        <v>303</v>
      </c>
      <c r="E28" s="2" t="s">
        <v>790</v>
      </c>
      <c r="F28" s="421">
        <v>14939.09</v>
      </c>
      <c r="G28" s="421">
        <f t="shared" si="0"/>
        <v>3556.9973290000003</v>
      </c>
      <c r="H28" s="421">
        <f t="shared" si="3"/>
        <v>1244.9241666666667</v>
      </c>
      <c r="I28" s="421">
        <f t="shared" si="1"/>
        <v>296.41644408333332</v>
      </c>
      <c r="J28" s="421">
        <f t="shared" si="4"/>
        <v>1244.9241666666667</v>
      </c>
      <c r="K28" s="421">
        <f t="shared" si="2"/>
        <v>296.41644408333332</v>
      </c>
      <c r="L28" s="421">
        <f t="shared" si="5"/>
        <v>1106.5992592592593</v>
      </c>
      <c r="M28" s="424">
        <f t="shared" si="6"/>
        <v>22685.36780975926</v>
      </c>
    </row>
    <row r="29" spans="2:13" x14ac:dyDescent="0.2">
      <c r="B29" s="2" t="s">
        <v>494</v>
      </c>
      <c r="C29" s="2" t="s">
        <v>402</v>
      </c>
      <c r="D29" s="2" t="s">
        <v>304</v>
      </c>
      <c r="E29" s="2" t="s">
        <v>790</v>
      </c>
      <c r="F29" s="421">
        <v>14939.09</v>
      </c>
      <c r="G29" s="421">
        <f t="shared" si="0"/>
        <v>3556.9973290000003</v>
      </c>
      <c r="H29" s="421">
        <f t="shared" si="3"/>
        <v>1244.9241666666667</v>
      </c>
      <c r="I29" s="421">
        <f t="shared" si="1"/>
        <v>296.41644408333332</v>
      </c>
      <c r="J29" s="421">
        <f t="shared" si="4"/>
        <v>1244.9241666666667</v>
      </c>
      <c r="K29" s="421">
        <f t="shared" si="2"/>
        <v>296.41644408333332</v>
      </c>
      <c r="L29" s="421">
        <f t="shared" si="5"/>
        <v>1106.5992592592593</v>
      </c>
      <c r="M29" s="424">
        <f t="shared" si="6"/>
        <v>22685.36780975926</v>
      </c>
    </row>
    <row r="30" spans="2:13" x14ac:dyDescent="0.2">
      <c r="B30" s="2" t="s">
        <v>495</v>
      </c>
      <c r="C30" s="2" t="s">
        <v>402</v>
      </c>
      <c r="D30" s="2" t="s">
        <v>305</v>
      </c>
      <c r="E30" s="2" t="s">
        <v>790</v>
      </c>
      <c r="F30" s="421">
        <v>14939.09</v>
      </c>
      <c r="G30" s="421">
        <f t="shared" si="0"/>
        <v>3556.9973290000003</v>
      </c>
      <c r="H30" s="421">
        <f t="shared" si="3"/>
        <v>1244.9241666666667</v>
      </c>
      <c r="I30" s="421">
        <f t="shared" si="1"/>
        <v>296.41644408333332</v>
      </c>
      <c r="J30" s="421">
        <f t="shared" si="4"/>
        <v>1244.9241666666667</v>
      </c>
      <c r="K30" s="421">
        <f t="shared" si="2"/>
        <v>296.41644408333332</v>
      </c>
      <c r="L30" s="421">
        <f t="shared" si="5"/>
        <v>1106.5992592592593</v>
      </c>
      <c r="M30" s="424">
        <f t="shared" si="6"/>
        <v>22685.36780975926</v>
      </c>
    </row>
    <row r="31" spans="2:13" x14ac:dyDescent="0.2">
      <c r="B31" s="2" t="s">
        <v>496</v>
      </c>
      <c r="C31" s="2" t="s">
        <v>402</v>
      </c>
      <c r="D31" s="2" t="s">
        <v>306</v>
      </c>
      <c r="E31" s="2" t="s">
        <v>790</v>
      </c>
      <c r="F31" s="421">
        <v>14939.09</v>
      </c>
      <c r="G31" s="421">
        <f t="shared" si="0"/>
        <v>3556.9973290000003</v>
      </c>
      <c r="H31" s="421">
        <f t="shared" si="3"/>
        <v>1244.9241666666667</v>
      </c>
      <c r="I31" s="421">
        <f t="shared" si="1"/>
        <v>296.41644408333332</v>
      </c>
      <c r="J31" s="421">
        <f t="shared" si="4"/>
        <v>1244.9241666666667</v>
      </c>
      <c r="K31" s="421">
        <f t="shared" si="2"/>
        <v>296.41644408333332</v>
      </c>
      <c r="L31" s="421">
        <f t="shared" si="5"/>
        <v>1106.5992592592593</v>
      </c>
      <c r="M31" s="424">
        <f t="shared" si="6"/>
        <v>22685.36780975926</v>
      </c>
    </row>
    <row r="32" spans="2:13" x14ac:dyDescent="0.2">
      <c r="B32" s="2" t="s">
        <v>497</v>
      </c>
      <c r="C32" s="2" t="s">
        <v>402</v>
      </c>
      <c r="D32" s="2" t="s">
        <v>307</v>
      </c>
      <c r="E32" s="2" t="s">
        <v>790</v>
      </c>
      <c r="F32" s="421">
        <v>14939.09</v>
      </c>
      <c r="G32" s="421">
        <f t="shared" si="0"/>
        <v>3556.9973290000003</v>
      </c>
      <c r="H32" s="421">
        <f t="shared" si="3"/>
        <v>1244.9241666666667</v>
      </c>
      <c r="I32" s="421">
        <f t="shared" si="1"/>
        <v>296.41644408333332</v>
      </c>
      <c r="J32" s="421">
        <f t="shared" si="4"/>
        <v>1244.9241666666667</v>
      </c>
      <c r="K32" s="421">
        <f t="shared" si="2"/>
        <v>296.41644408333332</v>
      </c>
      <c r="L32" s="421">
        <f t="shared" si="5"/>
        <v>1106.5992592592593</v>
      </c>
      <c r="M32" s="424">
        <f t="shared" si="6"/>
        <v>22685.36780975926</v>
      </c>
    </row>
    <row r="33" spans="2:13" x14ac:dyDescent="0.2">
      <c r="B33" s="2" t="s">
        <v>498</v>
      </c>
      <c r="C33" s="2" t="s">
        <v>402</v>
      </c>
      <c r="D33" s="2" t="s">
        <v>308</v>
      </c>
      <c r="E33" s="2" t="s">
        <v>790</v>
      </c>
      <c r="F33" s="421">
        <v>14939.09</v>
      </c>
      <c r="G33" s="421">
        <f t="shared" si="0"/>
        <v>3556.9973290000003</v>
      </c>
      <c r="H33" s="421">
        <f t="shared" si="3"/>
        <v>1244.9241666666667</v>
      </c>
      <c r="I33" s="421">
        <f t="shared" si="1"/>
        <v>296.41644408333332</v>
      </c>
      <c r="J33" s="421">
        <f t="shared" si="4"/>
        <v>1244.9241666666667</v>
      </c>
      <c r="K33" s="421">
        <f t="shared" si="2"/>
        <v>296.41644408333332</v>
      </c>
      <c r="L33" s="421">
        <f t="shared" si="5"/>
        <v>1106.5992592592593</v>
      </c>
      <c r="M33" s="424">
        <f t="shared" si="6"/>
        <v>22685.36780975926</v>
      </c>
    </row>
    <row r="34" spans="2:13" x14ac:dyDescent="0.2">
      <c r="B34" s="2" t="s">
        <v>499</v>
      </c>
      <c r="C34" s="2" t="s">
        <v>402</v>
      </c>
      <c r="D34" s="2" t="s">
        <v>309</v>
      </c>
      <c r="E34" s="2" t="s">
        <v>790</v>
      </c>
      <c r="F34" s="421">
        <v>14939.09</v>
      </c>
      <c r="G34" s="421">
        <f t="shared" si="0"/>
        <v>3556.9973290000003</v>
      </c>
      <c r="H34" s="421">
        <f t="shared" si="3"/>
        <v>1244.9241666666667</v>
      </c>
      <c r="I34" s="421">
        <f t="shared" si="1"/>
        <v>296.41644408333332</v>
      </c>
      <c r="J34" s="421">
        <f t="shared" si="4"/>
        <v>1244.9241666666667</v>
      </c>
      <c r="K34" s="421">
        <f t="shared" si="2"/>
        <v>296.41644408333332</v>
      </c>
      <c r="L34" s="421">
        <f t="shared" si="5"/>
        <v>1106.5992592592593</v>
      </c>
      <c r="M34" s="424">
        <f t="shared" si="6"/>
        <v>22685.36780975926</v>
      </c>
    </row>
    <row r="35" spans="2:13" x14ac:dyDescent="0.2">
      <c r="B35" s="2" t="s">
        <v>500</v>
      </c>
      <c r="C35" s="2" t="s">
        <v>402</v>
      </c>
      <c r="D35" s="2" t="s">
        <v>310</v>
      </c>
      <c r="E35" s="2" t="s">
        <v>790</v>
      </c>
      <c r="F35" s="421">
        <v>14939.09</v>
      </c>
      <c r="G35" s="421">
        <f t="shared" si="0"/>
        <v>3556.9973290000003</v>
      </c>
      <c r="H35" s="421">
        <f t="shared" si="3"/>
        <v>1244.9241666666667</v>
      </c>
      <c r="I35" s="421">
        <f t="shared" si="1"/>
        <v>296.41644408333332</v>
      </c>
      <c r="J35" s="421">
        <f t="shared" si="4"/>
        <v>1244.9241666666667</v>
      </c>
      <c r="K35" s="421">
        <f t="shared" si="2"/>
        <v>296.41644408333332</v>
      </c>
      <c r="L35" s="421">
        <f t="shared" si="5"/>
        <v>1106.5992592592593</v>
      </c>
      <c r="M35" s="424">
        <f t="shared" si="6"/>
        <v>22685.36780975926</v>
      </c>
    </row>
    <row r="36" spans="2:13" x14ac:dyDescent="0.2">
      <c r="B36" s="2" t="s">
        <v>501</v>
      </c>
      <c r="C36" s="2" t="s">
        <v>402</v>
      </c>
      <c r="D36" s="2" t="s">
        <v>311</v>
      </c>
      <c r="E36" s="2" t="s">
        <v>790</v>
      </c>
      <c r="F36" s="421">
        <v>14939.09</v>
      </c>
      <c r="G36" s="421">
        <f t="shared" si="0"/>
        <v>3556.9973290000003</v>
      </c>
      <c r="H36" s="421">
        <f t="shared" si="3"/>
        <v>1244.9241666666667</v>
      </c>
      <c r="I36" s="421">
        <f t="shared" si="1"/>
        <v>296.41644408333332</v>
      </c>
      <c r="J36" s="421">
        <f t="shared" si="4"/>
        <v>1244.9241666666667</v>
      </c>
      <c r="K36" s="421">
        <f t="shared" si="2"/>
        <v>296.41644408333332</v>
      </c>
      <c r="L36" s="421">
        <f t="shared" si="5"/>
        <v>1106.5992592592593</v>
      </c>
      <c r="M36" s="424">
        <f t="shared" si="6"/>
        <v>22685.36780975926</v>
      </c>
    </row>
    <row r="37" spans="2:13" x14ac:dyDescent="0.2">
      <c r="B37" s="2" t="s">
        <v>502</v>
      </c>
      <c r="C37" s="2" t="s">
        <v>402</v>
      </c>
      <c r="D37" s="2" t="s">
        <v>312</v>
      </c>
      <c r="E37" s="2" t="s">
        <v>790</v>
      </c>
      <c r="F37" s="421">
        <v>14939.09</v>
      </c>
      <c r="G37" s="421">
        <f t="shared" si="0"/>
        <v>3556.9973290000003</v>
      </c>
      <c r="H37" s="421">
        <f t="shared" si="3"/>
        <v>1244.9241666666667</v>
      </c>
      <c r="I37" s="421">
        <f t="shared" si="1"/>
        <v>296.41644408333332</v>
      </c>
      <c r="J37" s="421">
        <f t="shared" si="4"/>
        <v>1244.9241666666667</v>
      </c>
      <c r="K37" s="421">
        <f t="shared" si="2"/>
        <v>296.41644408333332</v>
      </c>
      <c r="L37" s="421">
        <f t="shared" si="5"/>
        <v>1106.5992592592593</v>
      </c>
      <c r="M37" s="424">
        <f t="shared" si="6"/>
        <v>22685.36780975926</v>
      </c>
    </row>
    <row r="38" spans="2:13" x14ac:dyDescent="0.2">
      <c r="B38" s="2" t="s">
        <v>503</v>
      </c>
      <c r="C38" s="2" t="s">
        <v>402</v>
      </c>
      <c r="D38" s="2" t="s">
        <v>313</v>
      </c>
      <c r="E38" s="2" t="s">
        <v>790</v>
      </c>
      <c r="F38" s="421">
        <v>14939.09</v>
      </c>
      <c r="G38" s="421">
        <f t="shared" si="0"/>
        <v>3556.9973290000003</v>
      </c>
      <c r="H38" s="421">
        <f t="shared" si="3"/>
        <v>1244.9241666666667</v>
      </c>
      <c r="I38" s="421">
        <f t="shared" si="1"/>
        <v>296.41644408333332</v>
      </c>
      <c r="J38" s="421">
        <f t="shared" si="4"/>
        <v>1244.9241666666667</v>
      </c>
      <c r="K38" s="421">
        <f t="shared" si="2"/>
        <v>296.41644408333332</v>
      </c>
      <c r="L38" s="421">
        <f t="shared" si="5"/>
        <v>1106.5992592592593</v>
      </c>
      <c r="M38" s="424">
        <f t="shared" si="6"/>
        <v>22685.36780975926</v>
      </c>
    </row>
    <row r="39" spans="2:13" x14ac:dyDescent="0.2">
      <c r="B39" s="2" t="s">
        <v>504</v>
      </c>
      <c r="C39" s="2" t="s">
        <v>402</v>
      </c>
      <c r="D39" s="2" t="s">
        <v>314</v>
      </c>
      <c r="E39" s="2" t="s">
        <v>790</v>
      </c>
      <c r="F39" s="421">
        <v>14939.09</v>
      </c>
      <c r="G39" s="421">
        <f t="shared" si="0"/>
        <v>3556.9973290000003</v>
      </c>
      <c r="H39" s="421">
        <f t="shared" si="3"/>
        <v>1244.9241666666667</v>
      </c>
      <c r="I39" s="421">
        <f t="shared" si="1"/>
        <v>296.41644408333332</v>
      </c>
      <c r="J39" s="421">
        <f t="shared" si="4"/>
        <v>1244.9241666666667</v>
      </c>
      <c r="K39" s="421">
        <f t="shared" si="2"/>
        <v>296.41644408333332</v>
      </c>
      <c r="L39" s="421">
        <f t="shared" si="5"/>
        <v>1106.5992592592593</v>
      </c>
      <c r="M39" s="424">
        <f t="shared" si="6"/>
        <v>22685.36780975926</v>
      </c>
    </row>
    <row r="40" spans="2:13" x14ac:dyDescent="0.2">
      <c r="B40" s="2" t="s">
        <v>505</v>
      </c>
      <c r="C40" s="2" t="s">
        <v>402</v>
      </c>
      <c r="D40" s="2" t="s">
        <v>315</v>
      </c>
      <c r="E40" s="2" t="s">
        <v>790</v>
      </c>
      <c r="F40" s="421">
        <v>14939.09</v>
      </c>
      <c r="G40" s="421">
        <f t="shared" si="0"/>
        <v>3556.9973290000003</v>
      </c>
      <c r="H40" s="421">
        <f t="shared" si="3"/>
        <v>1244.9241666666667</v>
      </c>
      <c r="I40" s="421">
        <f t="shared" si="1"/>
        <v>296.41644408333332</v>
      </c>
      <c r="J40" s="421">
        <f t="shared" si="4"/>
        <v>1244.9241666666667</v>
      </c>
      <c r="K40" s="421">
        <f t="shared" si="2"/>
        <v>296.41644408333332</v>
      </c>
      <c r="L40" s="421">
        <f t="shared" si="5"/>
        <v>1106.5992592592593</v>
      </c>
      <c r="M40" s="424">
        <f t="shared" si="6"/>
        <v>22685.36780975926</v>
      </c>
    </row>
    <row r="41" spans="2:13" x14ac:dyDescent="0.2">
      <c r="B41" s="2" t="s">
        <v>506</v>
      </c>
      <c r="C41" s="2" t="s">
        <v>402</v>
      </c>
      <c r="D41" s="2" t="s">
        <v>316</v>
      </c>
      <c r="E41" s="2" t="s">
        <v>790</v>
      </c>
      <c r="F41" s="421">
        <v>14939.09</v>
      </c>
      <c r="G41" s="421">
        <f t="shared" si="0"/>
        <v>3556.9973290000003</v>
      </c>
      <c r="H41" s="421">
        <f t="shared" si="3"/>
        <v>1244.9241666666667</v>
      </c>
      <c r="I41" s="421">
        <f t="shared" si="1"/>
        <v>296.41644408333332</v>
      </c>
      <c r="J41" s="421">
        <f t="shared" si="4"/>
        <v>1244.9241666666667</v>
      </c>
      <c r="K41" s="421">
        <f t="shared" si="2"/>
        <v>296.41644408333332</v>
      </c>
      <c r="L41" s="421">
        <f t="shared" si="5"/>
        <v>1106.5992592592593</v>
      </c>
      <c r="M41" s="424">
        <f t="shared" si="6"/>
        <v>22685.36780975926</v>
      </c>
    </row>
    <row r="42" spans="2:13" x14ac:dyDescent="0.2">
      <c r="B42" s="2" t="s">
        <v>507</v>
      </c>
      <c r="C42" s="2" t="s">
        <v>402</v>
      </c>
      <c r="D42" s="2" t="s">
        <v>317</v>
      </c>
      <c r="E42" s="2" t="s">
        <v>790</v>
      </c>
      <c r="F42" s="421">
        <v>14939.09</v>
      </c>
      <c r="G42" s="421">
        <f t="shared" ref="G42:G73" si="7">F42*$E$4</f>
        <v>3556.9973290000003</v>
      </c>
      <c r="H42" s="421">
        <f t="shared" si="3"/>
        <v>1244.9241666666667</v>
      </c>
      <c r="I42" s="421">
        <f t="shared" ref="I42:I73" si="8">H42*$E$4</f>
        <v>296.41644408333332</v>
      </c>
      <c r="J42" s="421">
        <f t="shared" si="4"/>
        <v>1244.9241666666667</v>
      </c>
      <c r="K42" s="421">
        <f t="shared" ref="K42:K73" si="9">J42*$E$4</f>
        <v>296.41644408333332</v>
      </c>
      <c r="L42" s="421">
        <f t="shared" si="5"/>
        <v>1106.5992592592593</v>
      </c>
      <c r="M42" s="424">
        <f t="shared" si="6"/>
        <v>22685.36780975926</v>
      </c>
    </row>
    <row r="43" spans="2:13" x14ac:dyDescent="0.2">
      <c r="B43" s="2" t="s">
        <v>508</v>
      </c>
      <c r="C43" s="2" t="s">
        <v>402</v>
      </c>
      <c r="D43" s="2" t="s">
        <v>318</v>
      </c>
      <c r="E43" s="2" t="s">
        <v>790</v>
      </c>
      <c r="F43" s="421">
        <v>14939.09</v>
      </c>
      <c r="G43" s="421">
        <f t="shared" si="7"/>
        <v>3556.9973290000003</v>
      </c>
      <c r="H43" s="421">
        <f t="shared" si="3"/>
        <v>1244.9241666666667</v>
      </c>
      <c r="I43" s="421">
        <f t="shared" si="8"/>
        <v>296.41644408333332</v>
      </c>
      <c r="J43" s="421">
        <f t="shared" si="4"/>
        <v>1244.9241666666667</v>
      </c>
      <c r="K43" s="421">
        <f t="shared" si="9"/>
        <v>296.41644408333332</v>
      </c>
      <c r="L43" s="421">
        <f t="shared" si="5"/>
        <v>1106.5992592592593</v>
      </c>
      <c r="M43" s="424">
        <f t="shared" si="6"/>
        <v>22685.36780975926</v>
      </c>
    </row>
    <row r="44" spans="2:13" x14ac:dyDescent="0.2">
      <c r="B44" s="2" t="s">
        <v>509</v>
      </c>
      <c r="C44" s="2" t="s">
        <v>402</v>
      </c>
      <c r="D44" s="2" t="s">
        <v>319</v>
      </c>
      <c r="E44" s="2" t="s">
        <v>790</v>
      </c>
      <c r="F44" s="421">
        <v>14939.09</v>
      </c>
      <c r="G44" s="421">
        <f t="shared" si="7"/>
        <v>3556.9973290000003</v>
      </c>
      <c r="H44" s="421">
        <f t="shared" si="3"/>
        <v>1244.9241666666667</v>
      </c>
      <c r="I44" s="421">
        <f t="shared" si="8"/>
        <v>296.41644408333332</v>
      </c>
      <c r="J44" s="421">
        <f t="shared" si="4"/>
        <v>1244.9241666666667</v>
      </c>
      <c r="K44" s="421">
        <f t="shared" si="9"/>
        <v>296.41644408333332</v>
      </c>
      <c r="L44" s="421">
        <f t="shared" si="5"/>
        <v>1106.5992592592593</v>
      </c>
      <c r="M44" s="424">
        <f t="shared" si="6"/>
        <v>22685.36780975926</v>
      </c>
    </row>
    <row r="45" spans="2:13" x14ac:dyDescent="0.2">
      <c r="B45" s="2" t="s">
        <v>510</v>
      </c>
      <c r="C45" s="2" t="s">
        <v>402</v>
      </c>
      <c r="D45" s="2" t="s">
        <v>320</v>
      </c>
      <c r="E45" s="2" t="s">
        <v>790</v>
      </c>
      <c r="F45" s="421">
        <v>14939.09</v>
      </c>
      <c r="G45" s="421">
        <f t="shared" si="7"/>
        <v>3556.9973290000003</v>
      </c>
      <c r="H45" s="421">
        <f t="shared" si="3"/>
        <v>1244.9241666666667</v>
      </c>
      <c r="I45" s="421">
        <f t="shared" si="8"/>
        <v>296.41644408333332</v>
      </c>
      <c r="J45" s="421">
        <f t="shared" si="4"/>
        <v>1244.9241666666667</v>
      </c>
      <c r="K45" s="421">
        <f t="shared" si="9"/>
        <v>296.41644408333332</v>
      </c>
      <c r="L45" s="421">
        <f t="shared" si="5"/>
        <v>1106.5992592592593</v>
      </c>
      <c r="M45" s="424">
        <f t="shared" si="6"/>
        <v>22685.36780975926</v>
      </c>
    </row>
    <row r="46" spans="2:13" x14ac:dyDescent="0.2">
      <c r="B46" s="2" t="s">
        <v>511</v>
      </c>
      <c r="C46" s="2" t="s">
        <v>402</v>
      </c>
      <c r="D46" s="2" t="s">
        <v>321</v>
      </c>
      <c r="E46" s="2" t="s">
        <v>790</v>
      </c>
      <c r="F46" s="421">
        <v>14939.09</v>
      </c>
      <c r="G46" s="421">
        <f t="shared" si="7"/>
        <v>3556.9973290000003</v>
      </c>
      <c r="H46" s="421">
        <f t="shared" si="3"/>
        <v>1244.9241666666667</v>
      </c>
      <c r="I46" s="421">
        <f t="shared" si="8"/>
        <v>296.41644408333332</v>
      </c>
      <c r="J46" s="421">
        <f t="shared" si="4"/>
        <v>1244.9241666666667</v>
      </c>
      <c r="K46" s="421">
        <f t="shared" si="9"/>
        <v>296.41644408333332</v>
      </c>
      <c r="L46" s="421">
        <f t="shared" si="5"/>
        <v>1106.5992592592593</v>
      </c>
      <c r="M46" s="424">
        <f t="shared" si="6"/>
        <v>22685.36780975926</v>
      </c>
    </row>
    <row r="47" spans="2:13" x14ac:dyDescent="0.2">
      <c r="B47" s="2" t="s">
        <v>512</v>
      </c>
      <c r="C47" s="2" t="s">
        <v>402</v>
      </c>
      <c r="D47" s="2" t="s">
        <v>322</v>
      </c>
      <c r="E47" s="2" t="s">
        <v>790</v>
      </c>
      <c r="F47" s="421">
        <v>14939.09</v>
      </c>
      <c r="G47" s="421">
        <f t="shared" si="7"/>
        <v>3556.9973290000003</v>
      </c>
      <c r="H47" s="421">
        <f t="shared" si="3"/>
        <v>1244.9241666666667</v>
      </c>
      <c r="I47" s="421">
        <f t="shared" si="8"/>
        <v>296.41644408333332</v>
      </c>
      <c r="J47" s="421">
        <f t="shared" si="4"/>
        <v>1244.9241666666667</v>
      </c>
      <c r="K47" s="421">
        <f t="shared" si="9"/>
        <v>296.41644408333332</v>
      </c>
      <c r="L47" s="421">
        <f t="shared" si="5"/>
        <v>1106.5992592592593</v>
      </c>
      <c r="M47" s="424">
        <f t="shared" si="6"/>
        <v>22685.36780975926</v>
      </c>
    </row>
    <row r="48" spans="2:13" x14ac:dyDescent="0.2">
      <c r="B48" s="2" t="s">
        <v>513</v>
      </c>
      <c r="C48" s="2" t="s">
        <v>402</v>
      </c>
      <c r="D48" s="2" t="s">
        <v>323</v>
      </c>
      <c r="E48" s="2" t="s">
        <v>790</v>
      </c>
      <c r="F48" s="421">
        <v>14939.09</v>
      </c>
      <c r="G48" s="421">
        <f t="shared" si="7"/>
        <v>3556.9973290000003</v>
      </c>
      <c r="H48" s="421">
        <f t="shared" si="3"/>
        <v>1244.9241666666667</v>
      </c>
      <c r="I48" s="421">
        <f t="shared" si="8"/>
        <v>296.41644408333332</v>
      </c>
      <c r="J48" s="421">
        <f t="shared" si="4"/>
        <v>1244.9241666666667</v>
      </c>
      <c r="K48" s="421">
        <f t="shared" si="9"/>
        <v>296.41644408333332</v>
      </c>
      <c r="L48" s="421">
        <f t="shared" si="5"/>
        <v>1106.5992592592593</v>
      </c>
      <c r="M48" s="424">
        <f t="shared" si="6"/>
        <v>22685.36780975926</v>
      </c>
    </row>
    <row r="49" spans="2:13" x14ac:dyDescent="0.2">
      <c r="B49" s="2" t="s">
        <v>514</v>
      </c>
      <c r="C49" s="2" t="s">
        <v>402</v>
      </c>
      <c r="D49" s="2" t="s">
        <v>324</v>
      </c>
      <c r="E49" s="2" t="s">
        <v>790</v>
      </c>
      <c r="F49" s="421">
        <v>14939.09</v>
      </c>
      <c r="G49" s="421">
        <f t="shared" si="7"/>
        <v>3556.9973290000003</v>
      </c>
      <c r="H49" s="421">
        <f t="shared" si="3"/>
        <v>1244.9241666666667</v>
      </c>
      <c r="I49" s="421">
        <f t="shared" si="8"/>
        <v>296.41644408333332</v>
      </c>
      <c r="J49" s="421">
        <f t="shared" si="4"/>
        <v>1244.9241666666667</v>
      </c>
      <c r="K49" s="421">
        <f t="shared" si="9"/>
        <v>296.41644408333332</v>
      </c>
      <c r="L49" s="421">
        <f t="shared" si="5"/>
        <v>1106.5992592592593</v>
      </c>
      <c r="M49" s="424">
        <f t="shared" si="6"/>
        <v>22685.36780975926</v>
      </c>
    </row>
    <row r="50" spans="2:13" x14ac:dyDescent="0.2">
      <c r="B50" s="2" t="s">
        <v>515</v>
      </c>
      <c r="C50" s="2" t="s">
        <v>402</v>
      </c>
      <c r="D50" s="2" t="s">
        <v>325</v>
      </c>
      <c r="E50" s="2" t="s">
        <v>790</v>
      </c>
      <c r="F50" s="421">
        <v>14939.09</v>
      </c>
      <c r="G50" s="421">
        <f t="shared" si="7"/>
        <v>3556.9973290000003</v>
      </c>
      <c r="H50" s="421">
        <f t="shared" si="3"/>
        <v>1244.9241666666667</v>
      </c>
      <c r="I50" s="421">
        <f t="shared" si="8"/>
        <v>296.41644408333332</v>
      </c>
      <c r="J50" s="421">
        <f t="shared" si="4"/>
        <v>1244.9241666666667</v>
      </c>
      <c r="K50" s="421">
        <f t="shared" si="9"/>
        <v>296.41644408333332</v>
      </c>
      <c r="L50" s="421">
        <f t="shared" si="5"/>
        <v>1106.5992592592593</v>
      </c>
      <c r="M50" s="424">
        <f t="shared" si="6"/>
        <v>22685.36780975926</v>
      </c>
    </row>
    <row r="51" spans="2:13" x14ac:dyDescent="0.2">
      <c r="B51" s="2" t="s">
        <v>516</v>
      </c>
      <c r="C51" s="2" t="s">
        <v>402</v>
      </c>
      <c r="D51" s="2" t="s">
        <v>326</v>
      </c>
      <c r="E51" s="2" t="s">
        <v>790</v>
      </c>
      <c r="F51" s="421">
        <v>14939.09</v>
      </c>
      <c r="G51" s="421">
        <f t="shared" si="7"/>
        <v>3556.9973290000003</v>
      </c>
      <c r="H51" s="421">
        <f t="shared" si="3"/>
        <v>1244.9241666666667</v>
      </c>
      <c r="I51" s="421">
        <f t="shared" si="8"/>
        <v>296.41644408333332</v>
      </c>
      <c r="J51" s="421">
        <f t="shared" si="4"/>
        <v>1244.9241666666667</v>
      </c>
      <c r="K51" s="421">
        <f t="shared" si="9"/>
        <v>296.41644408333332</v>
      </c>
      <c r="L51" s="421">
        <f t="shared" si="5"/>
        <v>1106.5992592592593</v>
      </c>
      <c r="M51" s="424">
        <f t="shared" si="6"/>
        <v>22685.36780975926</v>
      </c>
    </row>
    <row r="52" spans="2:13" x14ac:dyDescent="0.2">
      <c r="B52" s="2" t="s">
        <v>517</v>
      </c>
      <c r="C52" s="2" t="s">
        <v>402</v>
      </c>
      <c r="D52" s="2" t="s">
        <v>327</v>
      </c>
      <c r="E52" s="2" t="s">
        <v>790</v>
      </c>
      <c r="F52" s="421">
        <v>22137.439999999999</v>
      </c>
      <c r="G52" s="421">
        <f t="shared" si="7"/>
        <v>5270.9244639999997</v>
      </c>
      <c r="H52" s="421">
        <f t="shared" si="3"/>
        <v>1844.7866666666666</v>
      </c>
      <c r="I52" s="421">
        <f t="shared" si="8"/>
        <v>439.24370533333331</v>
      </c>
      <c r="J52" s="421">
        <f t="shared" si="4"/>
        <v>1844.7866666666666</v>
      </c>
      <c r="K52" s="421">
        <f t="shared" si="9"/>
        <v>439.24370533333331</v>
      </c>
      <c r="L52" s="421">
        <f t="shared" si="5"/>
        <v>1639.8103703703703</v>
      </c>
      <c r="M52" s="424">
        <f t="shared" si="6"/>
        <v>33616.235578370368</v>
      </c>
    </row>
    <row r="53" spans="2:13" x14ac:dyDescent="0.2">
      <c r="B53" s="2" t="s">
        <v>518</v>
      </c>
      <c r="C53" s="2" t="s">
        <v>402</v>
      </c>
      <c r="D53" s="2" t="s">
        <v>328</v>
      </c>
      <c r="E53" s="2" t="s">
        <v>790</v>
      </c>
      <c r="F53" s="421">
        <v>20242.759999999998</v>
      </c>
      <c r="G53" s="421">
        <f t="shared" si="7"/>
        <v>4819.8011559999995</v>
      </c>
      <c r="H53" s="421">
        <f t="shared" si="3"/>
        <v>1686.8966666666665</v>
      </c>
      <c r="I53" s="421">
        <f t="shared" si="8"/>
        <v>401.65009633333329</v>
      </c>
      <c r="J53" s="421">
        <f t="shared" si="4"/>
        <v>1686.8966666666665</v>
      </c>
      <c r="K53" s="421">
        <f t="shared" si="9"/>
        <v>401.65009633333329</v>
      </c>
      <c r="L53" s="421">
        <f t="shared" si="5"/>
        <v>1499.4637037037037</v>
      </c>
      <c r="M53" s="424">
        <f t="shared" si="6"/>
        <v>30739.118385703703</v>
      </c>
    </row>
    <row r="54" spans="2:13" x14ac:dyDescent="0.2">
      <c r="B54" s="2" t="s">
        <v>519</v>
      </c>
      <c r="C54" s="2" t="s">
        <v>402</v>
      </c>
      <c r="D54" s="2" t="s">
        <v>329</v>
      </c>
      <c r="E54" s="2" t="s">
        <v>790</v>
      </c>
      <c r="F54" s="421">
        <v>20242.759999999998</v>
      </c>
      <c r="G54" s="421">
        <f t="shared" si="7"/>
        <v>4819.8011559999995</v>
      </c>
      <c r="H54" s="421">
        <f t="shared" ref="H54:H66" si="10">F54/12</f>
        <v>1686.8966666666665</v>
      </c>
      <c r="I54" s="421">
        <f t="shared" si="8"/>
        <v>401.65009633333329</v>
      </c>
      <c r="J54" s="421">
        <f t="shared" ref="J54:J66" si="11">F54/12</f>
        <v>1686.8966666666665</v>
      </c>
      <c r="K54" s="421">
        <f t="shared" si="9"/>
        <v>401.65009633333329</v>
      </c>
      <c r="L54" s="421">
        <f t="shared" ref="L54:L66" si="12">F54/13.5</f>
        <v>1499.4637037037037</v>
      </c>
      <c r="M54" s="424">
        <f t="shared" ref="M54:M66" si="13">SUM(G54:L54)+F54</f>
        <v>30739.118385703703</v>
      </c>
    </row>
    <row r="55" spans="2:13" x14ac:dyDescent="0.2">
      <c r="B55" s="2" t="s">
        <v>520</v>
      </c>
      <c r="C55" s="2" t="s">
        <v>402</v>
      </c>
      <c r="D55" s="2" t="s">
        <v>330</v>
      </c>
      <c r="E55" s="2" t="s">
        <v>790</v>
      </c>
      <c r="F55" s="421">
        <v>20013.53</v>
      </c>
      <c r="G55" s="421">
        <f t="shared" si="7"/>
        <v>4765.221493</v>
      </c>
      <c r="H55" s="421">
        <f t="shared" si="10"/>
        <v>1667.7941666666666</v>
      </c>
      <c r="I55" s="421">
        <f t="shared" si="8"/>
        <v>397.1017910833333</v>
      </c>
      <c r="J55" s="421">
        <f t="shared" si="11"/>
        <v>1667.7941666666666</v>
      </c>
      <c r="K55" s="421">
        <f t="shared" si="9"/>
        <v>397.1017910833333</v>
      </c>
      <c r="L55" s="421">
        <f t="shared" si="12"/>
        <v>1482.4837037037037</v>
      </c>
      <c r="M55" s="424">
        <f t="shared" si="13"/>
        <v>30391.027112203701</v>
      </c>
    </row>
    <row r="56" spans="2:13" x14ac:dyDescent="0.2">
      <c r="B56" s="2" t="s">
        <v>521</v>
      </c>
      <c r="C56" s="2" t="s">
        <v>402</v>
      </c>
      <c r="D56" s="2" t="s">
        <v>331</v>
      </c>
      <c r="E56" s="2" t="s">
        <v>790</v>
      </c>
      <c r="F56" s="421">
        <v>18900.68</v>
      </c>
      <c r="G56" s="421">
        <f t="shared" si="7"/>
        <v>4500.2519080000002</v>
      </c>
      <c r="H56" s="421">
        <f t="shared" si="10"/>
        <v>1575.0566666666666</v>
      </c>
      <c r="I56" s="421">
        <f t="shared" si="8"/>
        <v>375.02099233333331</v>
      </c>
      <c r="J56" s="421">
        <f t="shared" si="11"/>
        <v>1575.0566666666666</v>
      </c>
      <c r="K56" s="421">
        <f t="shared" si="9"/>
        <v>375.02099233333331</v>
      </c>
      <c r="L56" s="421">
        <f t="shared" si="12"/>
        <v>1400.0503703703705</v>
      </c>
      <c r="M56" s="424">
        <f t="shared" si="13"/>
        <v>28701.137596370369</v>
      </c>
    </row>
    <row r="57" spans="2:13" x14ac:dyDescent="0.2">
      <c r="B57" s="2" t="s">
        <v>522</v>
      </c>
      <c r="C57" s="2" t="s">
        <v>402</v>
      </c>
      <c r="D57" s="2" t="s">
        <v>332</v>
      </c>
      <c r="E57" s="2" t="s">
        <v>790</v>
      </c>
      <c r="F57" s="421">
        <v>18510.68</v>
      </c>
      <c r="G57" s="421">
        <f t="shared" si="7"/>
        <v>4407.3929079999998</v>
      </c>
      <c r="H57" s="421">
        <f t="shared" si="10"/>
        <v>1542.5566666666666</v>
      </c>
      <c r="I57" s="421">
        <f t="shared" si="8"/>
        <v>367.28274233333332</v>
      </c>
      <c r="J57" s="421">
        <f t="shared" si="11"/>
        <v>1542.5566666666666</v>
      </c>
      <c r="K57" s="421">
        <f t="shared" si="9"/>
        <v>367.28274233333332</v>
      </c>
      <c r="L57" s="421">
        <f t="shared" si="12"/>
        <v>1371.1614814814816</v>
      </c>
      <c r="M57" s="424">
        <f t="shared" si="13"/>
        <v>28108.913207481484</v>
      </c>
    </row>
    <row r="58" spans="2:13" x14ac:dyDescent="0.2">
      <c r="B58" s="2" t="s">
        <v>523</v>
      </c>
      <c r="C58" s="2" t="s">
        <v>402</v>
      </c>
      <c r="D58" s="2" t="s">
        <v>333</v>
      </c>
      <c r="E58" s="2" t="s">
        <v>790</v>
      </c>
      <c r="F58" s="421">
        <v>14939.09</v>
      </c>
      <c r="G58" s="421">
        <f t="shared" si="7"/>
        <v>3556.9973290000003</v>
      </c>
      <c r="H58" s="421">
        <f t="shared" si="10"/>
        <v>1244.9241666666667</v>
      </c>
      <c r="I58" s="421">
        <f t="shared" si="8"/>
        <v>296.41644408333332</v>
      </c>
      <c r="J58" s="421">
        <f t="shared" si="11"/>
        <v>1244.9241666666667</v>
      </c>
      <c r="K58" s="421">
        <f t="shared" si="9"/>
        <v>296.41644408333332</v>
      </c>
      <c r="L58" s="421">
        <f t="shared" si="12"/>
        <v>1106.5992592592593</v>
      </c>
      <c r="M58" s="424">
        <f t="shared" si="13"/>
        <v>22685.36780975926</v>
      </c>
    </row>
    <row r="59" spans="2:13" x14ac:dyDescent="0.2">
      <c r="B59" s="2" t="s">
        <v>524</v>
      </c>
      <c r="C59" s="2" t="s">
        <v>402</v>
      </c>
      <c r="D59" s="2" t="s">
        <v>334</v>
      </c>
      <c r="E59" s="2" t="s">
        <v>790</v>
      </c>
      <c r="F59" s="421">
        <v>14939.09</v>
      </c>
      <c r="G59" s="421">
        <f t="shared" si="7"/>
        <v>3556.9973290000003</v>
      </c>
      <c r="H59" s="421">
        <f t="shared" si="10"/>
        <v>1244.9241666666667</v>
      </c>
      <c r="I59" s="421">
        <f t="shared" si="8"/>
        <v>296.41644408333332</v>
      </c>
      <c r="J59" s="421">
        <f t="shared" si="11"/>
        <v>1244.9241666666667</v>
      </c>
      <c r="K59" s="421">
        <f t="shared" si="9"/>
        <v>296.41644408333332</v>
      </c>
      <c r="L59" s="421">
        <f t="shared" si="12"/>
        <v>1106.5992592592593</v>
      </c>
      <c r="M59" s="424">
        <f t="shared" si="13"/>
        <v>22685.36780975926</v>
      </c>
    </row>
    <row r="60" spans="2:13" x14ac:dyDescent="0.2">
      <c r="B60" s="2" t="s">
        <v>525</v>
      </c>
      <c r="C60" s="2" t="s">
        <v>402</v>
      </c>
      <c r="D60" s="2" t="s">
        <v>335</v>
      </c>
      <c r="E60" s="2" t="s">
        <v>790</v>
      </c>
      <c r="F60" s="421">
        <v>14939.09</v>
      </c>
      <c r="G60" s="421">
        <f t="shared" si="7"/>
        <v>3556.9973290000003</v>
      </c>
      <c r="H60" s="421">
        <f t="shared" si="10"/>
        <v>1244.9241666666667</v>
      </c>
      <c r="I60" s="421">
        <f t="shared" si="8"/>
        <v>296.41644408333332</v>
      </c>
      <c r="J60" s="421">
        <f t="shared" si="11"/>
        <v>1244.9241666666667</v>
      </c>
      <c r="K60" s="421">
        <f t="shared" si="9"/>
        <v>296.41644408333332</v>
      </c>
      <c r="L60" s="421">
        <f t="shared" si="12"/>
        <v>1106.5992592592593</v>
      </c>
      <c r="M60" s="424">
        <f t="shared" si="13"/>
        <v>22685.36780975926</v>
      </c>
    </row>
    <row r="61" spans="2:13" x14ac:dyDescent="0.2">
      <c r="B61" s="2" t="s">
        <v>526</v>
      </c>
      <c r="C61" s="2" t="s">
        <v>402</v>
      </c>
      <c r="D61" s="2" t="s">
        <v>336</v>
      </c>
      <c r="E61" s="2" t="s">
        <v>790</v>
      </c>
      <c r="F61" s="421">
        <v>14939.09</v>
      </c>
      <c r="G61" s="421">
        <f t="shared" si="7"/>
        <v>3556.9973290000003</v>
      </c>
      <c r="H61" s="421">
        <f t="shared" si="10"/>
        <v>1244.9241666666667</v>
      </c>
      <c r="I61" s="421">
        <f t="shared" si="8"/>
        <v>296.41644408333332</v>
      </c>
      <c r="J61" s="421">
        <f t="shared" si="11"/>
        <v>1244.9241666666667</v>
      </c>
      <c r="K61" s="421">
        <f t="shared" si="9"/>
        <v>296.41644408333332</v>
      </c>
      <c r="L61" s="421">
        <f t="shared" si="12"/>
        <v>1106.5992592592593</v>
      </c>
      <c r="M61" s="424">
        <f t="shared" si="13"/>
        <v>22685.36780975926</v>
      </c>
    </row>
    <row r="62" spans="2:13" x14ac:dyDescent="0.2">
      <c r="B62" s="2" t="s">
        <v>527</v>
      </c>
      <c r="C62" s="2" t="s">
        <v>402</v>
      </c>
      <c r="D62" s="2" t="s">
        <v>337</v>
      </c>
      <c r="E62" s="2" t="s">
        <v>790</v>
      </c>
      <c r="F62" s="421">
        <v>14939.09</v>
      </c>
      <c r="G62" s="421">
        <f t="shared" si="7"/>
        <v>3556.9973290000003</v>
      </c>
      <c r="H62" s="421">
        <f t="shared" si="10"/>
        <v>1244.9241666666667</v>
      </c>
      <c r="I62" s="421">
        <f t="shared" si="8"/>
        <v>296.41644408333332</v>
      </c>
      <c r="J62" s="421">
        <f t="shared" si="11"/>
        <v>1244.9241666666667</v>
      </c>
      <c r="K62" s="421">
        <f t="shared" si="9"/>
        <v>296.41644408333332</v>
      </c>
      <c r="L62" s="421">
        <f t="shared" si="12"/>
        <v>1106.5992592592593</v>
      </c>
      <c r="M62" s="424">
        <f t="shared" si="13"/>
        <v>22685.36780975926</v>
      </c>
    </row>
    <row r="63" spans="2:13" x14ac:dyDescent="0.2">
      <c r="B63" s="2" t="s">
        <v>528</v>
      </c>
      <c r="C63" s="2" t="s">
        <v>402</v>
      </c>
      <c r="D63" s="2" t="s">
        <v>338</v>
      </c>
      <c r="E63" s="2" t="s">
        <v>790</v>
      </c>
      <c r="F63" s="421">
        <v>14939.09</v>
      </c>
      <c r="G63" s="421">
        <f t="shared" si="7"/>
        <v>3556.9973290000003</v>
      </c>
      <c r="H63" s="421">
        <f t="shared" si="10"/>
        <v>1244.9241666666667</v>
      </c>
      <c r="I63" s="421">
        <f t="shared" si="8"/>
        <v>296.41644408333332</v>
      </c>
      <c r="J63" s="421">
        <f t="shared" si="11"/>
        <v>1244.9241666666667</v>
      </c>
      <c r="K63" s="421">
        <f t="shared" si="9"/>
        <v>296.41644408333332</v>
      </c>
      <c r="L63" s="421">
        <f t="shared" si="12"/>
        <v>1106.5992592592593</v>
      </c>
      <c r="M63" s="424">
        <f t="shared" si="13"/>
        <v>22685.36780975926</v>
      </c>
    </row>
    <row r="64" spans="2:13" x14ac:dyDescent="0.2">
      <c r="B64" s="2" t="s">
        <v>529</v>
      </c>
      <c r="C64" s="2" t="s">
        <v>402</v>
      </c>
      <c r="D64" s="2" t="s">
        <v>339</v>
      </c>
      <c r="E64" s="2" t="s">
        <v>790</v>
      </c>
      <c r="F64" s="421">
        <v>14939.09</v>
      </c>
      <c r="G64" s="421">
        <f t="shared" si="7"/>
        <v>3556.9973290000003</v>
      </c>
      <c r="H64" s="421">
        <f t="shared" si="10"/>
        <v>1244.9241666666667</v>
      </c>
      <c r="I64" s="421">
        <f t="shared" si="8"/>
        <v>296.41644408333332</v>
      </c>
      <c r="J64" s="421">
        <f t="shared" si="11"/>
        <v>1244.9241666666667</v>
      </c>
      <c r="K64" s="421">
        <f t="shared" si="9"/>
        <v>296.41644408333332</v>
      </c>
      <c r="L64" s="421">
        <f t="shared" si="12"/>
        <v>1106.5992592592593</v>
      </c>
      <c r="M64" s="424">
        <f t="shared" si="13"/>
        <v>22685.36780975926</v>
      </c>
    </row>
    <row r="65" spans="2:13" x14ac:dyDescent="0.2">
      <c r="B65" s="2" t="s">
        <v>530</v>
      </c>
      <c r="C65" s="2" t="s">
        <v>402</v>
      </c>
      <c r="D65" s="2" t="s">
        <v>340</v>
      </c>
      <c r="E65" s="2" t="s">
        <v>790</v>
      </c>
      <c r="F65" s="421">
        <v>14939.09</v>
      </c>
      <c r="G65" s="421">
        <f t="shared" si="7"/>
        <v>3556.9973290000003</v>
      </c>
      <c r="H65" s="421">
        <f t="shared" si="10"/>
        <v>1244.9241666666667</v>
      </c>
      <c r="I65" s="421">
        <f t="shared" si="8"/>
        <v>296.41644408333332</v>
      </c>
      <c r="J65" s="421">
        <f t="shared" si="11"/>
        <v>1244.9241666666667</v>
      </c>
      <c r="K65" s="421">
        <f t="shared" si="9"/>
        <v>296.41644408333332</v>
      </c>
      <c r="L65" s="421">
        <f t="shared" si="12"/>
        <v>1106.5992592592593</v>
      </c>
      <c r="M65" s="424">
        <f t="shared" si="13"/>
        <v>22685.36780975926</v>
      </c>
    </row>
    <row r="66" spans="2:13" x14ac:dyDescent="0.2">
      <c r="B66" s="2" t="s">
        <v>531</v>
      </c>
      <c r="C66" s="2" t="s">
        <v>402</v>
      </c>
      <c r="D66" s="2" t="s">
        <v>341</v>
      </c>
      <c r="E66" s="2" t="s">
        <v>790</v>
      </c>
      <c r="F66" s="421">
        <v>14939.09</v>
      </c>
      <c r="G66" s="421">
        <f t="shared" si="7"/>
        <v>3556.9973290000003</v>
      </c>
      <c r="H66" s="421">
        <f t="shared" si="10"/>
        <v>1244.9241666666667</v>
      </c>
      <c r="I66" s="421">
        <f t="shared" si="8"/>
        <v>296.41644408333332</v>
      </c>
      <c r="J66" s="421">
        <f t="shared" si="11"/>
        <v>1244.9241666666667</v>
      </c>
      <c r="K66" s="421">
        <f t="shared" si="9"/>
        <v>296.41644408333332</v>
      </c>
      <c r="L66" s="421">
        <f t="shared" si="12"/>
        <v>1106.5992592592593</v>
      </c>
      <c r="M66" s="424">
        <f t="shared" si="13"/>
        <v>22685.36780975926</v>
      </c>
    </row>
    <row r="67" spans="2:13" x14ac:dyDescent="0.2">
      <c r="B67" s="2" t="s">
        <v>532</v>
      </c>
      <c r="C67" s="2" t="s">
        <v>402</v>
      </c>
      <c r="D67" s="2" t="s">
        <v>342</v>
      </c>
      <c r="E67" s="2" t="s">
        <v>790</v>
      </c>
      <c r="F67" s="421">
        <v>14939.09</v>
      </c>
      <c r="G67" s="421">
        <f t="shared" si="7"/>
        <v>3556.9973290000003</v>
      </c>
      <c r="H67" s="421">
        <f t="shared" ref="H67:H127" si="14">F67/12</f>
        <v>1244.9241666666667</v>
      </c>
      <c r="I67" s="421">
        <f t="shared" si="8"/>
        <v>296.41644408333332</v>
      </c>
      <c r="J67" s="421">
        <f t="shared" ref="J67:J127" si="15">F67/12</f>
        <v>1244.9241666666667</v>
      </c>
      <c r="K67" s="421">
        <f t="shared" si="9"/>
        <v>296.41644408333332</v>
      </c>
      <c r="L67" s="421">
        <f t="shared" ref="L67:L127" si="16">F67/13.5</f>
        <v>1106.5992592592593</v>
      </c>
      <c r="M67" s="424">
        <f t="shared" ref="M67:M127" si="17">SUM(G67:L67)+F67</f>
        <v>22685.36780975926</v>
      </c>
    </row>
    <row r="68" spans="2:13" x14ac:dyDescent="0.2">
      <c r="B68" s="2" t="s">
        <v>533</v>
      </c>
      <c r="C68" s="2" t="s">
        <v>402</v>
      </c>
      <c r="D68" s="2" t="s">
        <v>343</v>
      </c>
      <c r="E68" s="2" t="s">
        <v>790</v>
      </c>
      <c r="F68" s="421">
        <v>14939.09</v>
      </c>
      <c r="G68" s="421">
        <f t="shared" si="7"/>
        <v>3556.9973290000003</v>
      </c>
      <c r="H68" s="421">
        <f t="shared" si="14"/>
        <v>1244.9241666666667</v>
      </c>
      <c r="I68" s="421">
        <f t="shared" si="8"/>
        <v>296.41644408333332</v>
      </c>
      <c r="J68" s="421">
        <f t="shared" si="15"/>
        <v>1244.9241666666667</v>
      </c>
      <c r="K68" s="421">
        <f t="shared" si="9"/>
        <v>296.41644408333332</v>
      </c>
      <c r="L68" s="421">
        <f t="shared" si="16"/>
        <v>1106.5992592592593</v>
      </c>
      <c r="M68" s="424">
        <f t="shared" si="17"/>
        <v>22685.36780975926</v>
      </c>
    </row>
    <row r="69" spans="2:13" x14ac:dyDescent="0.2">
      <c r="B69" s="2" t="s">
        <v>534</v>
      </c>
      <c r="C69" s="2" t="s">
        <v>402</v>
      </c>
      <c r="D69" s="2" t="s">
        <v>344</v>
      </c>
      <c r="E69" s="2" t="s">
        <v>790</v>
      </c>
      <c r="F69" s="421">
        <v>14939.09</v>
      </c>
      <c r="G69" s="421">
        <f t="shared" si="7"/>
        <v>3556.9973290000003</v>
      </c>
      <c r="H69" s="421">
        <f t="shared" si="14"/>
        <v>1244.9241666666667</v>
      </c>
      <c r="I69" s="421">
        <f t="shared" si="8"/>
        <v>296.41644408333332</v>
      </c>
      <c r="J69" s="421">
        <f t="shared" si="15"/>
        <v>1244.9241666666667</v>
      </c>
      <c r="K69" s="421">
        <f t="shared" si="9"/>
        <v>296.41644408333332</v>
      </c>
      <c r="L69" s="421">
        <f t="shared" si="16"/>
        <v>1106.5992592592593</v>
      </c>
      <c r="M69" s="424">
        <f t="shared" si="17"/>
        <v>22685.36780975926</v>
      </c>
    </row>
    <row r="70" spans="2:13" x14ac:dyDescent="0.2">
      <c r="B70" s="2" t="s">
        <v>535</v>
      </c>
      <c r="C70" s="2" t="s">
        <v>402</v>
      </c>
      <c r="D70" s="2" t="s">
        <v>345</v>
      </c>
      <c r="E70" s="2" t="s">
        <v>790</v>
      </c>
      <c r="F70" s="421">
        <v>14939.09</v>
      </c>
      <c r="G70" s="421">
        <f t="shared" si="7"/>
        <v>3556.9973290000003</v>
      </c>
      <c r="H70" s="421">
        <f t="shared" si="14"/>
        <v>1244.9241666666667</v>
      </c>
      <c r="I70" s="421">
        <f t="shared" si="8"/>
        <v>296.41644408333332</v>
      </c>
      <c r="J70" s="421">
        <f t="shared" si="15"/>
        <v>1244.9241666666667</v>
      </c>
      <c r="K70" s="421">
        <f t="shared" si="9"/>
        <v>296.41644408333332</v>
      </c>
      <c r="L70" s="421">
        <f t="shared" si="16"/>
        <v>1106.5992592592593</v>
      </c>
      <c r="M70" s="424">
        <f t="shared" si="17"/>
        <v>22685.36780975926</v>
      </c>
    </row>
    <row r="71" spans="2:13" x14ac:dyDescent="0.2">
      <c r="B71" s="2" t="s">
        <v>536</v>
      </c>
      <c r="C71" s="2" t="s">
        <v>402</v>
      </c>
      <c r="D71" s="2" t="s">
        <v>346</v>
      </c>
      <c r="E71" s="2" t="s">
        <v>790</v>
      </c>
      <c r="F71" s="421">
        <v>14939.09</v>
      </c>
      <c r="G71" s="421">
        <f t="shared" si="7"/>
        <v>3556.9973290000003</v>
      </c>
      <c r="H71" s="421">
        <f t="shared" si="14"/>
        <v>1244.9241666666667</v>
      </c>
      <c r="I71" s="421">
        <f t="shared" si="8"/>
        <v>296.41644408333332</v>
      </c>
      <c r="J71" s="421">
        <f t="shared" si="15"/>
        <v>1244.9241666666667</v>
      </c>
      <c r="K71" s="421">
        <f t="shared" si="9"/>
        <v>296.41644408333332</v>
      </c>
      <c r="L71" s="421">
        <f t="shared" si="16"/>
        <v>1106.5992592592593</v>
      </c>
      <c r="M71" s="424">
        <f t="shared" si="17"/>
        <v>22685.36780975926</v>
      </c>
    </row>
    <row r="72" spans="2:13" x14ac:dyDescent="0.2">
      <c r="B72" s="2" t="s">
        <v>537</v>
      </c>
      <c r="C72" s="2" t="s">
        <v>402</v>
      </c>
      <c r="D72" s="2" t="s">
        <v>347</v>
      </c>
      <c r="E72" s="2" t="s">
        <v>790</v>
      </c>
      <c r="F72" s="421">
        <v>14939.09</v>
      </c>
      <c r="G72" s="421">
        <f t="shared" si="7"/>
        <v>3556.9973290000003</v>
      </c>
      <c r="H72" s="421">
        <f t="shared" si="14"/>
        <v>1244.9241666666667</v>
      </c>
      <c r="I72" s="421">
        <f t="shared" si="8"/>
        <v>296.41644408333332</v>
      </c>
      <c r="J72" s="421">
        <f t="shared" si="15"/>
        <v>1244.9241666666667</v>
      </c>
      <c r="K72" s="421">
        <f t="shared" si="9"/>
        <v>296.41644408333332</v>
      </c>
      <c r="L72" s="421">
        <f t="shared" si="16"/>
        <v>1106.5992592592593</v>
      </c>
      <c r="M72" s="424">
        <f t="shared" si="17"/>
        <v>22685.36780975926</v>
      </c>
    </row>
    <row r="73" spans="2:13" x14ac:dyDescent="0.2">
      <c r="B73" s="2" t="s">
        <v>538</v>
      </c>
      <c r="C73" s="2" t="s">
        <v>402</v>
      </c>
      <c r="D73" s="2" t="s">
        <v>348</v>
      </c>
      <c r="E73" s="2" t="s">
        <v>790</v>
      </c>
      <c r="F73" s="421">
        <v>14939.09</v>
      </c>
      <c r="G73" s="421">
        <f t="shared" si="7"/>
        <v>3556.9973290000003</v>
      </c>
      <c r="H73" s="421">
        <f t="shared" si="14"/>
        <v>1244.9241666666667</v>
      </c>
      <c r="I73" s="421">
        <f t="shared" si="8"/>
        <v>296.41644408333332</v>
      </c>
      <c r="J73" s="421">
        <f t="shared" si="15"/>
        <v>1244.9241666666667</v>
      </c>
      <c r="K73" s="421">
        <f t="shared" si="9"/>
        <v>296.41644408333332</v>
      </c>
      <c r="L73" s="421">
        <f t="shared" si="16"/>
        <v>1106.5992592592593</v>
      </c>
      <c r="M73" s="424">
        <f t="shared" si="17"/>
        <v>22685.36780975926</v>
      </c>
    </row>
    <row r="74" spans="2:13" x14ac:dyDescent="0.2">
      <c r="B74" s="2" t="s">
        <v>539</v>
      </c>
      <c r="C74" s="2" t="s">
        <v>402</v>
      </c>
      <c r="D74" s="2" t="s">
        <v>349</v>
      </c>
      <c r="E74" s="2" t="s">
        <v>790</v>
      </c>
      <c r="F74" s="421">
        <v>14939.09</v>
      </c>
      <c r="G74" s="421">
        <f t="shared" ref="G74:G105" si="18">F74*$E$4</f>
        <v>3556.9973290000003</v>
      </c>
      <c r="H74" s="421">
        <f t="shared" si="14"/>
        <v>1244.9241666666667</v>
      </c>
      <c r="I74" s="421">
        <f t="shared" ref="I74:I105" si="19">H74*$E$4</f>
        <v>296.41644408333332</v>
      </c>
      <c r="J74" s="421">
        <f t="shared" si="15"/>
        <v>1244.9241666666667</v>
      </c>
      <c r="K74" s="421">
        <f t="shared" ref="K74:K105" si="20">J74*$E$4</f>
        <v>296.41644408333332</v>
      </c>
      <c r="L74" s="421">
        <f t="shared" si="16"/>
        <v>1106.5992592592593</v>
      </c>
      <c r="M74" s="424">
        <f t="shared" si="17"/>
        <v>22685.36780975926</v>
      </c>
    </row>
    <row r="75" spans="2:13" x14ac:dyDescent="0.2">
      <c r="B75" s="2" t="s">
        <v>540</v>
      </c>
      <c r="C75" s="2" t="s">
        <v>402</v>
      </c>
      <c r="D75" s="2" t="s">
        <v>350</v>
      </c>
      <c r="E75" s="2" t="s">
        <v>790</v>
      </c>
      <c r="F75" s="421">
        <v>14939.09</v>
      </c>
      <c r="G75" s="421">
        <f t="shared" si="18"/>
        <v>3556.9973290000003</v>
      </c>
      <c r="H75" s="421">
        <f t="shared" si="14"/>
        <v>1244.9241666666667</v>
      </c>
      <c r="I75" s="421">
        <f t="shared" si="19"/>
        <v>296.41644408333332</v>
      </c>
      <c r="J75" s="421">
        <f t="shared" si="15"/>
        <v>1244.9241666666667</v>
      </c>
      <c r="K75" s="421">
        <f t="shared" si="20"/>
        <v>296.41644408333332</v>
      </c>
      <c r="L75" s="421">
        <f t="shared" si="16"/>
        <v>1106.5992592592593</v>
      </c>
      <c r="M75" s="424">
        <f t="shared" si="17"/>
        <v>22685.36780975926</v>
      </c>
    </row>
    <row r="76" spans="2:13" x14ac:dyDescent="0.2">
      <c r="B76" s="2" t="s">
        <v>541</v>
      </c>
      <c r="C76" s="2" t="s">
        <v>402</v>
      </c>
      <c r="D76" s="2" t="s">
        <v>351</v>
      </c>
      <c r="E76" s="2" t="s">
        <v>790</v>
      </c>
      <c r="F76" s="421">
        <v>14939.09</v>
      </c>
      <c r="G76" s="421">
        <f t="shared" si="18"/>
        <v>3556.9973290000003</v>
      </c>
      <c r="H76" s="421">
        <f t="shared" si="14"/>
        <v>1244.9241666666667</v>
      </c>
      <c r="I76" s="421">
        <f t="shared" si="19"/>
        <v>296.41644408333332</v>
      </c>
      <c r="J76" s="421">
        <f t="shared" si="15"/>
        <v>1244.9241666666667</v>
      </c>
      <c r="K76" s="421">
        <f t="shared" si="20"/>
        <v>296.41644408333332</v>
      </c>
      <c r="L76" s="421">
        <f t="shared" si="16"/>
        <v>1106.5992592592593</v>
      </c>
      <c r="M76" s="424">
        <f t="shared" si="17"/>
        <v>22685.36780975926</v>
      </c>
    </row>
    <row r="77" spans="2:13" x14ac:dyDescent="0.2">
      <c r="B77" s="2" t="s">
        <v>542</v>
      </c>
      <c r="C77" s="2" t="s">
        <v>402</v>
      </c>
      <c r="D77" s="2" t="s">
        <v>352</v>
      </c>
      <c r="E77" s="2" t="s">
        <v>790</v>
      </c>
      <c r="F77" s="421">
        <v>14939.09</v>
      </c>
      <c r="G77" s="421">
        <f t="shared" si="18"/>
        <v>3556.9973290000003</v>
      </c>
      <c r="H77" s="421">
        <f t="shared" si="14"/>
        <v>1244.9241666666667</v>
      </c>
      <c r="I77" s="421">
        <f t="shared" si="19"/>
        <v>296.41644408333332</v>
      </c>
      <c r="J77" s="421">
        <f t="shared" si="15"/>
        <v>1244.9241666666667</v>
      </c>
      <c r="K77" s="421">
        <f t="shared" si="20"/>
        <v>296.41644408333332</v>
      </c>
      <c r="L77" s="421">
        <f t="shared" si="16"/>
        <v>1106.5992592592593</v>
      </c>
      <c r="M77" s="424">
        <f t="shared" si="17"/>
        <v>22685.36780975926</v>
      </c>
    </row>
    <row r="78" spans="2:13" x14ac:dyDescent="0.2">
      <c r="B78" s="2" t="s">
        <v>543</v>
      </c>
      <c r="C78" s="2" t="s">
        <v>402</v>
      </c>
      <c r="D78" s="2" t="s">
        <v>353</v>
      </c>
      <c r="E78" s="2" t="s">
        <v>790</v>
      </c>
      <c r="F78" s="421">
        <v>14939.09</v>
      </c>
      <c r="G78" s="421">
        <f t="shared" si="18"/>
        <v>3556.9973290000003</v>
      </c>
      <c r="H78" s="421">
        <f t="shared" si="14"/>
        <v>1244.9241666666667</v>
      </c>
      <c r="I78" s="421">
        <f t="shared" si="19"/>
        <v>296.41644408333332</v>
      </c>
      <c r="J78" s="421">
        <f t="shared" si="15"/>
        <v>1244.9241666666667</v>
      </c>
      <c r="K78" s="421">
        <f t="shared" si="20"/>
        <v>296.41644408333332</v>
      </c>
      <c r="L78" s="421">
        <f t="shared" si="16"/>
        <v>1106.5992592592593</v>
      </c>
      <c r="M78" s="424">
        <f t="shared" si="17"/>
        <v>22685.36780975926</v>
      </c>
    </row>
    <row r="79" spans="2:13" x14ac:dyDescent="0.2">
      <c r="B79" s="2" t="s">
        <v>544</v>
      </c>
      <c r="C79" s="2" t="s">
        <v>402</v>
      </c>
      <c r="D79" s="2" t="s">
        <v>354</v>
      </c>
      <c r="E79" s="2" t="s">
        <v>790</v>
      </c>
      <c r="F79" s="421">
        <v>14939.09</v>
      </c>
      <c r="G79" s="421">
        <f t="shared" si="18"/>
        <v>3556.9973290000003</v>
      </c>
      <c r="H79" s="421">
        <f t="shared" si="14"/>
        <v>1244.9241666666667</v>
      </c>
      <c r="I79" s="421">
        <f t="shared" si="19"/>
        <v>296.41644408333332</v>
      </c>
      <c r="J79" s="421">
        <f t="shared" si="15"/>
        <v>1244.9241666666667</v>
      </c>
      <c r="K79" s="421">
        <f t="shared" si="20"/>
        <v>296.41644408333332</v>
      </c>
      <c r="L79" s="421">
        <f t="shared" si="16"/>
        <v>1106.5992592592593</v>
      </c>
      <c r="M79" s="424">
        <f t="shared" si="17"/>
        <v>22685.36780975926</v>
      </c>
    </row>
    <row r="80" spans="2:13" x14ac:dyDescent="0.2">
      <c r="B80" s="2" t="s">
        <v>545</v>
      </c>
      <c r="C80" s="2" t="s">
        <v>402</v>
      </c>
      <c r="D80" s="2" t="s">
        <v>355</v>
      </c>
      <c r="E80" s="2" t="s">
        <v>790</v>
      </c>
      <c r="F80" s="421">
        <v>14939.09</v>
      </c>
      <c r="G80" s="421">
        <f t="shared" si="18"/>
        <v>3556.9973290000003</v>
      </c>
      <c r="H80" s="421">
        <f t="shared" si="14"/>
        <v>1244.9241666666667</v>
      </c>
      <c r="I80" s="421">
        <f t="shared" si="19"/>
        <v>296.41644408333332</v>
      </c>
      <c r="J80" s="421">
        <f t="shared" si="15"/>
        <v>1244.9241666666667</v>
      </c>
      <c r="K80" s="421">
        <f t="shared" si="20"/>
        <v>296.41644408333332</v>
      </c>
      <c r="L80" s="421">
        <f t="shared" si="16"/>
        <v>1106.5992592592593</v>
      </c>
      <c r="M80" s="424">
        <f t="shared" si="17"/>
        <v>22685.36780975926</v>
      </c>
    </row>
    <row r="81" spans="2:13" x14ac:dyDescent="0.2">
      <c r="B81" s="2" t="s">
        <v>546</v>
      </c>
      <c r="C81" s="2" t="s">
        <v>402</v>
      </c>
      <c r="D81" s="2" t="s">
        <v>356</v>
      </c>
      <c r="E81" s="2" t="s">
        <v>790</v>
      </c>
      <c r="F81" s="421">
        <v>14939.09</v>
      </c>
      <c r="G81" s="421">
        <f t="shared" si="18"/>
        <v>3556.9973290000003</v>
      </c>
      <c r="H81" s="421">
        <f t="shared" si="14"/>
        <v>1244.9241666666667</v>
      </c>
      <c r="I81" s="421">
        <f t="shared" si="19"/>
        <v>296.41644408333332</v>
      </c>
      <c r="J81" s="421">
        <f t="shared" si="15"/>
        <v>1244.9241666666667</v>
      </c>
      <c r="K81" s="421">
        <f t="shared" si="20"/>
        <v>296.41644408333332</v>
      </c>
      <c r="L81" s="421">
        <f t="shared" si="16"/>
        <v>1106.5992592592593</v>
      </c>
      <c r="M81" s="424">
        <f t="shared" si="17"/>
        <v>22685.36780975926</v>
      </c>
    </row>
    <row r="82" spans="2:13" x14ac:dyDescent="0.2">
      <c r="B82" s="2" t="s">
        <v>547</v>
      </c>
      <c r="C82" s="2" t="s">
        <v>402</v>
      </c>
      <c r="D82" s="2" t="s">
        <v>357</v>
      </c>
      <c r="E82" s="2" t="s">
        <v>790</v>
      </c>
      <c r="F82" s="421">
        <v>14939.09</v>
      </c>
      <c r="G82" s="421">
        <f t="shared" si="18"/>
        <v>3556.9973290000003</v>
      </c>
      <c r="H82" s="421">
        <f t="shared" si="14"/>
        <v>1244.9241666666667</v>
      </c>
      <c r="I82" s="421">
        <f t="shared" si="19"/>
        <v>296.41644408333332</v>
      </c>
      <c r="J82" s="421">
        <f t="shared" si="15"/>
        <v>1244.9241666666667</v>
      </c>
      <c r="K82" s="421">
        <f t="shared" si="20"/>
        <v>296.41644408333332</v>
      </c>
      <c r="L82" s="421">
        <f t="shared" si="16"/>
        <v>1106.5992592592593</v>
      </c>
      <c r="M82" s="424">
        <f t="shared" si="17"/>
        <v>22685.36780975926</v>
      </c>
    </row>
    <row r="83" spans="2:13" x14ac:dyDescent="0.2">
      <c r="B83" s="2" t="s">
        <v>548</v>
      </c>
      <c r="C83" s="2" t="s">
        <v>402</v>
      </c>
      <c r="D83" s="2" t="s">
        <v>358</v>
      </c>
      <c r="E83" s="2" t="s">
        <v>790</v>
      </c>
      <c r="F83" s="421">
        <v>14939.09</v>
      </c>
      <c r="G83" s="421">
        <f t="shared" si="18"/>
        <v>3556.9973290000003</v>
      </c>
      <c r="H83" s="421">
        <f t="shared" si="14"/>
        <v>1244.9241666666667</v>
      </c>
      <c r="I83" s="421">
        <f t="shared" si="19"/>
        <v>296.41644408333332</v>
      </c>
      <c r="J83" s="421">
        <f t="shared" si="15"/>
        <v>1244.9241666666667</v>
      </c>
      <c r="K83" s="421">
        <f t="shared" si="20"/>
        <v>296.41644408333332</v>
      </c>
      <c r="L83" s="421">
        <f t="shared" si="16"/>
        <v>1106.5992592592593</v>
      </c>
      <c r="M83" s="424">
        <f t="shared" si="17"/>
        <v>22685.36780975926</v>
      </c>
    </row>
    <row r="84" spans="2:13" x14ac:dyDescent="0.2">
      <c r="B84" s="2" t="s">
        <v>549</v>
      </c>
      <c r="C84" s="2" t="s">
        <v>402</v>
      </c>
      <c r="D84" s="2" t="s">
        <v>359</v>
      </c>
      <c r="E84" s="2" t="s">
        <v>790</v>
      </c>
      <c r="F84" s="421">
        <v>14939.09</v>
      </c>
      <c r="G84" s="421">
        <f t="shared" si="18"/>
        <v>3556.9973290000003</v>
      </c>
      <c r="H84" s="421">
        <f t="shared" si="14"/>
        <v>1244.9241666666667</v>
      </c>
      <c r="I84" s="421">
        <f t="shared" si="19"/>
        <v>296.41644408333332</v>
      </c>
      <c r="J84" s="421">
        <f t="shared" si="15"/>
        <v>1244.9241666666667</v>
      </c>
      <c r="K84" s="421">
        <f t="shared" si="20"/>
        <v>296.41644408333332</v>
      </c>
      <c r="L84" s="421">
        <f t="shared" si="16"/>
        <v>1106.5992592592593</v>
      </c>
      <c r="M84" s="424">
        <f t="shared" si="17"/>
        <v>22685.36780975926</v>
      </c>
    </row>
    <row r="85" spans="2:13" x14ac:dyDescent="0.2">
      <c r="B85" s="2" t="s">
        <v>550</v>
      </c>
      <c r="C85" s="2" t="s">
        <v>402</v>
      </c>
      <c r="D85" s="2" t="s">
        <v>360</v>
      </c>
      <c r="E85" s="2" t="s">
        <v>790</v>
      </c>
      <c r="F85" s="421">
        <v>14939.09</v>
      </c>
      <c r="G85" s="421">
        <f t="shared" si="18"/>
        <v>3556.9973290000003</v>
      </c>
      <c r="H85" s="421">
        <f t="shared" si="14"/>
        <v>1244.9241666666667</v>
      </c>
      <c r="I85" s="421">
        <f t="shared" si="19"/>
        <v>296.41644408333332</v>
      </c>
      <c r="J85" s="421">
        <f t="shared" si="15"/>
        <v>1244.9241666666667</v>
      </c>
      <c r="K85" s="421">
        <f t="shared" si="20"/>
        <v>296.41644408333332</v>
      </c>
      <c r="L85" s="421">
        <f t="shared" si="16"/>
        <v>1106.5992592592593</v>
      </c>
      <c r="M85" s="424">
        <f t="shared" si="17"/>
        <v>22685.36780975926</v>
      </c>
    </row>
    <row r="86" spans="2:13" x14ac:dyDescent="0.2">
      <c r="B86" s="2" t="s">
        <v>551</v>
      </c>
      <c r="C86" s="2" t="s">
        <v>402</v>
      </c>
      <c r="D86" s="2" t="s">
        <v>361</v>
      </c>
      <c r="E86" s="2" t="s">
        <v>790</v>
      </c>
      <c r="F86" s="421">
        <v>14939.09</v>
      </c>
      <c r="G86" s="421">
        <f t="shared" si="18"/>
        <v>3556.9973290000003</v>
      </c>
      <c r="H86" s="421">
        <f t="shared" si="14"/>
        <v>1244.9241666666667</v>
      </c>
      <c r="I86" s="421">
        <f t="shared" si="19"/>
        <v>296.41644408333332</v>
      </c>
      <c r="J86" s="421">
        <f t="shared" si="15"/>
        <v>1244.9241666666667</v>
      </c>
      <c r="K86" s="421">
        <f t="shared" si="20"/>
        <v>296.41644408333332</v>
      </c>
      <c r="L86" s="421">
        <f t="shared" si="16"/>
        <v>1106.5992592592593</v>
      </c>
      <c r="M86" s="424">
        <f t="shared" si="17"/>
        <v>22685.36780975926</v>
      </c>
    </row>
    <row r="87" spans="2:13" x14ac:dyDescent="0.2">
      <c r="B87" s="2" t="s">
        <v>552</v>
      </c>
      <c r="C87" s="2" t="s">
        <v>402</v>
      </c>
      <c r="D87" s="2" t="s">
        <v>362</v>
      </c>
      <c r="E87" s="2" t="s">
        <v>790</v>
      </c>
      <c r="F87" s="421">
        <v>14939.09</v>
      </c>
      <c r="G87" s="421">
        <f t="shared" si="18"/>
        <v>3556.9973290000003</v>
      </c>
      <c r="H87" s="421">
        <f t="shared" si="14"/>
        <v>1244.9241666666667</v>
      </c>
      <c r="I87" s="421">
        <f t="shared" si="19"/>
        <v>296.41644408333332</v>
      </c>
      <c r="J87" s="421">
        <f t="shared" si="15"/>
        <v>1244.9241666666667</v>
      </c>
      <c r="K87" s="421">
        <f t="shared" si="20"/>
        <v>296.41644408333332</v>
      </c>
      <c r="L87" s="421">
        <f t="shared" si="16"/>
        <v>1106.5992592592593</v>
      </c>
      <c r="M87" s="424">
        <f t="shared" si="17"/>
        <v>22685.36780975926</v>
      </c>
    </row>
    <row r="88" spans="2:13" x14ac:dyDescent="0.2">
      <c r="B88" s="2" t="s">
        <v>553</v>
      </c>
      <c r="C88" s="2" t="s">
        <v>402</v>
      </c>
      <c r="D88" s="2" t="s">
        <v>363</v>
      </c>
      <c r="E88" s="2" t="s">
        <v>790</v>
      </c>
      <c r="F88" s="421">
        <v>14939.09</v>
      </c>
      <c r="G88" s="421">
        <f t="shared" si="18"/>
        <v>3556.9973290000003</v>
      </c>
      <c r="H88" s="421">
        <f t="shared" si="14"/>
        <v>1244.9241666666667</v>
      </c>
      <c r="I88" s="421">
        <f t="shared" si="19"/>
        <v>296.41644408333332</v>
      </c>
      <c r="J88" s="421">
        <f t="shared" si="15"/>
        <v>1244.9241666666667</v>
      </c>
      <c r="K88" s="421">
        <f t="shared" si="20"/>
        <v>296.41644408333332</v>
      </c>
      <c r="L88" s="421">
        <f t="shared" si="16"/>
        <v>1106.5992592592593</v>
      </c>
      <c r="M88" s="424">
        <f t="shared" si="17"/>
        <v>22685.36780975926</v>
      </c>
    </row>
    <row r="89" spans="2:13" x14ac:dyDescent="0.2">
      <c r="B89" s="2" t="s">
        <v>554</v>
      </c>
      <c r="C89" s="2" t="s">
        <v>402</v>
      </c>
      <c r="D89" s="2" t="s">
        <v>364</v>
      </c>
      <c r="E89" s="2" t="s">
        <v>790</v>
      </c>
      <c r="F89" s="421">
        <v>14939.09</v>
      </c>
      <c r="G89" s="421">
        <f t="shared" si="18"/>
        <v>3556.9973290000003</v>
      </c>
      <c r="H89" s="421">
        <f t="shared" si="14"/>
        <v>1244.9241666666667</v>
      </c>
      <c r="I89" s="421">
        <f t="shared" si="19"/>
        <v>296.41644408333332</v>
      </c>
      <c r="J89" s="421">
        <f t="shared" si="15"/>
        <v>1244.9241666666667</v>
      </c>
      <c r="K89" s="421">
        <f t="shared" si="20"/>
        <v>296.41644408333332</v>
      </c>
      <c r="L89" s="421">
        <f t="shared" si="16"/>
        <v>1106.5992592592593</v>
      </c>
      <c r="M89" s="424">
        <f t="shared" si="17"/>
        <v>22685.36780975926</v>
      </c>
    </row>
    <row r="90" spans="2:13" x14ac:dyDescent="0.2">
      <c r="B90" s="2" t="s">
        <v>555</v>
      </c>
      <c r="C90" s="2" t="s">
        <v>402</v>
      </c>
      <c r="D90" s="2" t="s">
        <v>365</v>
      </c>
      <c r="E90" s="2" t="s">
        <v>790</v>
      </c>
      <c r="F90" s="421">
        <v>14939.09</v>
      </c>
      <c r="G90" s="421">
        <f t="shared" si="18"/>
        <v>3556.9973290000003</v>
      </c>
      <c r="H90" s="421">
        <f t="shared" si="14"/>
        <v>1244.9241666666667</v>
      </c>
      <c r="I90" s="421">
        <f t="shared" si="19"/>
        <v>296.41644408333332</v>
      </c>
      <c r="J90" s="421">
        <f t="shared" si="15"/>
        <v>1244.9241666666667</v>
      </c>
      <c r="K90" s="421">
        <f t="shared" si="20"/>
        <v>296.41644408333332</v>
      </c>
      <c r="L90" s="421">
        <f t="shared" si="16"/>
        <v>1106.5992592592593</v>
      </c>
      <c r="M90" s="424">
        <f t="shared" si="17"/>
        <v>22685.36780975926</v>
      </c>
    </row>
    <row r="91" spans="2:13" x14ac:dyDescent="0.2">
      <c r="B91" s="2" t="s">
        <v>556</v>
      </c>
      <c r="C91" s="2" t="s">
        <v>402</v>
      </c>
      <c r="D91" s="2" t="s">
        <v>366</v>
      </c>
      <c r="E91" s="2" t="s">
        <v>790</v>
      </c>
      <c r="F91" s="421">
        <v>14939.09</v>
      </c>
      <c r="G91" s="421">
        <f t="shared" si="18"/>
        <v>3556.9973290000003</v>
      </c>
      <c r="H91" s="421">
        <f t="shared" si="14"/>
        <v>1244.9241666666667</v>
      </c>
      <c r="I91" s="421">
        <f t="shared" si="19"/>
        <v>296.41644408333332</v>
      </c>
      <c r="J91" s="421">
        <f t="shared" si="15"/>
        <v>1244.9241666666667</v>
      </c>
      <c r="K91" s="421">
        <f t="shared" si="20"/>
        <v>296.41644408333332</v>
      </c>
      <c r="L91" s="421">
        <f t="shared" si="16"/>
        <v>1106.5992592592593</v>
      </c>
      <c r="M91" s="424">
        <f t="shared" si="17"/>
        <v>22685.36780975926</v>
      </c>
    </row>
    <row r="92" spans="2:13" x14ac:dyDescent="0.2">
      <c r="B92" s="2" t="s">
        <v>557</v>
      </c>
      <c r="C92" s="2" t="s">
        <v>402</v>
      </c>
      <c r="D92" s="2" t="s">
        <v>367</v>
      </c>
      <c r="E92" s="2" t="s">
        <v>790</v>
      </c>
      <c r="F92" s="421">
        <v>14939.09</v>
      </c>
      <c r="G92" s="421">
        <f t="shared" si="18"/>
        <v>3556.9973290000003</v>
      </c>
      <c r="H92" s="421">
        <f t="shared" si="14"/>
        <v>1244.9241666666667</v>
      </c>
      <c r="I92" s="421">
        <f t="shared" si="19"/>
        <v>296.41644408333332</v>
      </c>
      <c r="J92" s="421">
        <f t="shared" si="15"/>
        <v>1244.9241666666667</v>
      </c>
      <c r="K92" s="421">
        <f t="shared" si="20"/>
        <v>296.41644408333332</v>
      </c>
      <c r="L92" s="421">
        <f t="shared" si="16"/>
        <v>1106.5992592592593</v>
      </c>
      <c r="M92" s="424">
        <f t="shared" si="17"/>
        <v>22685.36780975926</v>
      </c>
    </row>
    <row r="93" spans="2:13" x14ac:dyDescent="0.2">
      <c r="B93" s="2" t="s">
        <v>558</v>
      </c>
      <c r="C93" s="2" t="s">
        <v>402</v>
      </c>
      <c r="D93" s="2" t="s">
        <v>368</v>
      </c>
      <c r="E93" s="2" t="s">
        <v>790</v>
      </c>
      <c r="F93" s="421">
        <v>14939.09</v>
      </c>
      <c r="G93" s="421">
        <f t="shared" si="18"/>
        <v>3556.9973290000003</v>
      </c>
      <c r="H93" s="421">
        <f t="shared" si="14"/>
        <v>1244.9241666666667</v>
      </c>
      <c r="I93" s="421">
        <f t="shared" si="19"/>
        <v>296.41644408333332</v>
      </c>
      <c r="J93" s="421">
        <f t="shared" si="15"/>
        <v>1244.9241666666667</v>
      </c>
      <c r="K93" s="421">
        <f t="shared" si="20"/>
        <v>296.41644408333332</v>
      </c>
      <c r="L93" s="421">
        <f t="shared" si="16"/>
        <v>1106.5992592592593</v>
      </c>
      <c r="M93" s="424">
        <f t="shared" si="17"/>
        <v>22685.36780975926</v>
      </c>
    </row>
    <row r="94" spans="2:13" x14ac:dyDescent="0.2">
      <c r="B94" s="2" t="s">
        <v>559</v>
      </c>
      <c r="C94" s="2" t="s">
        <v>402</v>
      </c>
      <c r="D94" s="2" t="s">
        <v>369</v>
      </c>
      <c r="E94" s="2" t="s">
        <v>790</v>
      </c>
      <c r="F94" s="421">
        <v>14939.09</v>
      </c>
      <c r="G94" s="421">
        <f t="shared" si="18"/>
        <v>3556.9973290000003</v>
      </c>
      <c r="H94" s="421">
        <f t="shared" si="14"/>
        <v>1244.9241666666667</v>
      </c>
      <c r="I94" s="421">
        <f t="shared" si="19"/>
        <v>296.41644408333332</v>
      </c>
      <c r="J94" s="421">
        <f t="shared" si="15"/>
        <v>1244.9241666666667</v>
      </c>
      <c r="K94" s="421">
        <f t="shared" si="20"/>
        <v>296.41644408333332</v>
      </c>
      <c r="L94" s="421">
        <f t="shared" si="16"/>
        <v>1106.5992592592593</v>
      </c>
      <c r="M94" s="424">
        <f t="shared" si="17"/>
        <v>22685.36780975926</v>
      </c>
    </row>
    <row r="95" spans="2:13" x14ac:dyDescent="0.2">
      <c r="B95" s="2" t="s">
        <v>560</v>
      </c>
      <c r="C95" s="2" t="s">
        <v>402</v>
      </c>
      <c r="D95" s="2" t="s">
        <v>370</v>
      </c>
      <c r="E95" s="2" t="s">
        <v>790</v>
      </c>
      <c r="F95" s="421">
        <v>14939.09</v>
      </c>
      <c r="G95" s="421">
        <f t="shared" si="18"/>
        <v>3556.9973290000003</v>
      </c>
      <c r="H95" s="421">
        <f t="shared" si="14"/>
        <v>1244.9241666666667</v>
      </c>
      <c r="I95" s="421">
        <f t="shared" si="19"/>
        <v>296.41644408333332</v>
      </c>
      <c r="J95" s="421">
        <f t="shared" si="15"/>
        <v>1244.9241666666667</v>
      </c>
      <c r="K95" s="421">
        <f t="shared" si="20"/>
        <v>296.41644408333332</v>
      </c>
      <c r="L95" s="421">
        <f t="shared" si="16"/>
        <v>1106.5992592592593</v>
      </c>
      <c r="M95" s="424">
        <f t="shared" si="17"/>
        <v>22685.36780975926</v>
      </c>
    </row>
    <row r="96" spans="2:13" x14ac:dyDescent="0.2">
      <c r="B96" s="2" t="s">
        <v>561</v>
      </c>
      <c r="C96" s="2" t="s">
        <v>402</v>
      </c>
      <c r="D96" s="2" t="s">
        <v>371</v>
      </c>
      <c r="E96" s="2" t="s">
        <v>790</v>
      </c>
      <c r="F96" s="421">
        <v>14939.09</v>
      </c>
      <c r="G96" s="421">
        <f t="shared" si="18"/>
        <v>3556.9973290000003</v>
      </c>
      <c r="H96" s="421">
        <f t="shared" si="14"/>
        <v>1244.9241666666667</v>
      </c>
      <c r="I96" s="421">
        <f t="shared" si="19"/>
        <v>296.41644408333332</v>
      </c>
      <c r="J96" s="421">
        <f t="shared" si="15"/>
        <v>1244.9241666666667</v>
      </c>
      <c r="K96" s="421">
        <f t="shared" si="20"/>
        <v>296.41644408333332</v>
      </c>
      <c r="L96" s="421">
        <f t="shared" si="16"/>
        <v>1106.5992592592593</v>
      </c>
      <c r="M96" s="424">
        <f t="shared" si="17"/>
        <v>22685.36780975926</v>
      </c>
    </row>
    <row r="97" spans="2:13" x14ac:dyDescent="0.2">
      <c r="B97" s="2" t="s">
        <v>562</v>
      </c>
      <c r="C97" s="2" t="s">
        <v>402</v>
      </c>
      <c r="D97" s="2" t="s">
        <v>372</v>
      </c>
      <c r="E97" s="2" t="s">
        <v>790</v>
      </c>
      <c r="F97" s="421">
        <v>14939.09</v>
      </c>
      <c r="G97" s="421">
        <f t="shared" si="18"/>
        <v>3556.9973290000003</v>
      </c>
      <c r="H97" s="421">
        <f t="shared" si="14"/>
        <v>1244.9241666666667</v>
      </c>
      <c r="I97" s="421">
        <f t="shared" si="19"/>
        <v>296.41644408333332</v>
      </c>
      <c r="J97" s="421">
        <f t="shared" si="15"/>
        <v>1244.9241666666667</v>
      </c>
      <c r="K97" s="421">
        <f t="shared" si="20"/>
        <v>296.41644408333332</v>
      </c>
      <c r="L97" s="421">
        <f t="shared" si="16"/>
        <v>1106.5992592592593</v>
      </c>
      <c r="M97" s="424">
        <f t="shared" si="17"/>
        <v>22685.36780975926</v>
      </c>
    </row>
    <row r="98" spans="2:13" x14ac:dyDescent="0.2">
      <c r="B98" s="2" t="s">
        <v>563</v>
      </c>
      <c r="C98" s="2" t="s">
        <v>402</v>
      </c>
      <c r="D98" s="2" t="s">
        <v>373</v>
      </c>
      <c r="E98" s="2" t="s">
        <v>790</v>
      </c>
      <c r="F98" s="421">
        <v>14939.09</v>
      </c>
      <c r="G98" s="421">
        <f t="shared" si="18"/>
        <v>3556.9973290000003</v>
      </c>
      <c r="H98" s="421">
        <f t="shared" si="14"/>
        <v>1244.9241666666667</v>
      </c>
      <c r="I98" s="421">
        <f t="shared" si="19"/>
        <v>296.41644408333332</v>
      </c>
      <c r="J98" s="421">
        <f t="shared" si="15"/>
        <v>1244.9241666666667</v>
      </c>
      <c r="K98" s="421">
        <f t="shared" si="20"/>
        <v>296.41644408333332</v>
      </c>
      <c r="L98" s="421">
        <f t="shared" si="16"/>
        <v>1106.5992592592593</v>
      </c>
      <c r="M98" s="424">
        <f t="shared" si="17"/>
        <v>22685.36780975926</v>
      </c>
    </row>
    <row r="99" spans="2:13" x14ac:dyDescent="0.2">
      <c r="B99" s="2" t="s">
        <v>564</v>
      </c>
      <c r="C99" s="2" t="s">
        <v>402</v>
      </c>
      <c r="D99" s="2" t="s">
        <v>374</v>
      </c>
      <c r="E99" s="2" t="s">
        <v>790</v>
      </c>
      <c r="F99" s="421">
        <v>14939.09</v>
      </c>
      <c r="G99" s="421">
        <f t="shared" si="18"/>
        <v>3556.9973290000003</v>
      </c>
      <c r="H99" s="421">
        <f t="shared" si="14"/>
        <v>1244.9241666666667</v>
      </c>
      <c r="I99" s="421">
        <f t="shared" si="19"/>
        <v>296.41644408333332</v>
      </c>
      <c r="J99" s="421">
        <f t="shared" si="15"/>
        <v>1244.9241666666667</v>
      </c>
      <c r="K99" s="421">
        <f t="shared" si="20"/>
        <v>296.41644408333332</v>
      </c>
      <c r="L99" s="421">
        <f t="shared" si="16"/>
        <v>1106.5992592592593</v>
      </c>
      <c r="M99" s="424">
        <f t="shared" si="17"/>
        <v>22685.36780975926</v>
      </c>
    </row>
    <row r="100" spans="2:13" x14ac:dyDescent="0.2">
      <c r="B100" s="2" t="s">
        <v>565</v>
      </c>
      <c r="C100" s="2" t="s">
        <v>402</v>
      </c>
      <c r="D100" s="2" t="s">
        <v>375</v>
      </c>
      <c r="E100" s="2" t="s">
        <v>790</v>
      </c>
      <c r="F100" s="421">
        <v>14939.09</v>
      </c>
      <c r="G100" s="421">
        <f t="shared" si="18"/>
        <v>3556.9973290000003</v>
      </c>
      <c r="H100" s="421">
        <f t="shared" si="14"/>
        <v>1244.9241666666667</v>
      </c>
      <c r="I100" s="421">
        <f t="shared" si="19"/>
        <v>296.41644408333332</v>
      </c>
      <c r="J100" s="421">
        <f t="shared" si="15"/>
        <v>1244.9241666666667</v>
      </c>
      <c r="K100" s="421">
        <f t="shared" si="20"/>
        <v>296.41644408333332</v>
      </c>
      <c r="L100" s="421">
        <f t="shared" si="16"/>
        <v>1106.5992592592593</v>
      </c>
      <c r="M100" s="424">
        <f t="shared" si="17"/>
        <v>22685.36780975926</v>
      </c>
    </row>
    <row r="101" spans="2:13" x14ac:dyDescent="0.2">
      <c r="B101" s="2" t="s">
        <v>566</v>
      </c>
      <c r="C101" s="2" t="s">
        <v>402</v>
      </c>
      <c r="D101" s="2" t="s">
        <v>376</v>
      </c>
      <c r="E101" s="2" t="s">
        <v>790</v>
      </c>
      <c r="F101" s="421">
        <v>14939.09</v>
      </c>
      <c r="G101" s="421">
        <f t="shared" si="18"/>
        <v>3556.9973290000003</v>
      </c>
      <c r="H101" s="421">
        <f t="shared" si="14"/>
        <v>1244.9241666666667</v>
      </c>
      <c r="I101" s="421">
        <f t="shared" si="19"/>
        <v>296.41644408333332</v>
      </c>
      <c r="J101" s="421">
        <f t="shared" si="15"/>
        <v>1244.9241666666667</v>
      </c>
      <c r="K101" s="421">
        <f t="shared" si="20"/>
        <v>296.41644408333332</v>
      </c>
      <c r="L101" s="421">
        <f t="shared" si="16"/>
        <v>1106.5992592592593</v>
      </c>
      <c r="M101" s="424">
        <f t="shared" si="17"/>
        <v>22685.36780975926</v>
      </c>
    </row>
    <row r="102" spans="2:13" x14ac:dyDescent="0.2">
      <c r="B102" s="2" t="s">
        <v>567</v>
      </c>
      <c r="C102" s="2" t="s">
        <v>402</v>
      </c>
      <c r="D102" s="2" t="s">
        <v>377</v>
      </c>
      <c r="E102" s="2" t="s">
        <v>790</v>
      </c>
      <c r="F102" s="421">
        <v>14939.09</v>
      </c>
      <c r="G102" s="421">
        <f t="shared" si="18"/>
        <v>3556.9973290000003</v>
      </c>
      <c r="H102" s="421">
        <f t="shared" si="14"/>
        <v>1244.9241666666667</v>
      </c>
      <c r="I102" s="421">
        <f t="shared" si="19"/>
        <v>296.41644408333332</v>
      </c>
      <c r="J102" s="421">
        <f t="shared" si="15"/>
        <v>1244.9241666666667</v>
      </c>
      <c r="K102" s="421">
        <f t="shared" si="20"/>
        <v>296.41644408333332</v>
      </c>
      <c r="L102" s="421">
        <f t="shared" si="16"/>
        <v>1106.5992592592593</v>
      </c>
      <c r="M102" s="424">
        <f t="shared" si="17"/>
        <v>22685.36780975926</v>
      </c>
    </row>
    <row r="103" spans="2:13" x14ac:dyDescent="0.2">
      <c r="B103" s="2" t="s">
        <v>568</v>
      </c>
      <c r="C103" s="2" t="s">
        <v>402</v>
      </c>
      <c r="D103" s="2" t="s">
        <v>378</v>
      </c>
      <c r="E103" s="2" t="s">
        <v>790</v>
      </c>
      <c r="F103" s="421">
        <v>14939.09</v>
      </c>
      <c r="G103" s="421">
        <f t="shared" si="18"/>
        <v>3556.9973290000003</v>
      </c>
      <c r="H103" s="421">
        <f t="shared" si="14"/>
        <v>1244.9241666666667</v>
      </c>
      <c r="I103" s="421">
        <f t="shared" si="19"/>
        <v>296.41644408333332</v>
      </c>
      <c r="J103" s="421">
        <f t="shared" si="15"/>
        <v>1244.9241666666667</v>
      </c>
      <c r="K103" s="421">
        <f t="shared" si="20"/>
        <v>296.41644408333332</v>
      </c>
      <c r="L103" s="421">
        <f t="shared" si="16"/>
        <v>1106.5992592592593</v>
      </c>
      <c r="M103" s="424">
        <f t="shared" si="17"/>
        <v>22685.36780975926</v>
      </c>
    </row>
    <row r="104" spans="2:13" x14ac:dyDescent="0.2">
      <c r="B104" s="2" t="s">
        <v>569</v>
      </c>
      <c r="C104" s="2" t="s">
        <v>402</v>
      </c>
      <c r="D104" s="2" t="s">
        <v>379</v>
      </c>
      <c r="E104" s="2" t="s">
        <v>790</v>
      </c>
      <c r="F104" s="421">
        <v>14939.09</v>
      </c>
      <c r="G104" s="421">
        <f t="shared" si="18"/>
        <v>3556.9973290000003</v>
      </c>
      <c r="H104" s="421">
        <f t="shared" si="14"/>
        <v>1244.9241666666667</v>
      </c>
      <c r="I104" s="421">
        <f t="shared" si="19"/>
        <v>296.41644408333332</v>
      </c>
      <c r="J104" s="421">
        <f t="shared" si="15"/>
        <v>1244.9241666666667</v>
      </c>
      <c r="K104" s="421">
        <f t="shared" si="20"/>
        <v>296.41644408333332</v>
      </c>
      <c r="L104" s="421">
        <f t="shared" si="16"/>
        <v>1106.5992592592593</v>
      </c>
      <c r="M104" s="424">
        <f t="shared" si="17"/>
        <v>22685.36780975926</v>
      </c>
    </row>
    <row r="105" spans="2:13" x14ac:dyDescent="0.2">
      <c r="B105" s="2" t="s">
        <v>570</v>
      </c>
      <c r="C105" s="2" t="s">
        <v>402</v>
      </c>
      <c r="D105" s="2" t="s">
        <v>380</v>
      </c>
      <c r="E105" s="2" t="s">
        <v>790</v>
      </c>
      <c r="F105" s="421">
        <v>14939.09</v>
      </c>
      <c r="G105" s="421">
        <f t="shared" si="18"/>
        <v>3556.9973290000003</v>
      </c>
      <c r="H105" s="421">
        <f t="shared" si="14"/>
        <v>1244.9241666666667</v>
      </c>
      <c r="I105" s="421">
        <f t="shared" si="19"/>
        <v>296.41644408333332</v>
      </c>
      <c r="J105" s="421">
        <f t="shared" si="15"/>
        <v>1244.9241666666667</v>
      </c>
      <c r="K105" s="421">
        <f t="shared" si="20"/>
        <v>296.41644408333332</v>
      </c>
      <c r="L105" s="421">
        <f t="shared" si="16"/>
        <v>1106.5992592592593</v>
      </c>
      <c r="M105" s="424">
        <f t="shared" si="17"/>
        <v>22685.36780975926</v>
      </c>
    </row>
    <row r="106" spans="2:13" x14ac:dyDescent="0.2">
      <c r="B106" s="2" t="s">
        <v>571</v>
      </c>
      <c r="C106" s="2" t="s">
        <v>402</v>
      </c>
      <c r="D106" s="2" t="s">
        <v>381</v>
      </c>
      <c r="E106" s="2" t="s">
        <v>790</v>
      </c>
      <c r="F106" s="421">
        <v>14939.09</v>
      </c>
      <c r="G106" s="421">
        <f t="shared" ref="G106:G137" si="21">F106*$E$4</f>
        <v>3556.9973290000003</v>
      </c>
      <c r="H106" s="421">
        <f t="shared" si="14"/>
        <v>1244.9241666666667</v>
      </c>
      <c r="I106" s="421">
        <f t="shared" ref="I106:I137" si="22">H106*$E$4</f>
        <v>296.41644408333332</v>
      </c>
      <c r="J106" s="421">
        <f t="shared" si="15"/>
        <v>1244.9241666666667</v>
      </c>
      <c r="K106" s="421">
        <f t="shared" ref="K106:K137" si="23">J106*$E$4</f>
        <v>296.41644408333332</v>
      </c>
      <c r="L106" s="421">
        <f t="shared" si="16"/>
        <v>1106.5992592592593</v>
      </c>
      <c r="M106" s="424">
        <f t="shared" si="17"/>
        <v>22685.36780975926</v>
      </c>
    </row>
    <row r="107" spans="2:13" x14ac:dyDescent="0.2">
      <c r="B107" s="2" t="s">
        <v>572</v>
      </c>
      <c r="C107" s="2" t="s">
        <v>402</v>
      </c>
      <c r="D107" s="2" t="s">
        <v>382</v>
      </c>
      <c r="E107" s="2" t="s">
        <v>790</v>
      </c>
      <c r="F107" s="421">
        <v>14939.09</v>
      </c>
      <c r="G107" s="421">
        <f t="shared" si="21"/>
        <v>3556.9973290000003</v>
      </c>
      <c r="H107" s="421">
        <f t="shared" si="14"/>
        <v>1244.9241666666667</v>
      </c>
      <c r="I107" s="421">
        <f t="shared" si="22"/>
        <v>296.41644408333332</v>
      </c>
      <c r="J107" s="421">
        <f t="shared" si="15"/>
        <v>1244.9241666666667</v>
      </c>
      <c r="K107" s="421">
        <f t="shared" si="23"/>
        <v>296.41644408333332</v>
      </c>
      <c r="L107" s="421">
        <f t="shared" si="16"/>
        <v>1106.5992592592593</v>
      </c>
      <c r="M107" s="424">
        <f t="shared" si="17"/>
        <v>22685.36780975926</v>
      </c>
    </row>
    <row r="108" spans="2:13" x14ac:dyDescent="0.2">
      <c r="B108" s="2" t="s">
        <v>573</v>
      </c>
      <c r="C108" s="2" t="s">
        <v>402</v>
      </c>
      <c r="D108" s="2" t="s">
        <v>383</v>
      </c>
      <c r="E108" s="2" t="s">
        <v>790</v>
      </c>
      <c r="F108" s="421">
        <v>14939.09</v>
      </c>
      <c r="G108" s="421">
        <f t="shared" si="21"/>
        <v>3556.9973290000003</v>
      </c>
      <c r="H108" s="421">
        <f t="shared" si="14"/>
        <v>1244.9241666666667</v>
      </c>
      <c r="I108" s="421">
        <f t="shared" si="22"/>
        <v>296.41644408333332</v>
      </c>
      <c r="J108" s="421">
        <f t="shared" si="15"/>
        <v>1244.9241666666667</v>
      </c>
      <c r="K108" s="421">
        <f t="shared" si="23"/>
        <v>296.41644408333332</v>
      </c>
      <c r="L108" s="421">
        <f t="shared" si="16"/>
        <v>1106.5992592592593</v>
      </c>
      <c r="M108" s="424">
        <f t="shared" si="17"/>
        <v>22685.36780975926</v>
      </c>
    </row>
    <row r="109" spans="2:13" x14ac:dyDescent="0.2">
      <c r="B109" s="2" t="s">
        <v>574</v>
      </c>
      <c r="C109" s="2" t="s">
        <v>402</v>
      </c>
      <c r="D109" s="2" t="s">
        <v>384</v>
      </c>
      <c r="E109" s="2" t="s">
        <v>790</v>
      </c>
      <c r="F109" s="421">
        <v>14939.09</v>
      </c>
      <c r="G109" s="421">
        <f t="shared" si="21"/>
        <v>3556.9973290000003</v>
      </c>
      <c r="H109" s="421">
        <f t="shared" si="14"/>
        <v>1244.9241666666667</v>
      </c>
      <c r="I109" s="421">
        <f t="shared" si="22"/>
        <v>296.41644408333332</v>
      </c>
      <c r="J109" s="421">
        <f t="shared" si="15"/>
        <v>1244.9241666666667</v>
      </c>
      <c r="K109" s="421">
        <f t="shared" si="23"/>
        <v>296.41644408333332</v>
      </c>
      <c r="L109" s="421">
        <f t="shared" si="16"/>
        <v>1106.5992592592593</v>
      </c>
      <c r="M109" s="424">
        <f t="shared" si="17"/>
        <v>22685.36780975926</v>
      </c>
    </row>
    <row r="110" spans="2:13" x14ac:dyDescent="0.2">
      <c r="B110" s="2" t="s">
        <v>575</v>
      </c>
      <c r="C110" s="2" t="s">
        <v>402</v>
      </c>
      <c r="D110" s="2" t="s">
        <v>385</v>
      </c>
      <c r="E110" s="2" t="s">
        <v>790</v>
      </c>
      <c r="F110" s="421">
        <v>14939.09</v>
      </c>
      <c r="G110" s="421">
        <f t="shared" si="21"/>
        <v>3556.9973290000003</v>
      </c>
      <c r="H110" s="421">
        <f t="shared" si="14"/>
        <v>1244.9241666666667</v>
      </c>
      <c r="I110" s="421">
        <f t="shared" si="22"/>
        <v>296.41644408333332</v>
      </c>
      <c r="J110" s="421">
        <f t="shared" si="15"/>
        <v>1244.9241666666667</v>
      </c>
      <c r="K110" s="421">
        <f t="shared" si="23"/>
        <v>296.41644408333332</v>
      </c>
      <c r="L110" s="421">
        <f t="shared" si="16"/>
        <v>1106.5992592592593</v>
      </c>
      <c r="M110" s="424">
        <f t="shared" si="17"/>
        <v>22685.36780975926</v>
      </c>
    </row>
    <row r="111" spans="2:13" x14ac:dyDescent="0.2">
      <c r="B111" s="2" t="s">
        <v>576</v>
      </c>
      <c r="C111" s="2" t="s">
        <v>402</v>
      </c>
      <c r="D111" s="2" t="s">
        <v>386</v>
      </c>
      <c r="E111" s="2" t="s">
        <v>790</v>
      </c>
      <c r="F111" s="421">
        <v>14939.09</v>
      </c>
      <c r="G111" s="421">
        <f t="shared" si="21"/>
        <v>3556.9973290000003</v>
      </c>
      <c r="H111" s="421">
        <f t="shared" si="14"/>
        <v>1244.9241666666667</v>
      </c>
      <c r="I111" s="421">
        <f t="shared" si="22"/>
        <v>296.41644408333332</v>
      </c>
      <c r="J111" s="421">
        <f t="shared" si="15"/>
        <v>1244.9241666666667</v>
      </c>
      <c r="K111" s="421">
        <f t="shared" si="23"/>
        <v>296.41644408333332</v>
      </c>
      <c r="L111" s="421">
        <f t="shared" si="16"/>
        <v>1106.5992592592593</v>
      </c>
      <c r="M111" s="424">
        <f t="shared" si="17"/>
        <v>22685.36780975926</v>
      </c>
    </row>
    <row r="112" spans="2:13" x14ac:dyDescent="0.2">
      <c r="B112" s="2" t="s">
        <v>577</v>
      </c>
      <c r="C112" s="2" t="s">
        <v>402</v>
      </c>
      <c r="D112" s="2" t="s">
        <v>387</v>
      </c>
      <c r="E112" s="2" t="s">
        <v>790</v>
      </c>
      <c r="F112" s="421">
        <v>14939.09</v>
      </c>
      <c r="G112" s="421">
        <f t="shared" si="21"/>
        <v>3556.9973290000003</v>
      </c>
      <c r="H112" s="421">
        <f t="shared" si="14"/>
        <v>1244.9241666666667</v>
      </c>
      <c r="I112" s="421">
        <f t="shared" si="22"/>
        <v>296.41644408333332</v>
      </c>
      <c r="J112" s="421">
        <f t="shared" si="15"/>
        <v>1244.9241666666667</v>
      </c>
      <c r="K112" s="421">
        <f t="shared" si="23"/>
        <v>296.41644408333332</v>
      </c>
      <c r="L112" s="421">
        <f t="shared" si="16"/>
        <v>1106.5992592592593</v>
      </c>
      <c r="M112" s="424">
        <f t="shared" si="17"/>
        <v>22685.36780975926</v>
      </c>
    </row>
    <row r="113" spans="2:13" x14ac:dyDescent="0.2">
      <c r="B113" s="2" t="s">
        <v>578</v>
      </c>
      <c r="C113" s="2" t="s">
        <v>402</v>
      </c>
      <c r="D113" s="2" t="s">
        <v>388</v>
      </c>
      <c r="E113" s="2" t="s">
        <v>791</v>
      </c>
      <c r="F113" s="421">
        <v>14939.09</v>
      </c>
      <c r="G113" s="421">
        <f t="shared" si="21"/>
        <v>3556.9973290000003</v>
      </c>
      <c r="H113" s="421">
        <f t="shared" si="14"/>
        <v>1244.9241666666667</v>
      </c>
      <c r="I113" s="421">
        <f t="shared" si="22"/>
        <v>296.41644408333332</v>
      </c>
      <c r="J113" s="421">
        <f t="shared" si="15"/>
        <v>1244.9241666666667</v>
      </c>
      <c r="K113" s="421">
        <f t="shared" si="23"/>
        <v>296.41644408333332</v>
      </c>
      <c r="L113" s="421">
        <f t="shared" si="16"/>
        <v>1106.5992592592593</v>
      </c>
      <c r="M113" s="424">
        <f t="shared" si="17"/>
        <v>22685.36780975926</v>
      </c>
    </row>
    <row r="114" spans="2:13" x14ac:dyDescent="0.2">
      <c r="B114" s="2" t="s">
        <v>579</v>
      </c>
      <c r="C114" s="2" t="s">
        <v>402</v>
      </c>
      <c r="D114" s="2" t="s">
        <v>389</v>
      </c>
      <c r="E114" s="2" t="s">
        <v>791</v>
      </c>
      <c r="F114" s="421">
        <v>14939.09</v>
      </c>
      <c r="G114" s="421">
        <f t="shared" si="21"/>
        <v>3556.9973290000003</v>
      </c>
      <c r="H114" s="421">
        <f t="shared" si="14"/>
        <v>1244.9241666666667</v>
      </c>
      <c r="I114" s="421">
        <f t="shared" si="22"/>
        <v>296.41644408333332</v>
      </c>
      <c r="J114" s="421">
        <f t="shared" si="15"/>
        <v>1244.9241666666667</v>
      </c>
      <c r="K114" s="421">
        <f t="shared" si="23"/>
        <v>296.41644408333332</v>
      </c>
      <c r="L114" s="421">
        <f t="shared" si="16"/>
        <v>1106.5992592592593</v>
      </c>
      <c r="M114" s="424">
        <f t="shared" si="17"/>
        <v>22685.36780975926</v>
      </c>
    </row>
    <row r="115" spans="2:13" x14ac:dyDescent="0.2">
      <c r="B115" s="2" t="s">
        <v>580</v>
      </c>
      <c r="C115" s="2" t="s">
        <v>402</v>
      </c>
      <c r="D115" s="2" t="s">
        <v>390</v>
      </c>
      <c r="E115" s="2" t="s">
        <v>791</v>
      </c>
      <c r="F115" s="421">
        <v>14939.09</v>
      </c>
      <c r="G115" s="421">
        <f t="shared" si="21"/>
        <v>3556.9973290000003</v>
      </c>
      <c r="H115" s="421">
        <f t="shared" si="14"/>
        <v>1244.9241666666667</v>
      </c>
      <c r="I115" s="421">
        <f t="shared" si="22"/>
        <v>296.41644408333332</v>
      </c>
      <c r="J115" s="421">
        <f t="shared" si="15"/>
        <v>1244.9241666666667</v>
      </c>
      <c r="K115" s="421">
        <f t="shared" si="23"/>
        <v>296.41644408333332</v>
      </c>
      <c r="L115" s="421">
        <f t="shared" si="16"/>
        <v>1106.5992592592593</v>
      </c>
      <c r="M115" s="424">
        <f t="shared" si="17"/>
        <v>22685.36780975926</v>
      </c>
    </row>
    <row r="116" spans="2:13" x14ac:dyDescent="0.2">
      <c r="B116" s="2" t="s">
        <v>581</v>
      </c>
      <c r="C116" s="2" t="s">
        <v>402</v>
      </c>
      <c r="D116" s="2" t="s">
        <v>391</v>
      </c>
      <c r="E116" s="2" t="s">
        <v>791</v>
      </c>
      <c r="F116" s="421">
        <v>14939.09</v>
      </c>
      <c r="G116" s="421">
        <f t="shared" si="21"/>
        <v>3556.9973290000003</v>
      </c>
      <c r="H116" s="421">
        <f t="shared" si="14"/>
        <v>1244.9241666666667</v>
      </c>
      <c r="I116" s="421">
        <f t="shared" si="22"/>
        <v>296.41644408333332</v>
      </c>
      <c r="J116" s="421">
        <f t="shared" si="15"/>
        <v>1244.9241666666667</v>
      </c>
      <c r="K116" s="421">
        <f t="shared" si="23"/>
        <v>296.41644408333332</v>
      </c>
      <c r="L116" s="421">
        <f t="shared" si="16"/>
        <v>1106.5992592592593</v>
      </c>
      <c r="M116" s="424">
        <f t="shared" si="17"/>
        <v>22685.36780975926</v>
      </c>
    </row>
    <row r="117" spans="2:13" x14ac:dyDescent="0.2">
      <c r="B117" s="2" t="s">
        <v>582</v>
      </c>
      <c r="C117" s="2" t="s">
        <v>402</v>
      </c>
      <c r="D117" s="2" t="s">
        <v>392</v>
      </c>
      <c r="E117" s="2" t="s">
        <v>791</v>
      </c>
      <c r="F117" s="421">
        <v>14939.09</v>
      </c>
      <c r="G117" s="421">
        <f t="shared" si="21"/>
        <v>3556.9973290000003</v>
      </c>
      <c r="H117" s="421">
        <f t="shared" si="14"/>
        <v>1244.9241666666667</v>
      </c>
      <c r="I117" s="421">
        <f t="shared" si="22"/>
        <v>296.41644408333332</v>
      </c>
      <c r="J117" s="421">
        <f t="shared" si="15"/>
        <v>1244.9241666666667</v>
      </c>
      <c r="K117" s="421">
        <f t="shared" si="23"/>
        <v>296.41644408333332</v>
      </c>
      <c r="L117" s="421">
        <f t="shared" si="16"/>
        <v>1106.5992592592593</v>
      </c>
      <c r="M117" s="424">
        <f t="shared" si="17"/>
        <v>22685.36780975926</v>
      </c>
    </row>
    <row r="118" spans="2:13" x14ac:dyDescent="0.2">
      <c r="B118" s="2" t="s">
        <v>583</v>
      </c>
      <c r="C118" s="2" t="s">
        <v>402</v>
      </c>
      <c r="D118" s="2" t="s">
        <v>393</v>
      </c>
      <c r="E118" s="2" t="s">
        <v>791</v>
      </c>
      <c r="F118" s="421">
        <v>14939.09</v>
      </c>
      <c r="G118" s="421">
        <f t="shared" si="21"/>
        <v>3556.9973290000003</v>
      </c>
      <c r="H118" s="421">
        <f t="shared" si="14"/>
        <v>1244.9241666666667</v>
      </c>
      <c r="I118" s="421">
        <f t="shared" si="22"/>
        <v>296.41644408333332</v>
      </c>
      <c r="J118" s="421">
        <f t="shared" si="15"/>
        <v>1244.9241666666667</v>
      </c>
      <c r="K118" s="421">
        <f t="shared" si="23"/>
        <v>296.41644408333332</v>
      </c>
      <c r="L118" s="421">
        <f t="shared" si="16"/>
        <v>1106.5992592592593</v>
      </c>
      <c r="M118" s="424">
        <f t="shared" si="17"/>
        <v>22685.36780975926</v>
      </c>
    </row>
    <row r="119" spans="2:13" x14ac:dyDescent="0.2">
      <c r="B119" s="2" t="s">
        <v>584</v>
      </c>
      <c r="C119" s="2" t="s">
        <v>402</v>
      </c>
      <c r="D119" s="2" t="s">
        <v>394</v>
      </c>
      <c r="E119" s="2" t="s">
        <v>791</v>
      </c>
      <c r="F119" s="421">
        <v>14939.09</v>
      </c>
      <c r="G119" s="421">
        <f t="shared" si="21"/>
        <v>3556.9973290000003</v>
      </c>
      <c r="H119" s="421">
        <f t="shared" si="14"/>
        <v>1244.9241666666667</v>
      </c>
      <c r="I119" s="421">
        <f t="shared" si="22"/>
        <v>296.41644408333332</v>
      </c>
      <c r="J119" s="421">
        <f t="shared" si="15"/>
        <v>1244.9241666666667</v>
      </c>
      <c r="K119" s="421">
        <f t="shared" si="23"/>
        <v>296.41644408333332</v>
      </c>
      <c r="L119" s="421">
        <f t="shared" si="16"/>
        <v>1106.5992592592593</v>
      </c>
      <c r="M119" s="424">
        <f t="shared" si="17"/>
        <v>22685.36780975926</v>
      </c>
    </row>
    <row r="120" spans="2:13" x14ac:dyDescent="0.2">
      <c r="B120" s="2" t="s">
        <v>585</v>
      </c>
      <c r="C120" s="2" t="s">
        <v>402</v>
      </c>
      <c r="D120" s="2" t="s">
        <v>395</v>
      </c>
      <c r="E120" s="2" t="s">
        <v>791</v>
      </c>
      <c r="F120" s="421">
        <v>14939.09</v>
      </c>
      <c r="G120" s="421">
        <f t="shared" si="21"/>
        <v>3556.9973290000003</v>
      </c>
      <c r="H120" s="421">
        <f t="shared" si="14"/>
        <v>1244.9241666666667</v>
      </c>
      <c r="I120" s="421">
        <f t="shared" si="22"/>
        <v>296.41644408333332</v>
      </c>
      <c r="J120" s="421">
        <f t="shared" si="15"/>
        <v>1244.9241666666667</v>
      </c>
      <c r="K120" s="421">
        <f t="shared" si="23"/>
        <v>296.41644408333332</v>
      </c>
      <c r="L120" s="421">
        <f t="shared" si="16"/>
        <v>1106.5992592592593</v>
      </c>
      <c r="M120" s="424">
        <f t="shared" si="17"/>
        <v>22685.36780975926</v>
      </c>
    </row>
    <row r="121" spans="2:13" x14ac:dyDescent="0.2">
      <c r="B121" s="2" t="s">
        <v>586</v>
      </c>
      <c r="C121" s="2" t="s">
        <v>402</v>
      </c>
      <c r="D121" s="2" t="s">
        <v>396</v>
      </c>
      <c r="E121" s="2" t="s">
        <v>791</v>
      </c>
      <c r="F121" s="421">
        <v>14939.09</v>
      </c>
      <c r="G121" s="421">
        <f t="shared" si="21"/>
        <v>3556.9973290000003</v>
      </c>
      <c r="H121" s="421">
        <f t="shared" si="14"/>
        <v>1244.9241666666667</v>
      </c>
      <c r="I121" s="421">
        <f t="shared" si="22"/>
        <v>296.41644408333332</v>
      </c>
      <c r="J121" s="421">
        <f t="shared" si="15"/>
        <v>1244.9241666666667</v>
      </c>
      <c r="K121" s="421">
        <f t="shared" si="23"/>
        <v>296.41644408333332</v>
      </c>
      <c r="L121" s="421">
        <f t="shared" si="16"/>
        <v>1106.5992592592593</v>
      </c>
      <c r="M121" s="424">
        <f t="shared" si="17"/>
        <v>22685.36780975926</v>
      </c>
    </row>
    <row r="122" spans="2:13" x14ac:dyDescent="0.2">
      <c r="B122" s="2" t="s">
        <v>587</v>
      </c>
      <c r="C122" s="2" t="s">
        <v>402</v>
      </c>
      <c r="D122" s="2" t="s">
        <v>397</v>
      </c>
      <c r="E122" s="2" t="s">
        <v>791</v>
      </c>
      <c r="F122" s="421">
        <v>14939.09</v>
      </c>
      <c r="G122" s="421">
        <f t="shared" si="21"/>
        <v>3556.9973290000003</v>
      </c>
      <c r="H122" s="421">
        <f t="shared" si="14"/>
        <v>1244.9241666666667</v>
      </c>
      <c r="I122" s="421">
        <f t="shared" si="22"/>
        <v>296.41644408333332</v>
      </c>
      <c r="J122" s="421">
        <f t="shared" si="15"/>
        <v>1244.9241666666667</v>
      </c>
      <c r="K122" s="421">
        <f t="shared" si="23"/>
        <v>296.41644408333332</v>
      </c>
      <c r="L122" s="421">
        <f t="shared" si="16"/>
        <v>1106.5992592592593</v>
      </c>
      <c r="M122" s="424">
        <f t="shared" si="17"/>
        <v>22685.36780975926</v>
      </c>
    </row>
    <row r="123" spans="2:13" x14ac:dyDescent="0.2">
      <c r="B123" s="2" t="s">
        <v>588</v>
      </c>
      <c r="C123" s="2" t="s">
        <v>402</v>
      </c>
      <c r="D123" s="2" t="s">
        <v>398</v>
      </c>
      <c r="E123" s="2" t="s">
        <v>791</v>
      </c>
      <c r="F123" s="421">
        <v>14939.09</v>
      </c>
      <c r="G123" s="421">
        <f t="shared" si="21"/>
        <v>3556.9973290000003</v>
      </c>
      <c r="H123" s="421">
        <f t="shared" si="14"/>
        <v>1244.9241666666667</v>
      </c>
      <c r="I123" s="421">
        <f t="shared" si="22"/>
        <v>296.41644408333332</v>
      </c>
      <c r="J123" s="421">
        <f t="shared" si="15"/>
        <v>1244.9241666666667</v>
      </c>
      <c r="K123" s="421">
        <f t="shared" si="23"/>
        <v>296.41644408333332</v>
      </c>
      <c r="L123" s="421">
        <f t="shared" si="16"/>
        <v>1106.5992592592593</v>
      </c>
      <c r="M123" s="424">
        <f t="shared" si="17"/>
        <v>22685.36780975926</v>
      </c>
    </row>
    <row r="124" spans="2:13" x14ac:dyDescent="0.2">
      <c r="B124" s="2" t="s">
        <v>589</v>
      </c>
      <c r="C124" s="2" t="s">
        <v>403</v>
      </c>
      <c r="D124" s="2" t="s">
        <v>404</v>
      </c>
      <c r="E124" s="2"/>
      <c r="F124" s="421">
        <v>27109.83</v>
      </c>
      <c r="G124" s="421">
        <f t="shared" si="21"/>
        <v>6454.850523000001</v>
      </c>
      <c r="H124" s="421">
        <f t="shared" si="14"/>
        <v>2259.1525000000001</v>
      </c>
      <c r="I124" s="421">
        <f t="shared" si="22"/>
        <v>537.90421025000001</v>
      </c>
      <c r="J124" s="421">
        <f t="shared" si="15"/>
        <v>2259.1525000000001</v>
      </c>
      <c r="K124" s="421">
        <f t="shared" si="23"/>
        <v>537.90421025000001</v>
      </c>
      <c r="L124" s="421">
        <f t="shared" si="16"/>
        <v>2008.1355555555556</v>
      </c>
      <c r="M124" s="424">
        <f t="shared" si="17"/>
        <v>41166.929499055565</v>
      </c>
    </row>
    <row r="125" spans="2:13" x14ac:dyDescent="0.2">
      <c r="B125" s="2" t="s">
        <v>590</v>
      </c>
      <c r="C125" s="2" t="s">
        <v>403</v>
      </c>
      <c r="D125" s="2" t="s">
        <v>405</v>
      </c>
      <c r="E125" s="2"/>
      <c r="F125" s="421">
        <v>14939.09</v>
      </c>
      <c r="G125" s="421">
        <f t="shared" si="21"/>
        <v>3556.9973290000003</v>
      </c>
      <c r="H125" s="421">
        <f t="shared" si="14"/>
        <v>1244.9241666666667</v>
      </c>
      <c r="I125" s="421">
        <f t="shared" si="22"/>
        <v>296.41644408333332</v>
      </c>
      <c r="J125" s="421">
        <f t="shared" si="15"/>
        <v>1244.9241666666667</v>
      </c>
      <c r="K125" s="421">
        <f t="shared" si="23"/>
        <v>296.41644408333332</v>
      </c>
      <c r="L125" s="421">
        <f t="shared" si="16"/>
        <v>1106.5992592592593</v>
      </c>
      <c r="M125" s="424">
        <f t="shared" si="17"/>
        <v>22685.36780975926</v>
      </c>
    </row>
    <row r="126" spans="2:13" x14ac:dyDescent="0.2">
      <c r="B126" s="2" t="s">
        <v>591</v>
      </c>
      <c r="C126" s="2" t="s">
        <v>403</v>
      </c>
      <c r="D126" s="2" t="s">
        <v>406</v>
      </c>
      <c r="E126" s="2"/>
      <c r="F126" s="421">
        <v>9723.3700000000008</v>
      </c>
      <c r="G126" s="421">
        <f t="shared" si="21"/>
        <v>2315.1343970000003</v>
      </c>
      <c r="H126" s="421">
        <f t="shared" si="14"/>
        <v>810.28083333333336</v>
      </c>
      <c r="I126" s="421">
        <f t="shared" si="22"/>
        <v>192.92786641666669</v>
      </c>
      <c r="J126" s="421">
        <f t="shared" si="15"/>
        <v>810.28083333333336</v>
      </c>
      <c r="K126" s="421">
        <f t="shared" si="23"/>
        <v>192.92786641666669</v>
      </c>
      <c r="L126" s="421">
        <f t="shared" si="16"/>
        <v>720.24962962962968</v>
      </c>
      <c r="M126" s="424">
        <f t="shared" si="17"/>
        <v>14765.171426129631</v>
      </c>
    </row>
    <row r="127" spans="2:13" x14ac:dyDescent="0.2">
      <c r="B127" s="2" t="s">
        <v>592</v>
      </c>
      <c r="C127" s="2" t="s">
        <v>403</v>
      </c>
      <c r="D127" s="2" t="s">
        <v>407</v>
      </c>
      <c r="E127" s="2"/>
      <c r="F127" s="421">
        <v>14421.64</v>
      </c>
      <c r="G127" s="421">
        <f t="shared" si="21"/>
        <v>3433.7924840000001</v>
      </c>
      <c r="H127" s="421">
        <f t="shared" si="14"/>
        <v>1201.8033333333333</v>
      </c>
      <c r="I127" s="421">
        <f t="shared" si="22"/>
        <v>286.14937366666669</v>
      </c>
      <c r="J127" s="421">
        <f t="shared" si="15"/>
        <v>1201.8033333333333</v>
      </c>
      <c r="K127" s="421">
        <f t="shared" si="23"/>
        <v>286.14937366666669</v>
      </c>
      <c r="L127" s="421">
        <f t="shared" si="16"/>
        <v>1068.2696296296297</v>
      </c>
      <c r="M127" s="424">
        <f t="shared" si="17"/>
        <v>21899.607527629629</v>
      </c>
    </row>
    <row r="128" spans="2:13" x14ac:dyDescent="0.2">
      <c r="B128" s="2" t="s">
        <v>593</v>
      </c>
      <c r="C128" s="2" t="s">
        <v>403</v>
      </c>
      <c r="D128" s="2" t="s">
        <v>408</v>
      </c>
      <c r="E128" s="2"/>
      <c r="F128" s="421">
        <v>14939.09</v>
      </c>
      <c r="G128" s="421">
        <f t="shared" si="21"/>
        <v>3556.9973290000003</v>
      </c>
      <c r="H128" s="421">
        <f t="shared" ref="H128:H131" si="24">F128/12</f>
        <v>1244.9241666666667</v>
      </c>
      <c r="I128" s="421">
        <f t="shared" si="22"/>
        <v>296.41644408333332</v>
      </c>
      <c r="J128" s="421">
        <f t="shared" ref="J128:J131" si="25">F128/12</f>
        <v>1244.9241666666667</v>
      </c>
      <c r="K128" s="421">
        <f t="shared" si="23"/>
        <v>296.41644408333332</v>
      </c>
      <c r="L128" s="421">
        <f t="shared" ref="L128:L131" si="26">F128/13.5</f>
        <v>1106.5992592592593</v>
      </c>
      <c r="M128" s="424">
        <f t="shared" ref="M128:M131" si="27">SUM(G128:L128)+F128</f>
        <v>22685.36780975926</v>
      </c>
    </row>
    <row r="129" spans="2:13" x14ac:dyDescent="0.2">
      <c r="B129" s="2" t="s">
        <v>594</v>
      </c>
      <c r="C129" s="2" t="s">
        <v>403</v>
      </c>
      <c r="D129" s="2" t="s">
        <v>409</v>
      </c>
      <c r="E129" s="2"/>
      <c r="F129" s="421">
        <v>14939.09</v>
      </c>
      <c r="G129" s="421">
        <f t="shared" si="21"/>
        <v>3556.9973290000003</v>
      </c>
      <c r="H129" s="421">
        <f t="shared" si="24"/>
        <v>1244.9241666666667</v>
      </c>
      <c r="I129" s="421">
        <f t="shared" si="22"/>
        <v>296.41644408333332</v>
      </c>
      <c r="J129" s="421">
        <f t="shared" si="25"/>
        <v>1244.9241666666667</v>
      </c>
      <c r="K129" s="421">
        <f t="shared" si="23"/>
        <v>296.41644408333332</v>
      </c>
      <c r="L129" s="421">
        <f t="shared" si="26"/>
        <v>1106.5992592592593</v>
      </c>
      <c r="M129" s="424">
        <f t="shared" si="27"/>
        <v>22685.36780975926</v>
      </c>
    </row>
    <row r="130" spans="2:13" x14ac:dyDescent="0.2">
      <c r="B130" s="2" t="s">
        <v>595</v>
      </c>
      <c r="C130" s="2" t="s">
        <v>403</v>
      </c>
      <c r="D130" s="2" t="s">
        <v>410</v>
      </c>
      <c r="E130" s="2"/>
      <c r="F130" s="421">
        <v>14939.09</v>
      </c>
      <c r="G130" s="421">
        <f t="shared" si="21"/>
        <v>3556.9973290000003</v>
      </c>
      <c r="H130" s="421">
        <f t="shared" si="24"/>
        <v>1244.9241666666667</v>
      </c>
      <c r="I130" s="421">
        <f t="shared" si="22"/>
        <v>296.41644408333332</v>
      </c>
      <c r="J130" s="421">
        <f t="shared" si="25"/>
        <v>1244.9241666666667</v>
      </c>
      <c r="K130" s="421">
        <f t="shared" si="23"/>
        <v>296.41644408333332</v>
      </c>
      <c r="L130" s="421">
        <f t="shared" si="26"/>
        <v>1106.5992592592593</v>
      </c>
      <c r="M130" s="424">
        <f t="shared" si="27"/>
        <v>22685.36780975926</v>
      </c>
    </row>
    <row r="131" spans="2:13" x14ac:dyDescent="0.2">
      <c r="B131" s="2" t="s">
        <v>596</v>
      </c>
      <c r="C131" s="2" t="s">
        <v>403</v>
      </c>
      <c r="D131" s="2" t="s">
        <v>411</v>
      </c>
      <c r="E131" s="2"/>
      <c r="F131" s="421">
        <v>14939.09</v>
      </c>
      <c r="G131" s="421">
        <f t="shared" si="21"/>
        <v>3556.9973290000003</v>
      </c>
      <c r="H131" s="421">
        <f t="shared" si="24"/>
        <v>1244.9241666666667</v>
      </c>
      <c r="I131" s="421">
        <f t="shared" si="22"/>
        <v>296.41644408333332</v>
      </c>
      <c r="J131" s="421">
        <f t="shared" si="25"/>
        <v>1244.9241666666667</v>
      </c>
      <c r="K131" s="421">
        <f t="shared" si="23"/>
        <v>296.41644408333332</v>
      </c>
      <c r="L131" s="421">
        <f t="shared" si="26"/>
        <v>1106.5992592592593</v>
      </c>
      <c r="M131" s="424">
        <f t="shared" si="27"/>
        <v>22685.36780975926</v>
      </c>
    </row>
    <row r="132" spans="2:13" x14ac:dyDescent="0.2">
      <c r="B132" s="2" t="s">
        <v>597</v>
      </c>
      <c r="C132" s="2" t="s">
        <v>403</v>
      </c>
      <c r="D132" s="2" t="s">
        <v>412</v>
      </c>
      <c r="E132" s="2"/>
      <c r="F132" s="421">
        <v>14939.09</v>
      </c>
      <c r="G132" s="421">
        <f t="shared" si="21"/>
        <v>3556.9973290000003</v>
      </c>
      <c r="H132" s="421">
        <f t="shared" ref="H132:H143" si="28">F132/12</f>
        <v>1244.9241666666667</v>
      </c>
      <c r="I132" s="421">
        <f t="shared" si="22"/>
        <v>296.41644408333332</v>
      </c>
      <c r="J132" s="421">
        <f t="shared" ref="J132:J143" si="29">F132/12</f>
        <v>1244.9241666666667</v>
      </c>
      <c r="K132" s="421">
        <f t="shared" si="23"/>
        <v>296.41644408333332</v>
      </c>
      <c r="L132" s="421">
        <f t="shared" ref="L132:L143" si="30">F132/13.5</f>
        <v>1106.5992592592593</v>
      </c>
      <c r="M132" s="424">
        <f t="shared" ref="M132:M143" si="31">SUM(G132:L132)+F132</f>
        <v>22685.36780975926</v>
      </c>
    </row>
    <row r="133" spans="2:13" x14ac:dyDescent="0.2">
      <c r="B133" s="2" t="s">
        <v>598</v>
      </c>
      <c r="C133" s="2" t="s">
        <v>403</v>
      </c>
      <c r="D133" s="2" t="s">
        <v>413</v>
      </c>
      <c r="E133" s="2"/>
      <c r="F133" s="421">
        <v>14939.09</v>
      </c>
      <c r="G133" s="421">
        <f t="shared" si="21"/>
        <v>3556.9973290000003</v>
      </c>
      <c r="H133" s="421">
        <f t="shared" si="28"/>
        <v>1244.9241666666667</v>
      </c>
      <c r="I133" s="421">
        <f t="shared" si="22"/>
        <v>296.41644408333332</v>
      </c>
      <c r="J133" s="421">
        <f t="shared" si="29"/>
        <v>1244.9241666666667</v>
      </c>
      <c r="K133" s="421">
        <f t="shared" si="23"/>
        <v>296.41644408333332</v>
      </c>
      <c r="L133" s="421">
        <f t="shared" si="30"/>
        <v>1106.5992592592593</v>
      </c>
      <c r="M133" s="424">
        <f t="shared" si="31"/>
        <v>22685.36780975926</v>
      </c>
    </row>
    <row r="134" spans="2:13" x14ac:dyDescent="0.2">
      <c r="B134" s="2" t="s">
        <v>599</v>
      </c>
      <c r="C134" s="2" t="s">
        <v>403</v>
      </c>
      <c r="D134" s="2" t="s">
        <v>414</v>
      </c>
      <c r="E134" s="2"/>
      <c r="F134" s="421">
        <v>14939.09</v>
      </c>
      <c r="G134" s="421">
        <f t="shared" si="21"/>
        <v>3556.9973290000003</v>
      </c>
      <c r="H134" s="421">
        <f t="shared" si="28"/>
        <v>1244.9241666666667</v>
      </c>
      <c r="I134" s="421">
        <f t="shared" si="22"/>
        <v>296.41644408333332</v>
      </c>
      <c r="J134" s="421">
        <f t="shared" si="29"/>
        <v>1244.9241666666667</v>
      </c>
      <c r="K134" s="421">
        <f t="shared" si="23"/>
        <v>296.41644408333332</v>
      </c>
      <c r="L134" s="421">
        <f t="shared" si="30"/>
        <v>1106.5992592592593</v>
      </c>
      <c r="M134" s="424">
        <f t="shared" si="31"/>
        <v>22685.36780975926</v>
      </c>
    </row>
    <row r="135" spans="2:13" x14ac:dyDescent="0.2">
      <c r="B135" s="2" t="s">
        <v>600</v>
      </c>
      <c r="C135" s="2" t="s">
        <v>403</v>
      </c>
      <c r="D135" s="2" t="s">
        <v>415</v>
      </c>
      <c r="E135" s="2"/>
      <c r="F135" s="421">
        <v>14939.09</v>
      </c>
      <c r="G135" s="421">
        <f t="shared" si="21"/>
        <v>3556.9973290000003</v>
      </c>
      <c r="H135" s="421">
        <f t="shared" si="28"/>
        <v>1244.9241666666667</v>
      </c>
      <c r="I135" s="421">
        <f t="shared" si="22"/>
        <v>296.41644408333332</v>
      </c>
      <c r="J135" s="421">
        <f t="shared" si="29"/>
        <v>1244.9241666666667</v>
      </c>
      <c r="K135" s="421">
        <f t="shared" si="23"/>
        <v>296.41644408333332</v>
      </c>
      <c r="L135" s="421">
        <f t="shared" si="30"/>
        <v>1106.5992592592593</v>
      </c>
      <c r="M135" s="424">
        <f t="shared" si="31"/>
        <v>22685.36780975926</v>
      </c>
    </row>
    <row r="136" spans="2:13" x14ac:dyDescent="0.2">
      <c r="B136" s="2" t="s">
        <v>601</v>
      </c>
      <c r="C136" s="2" t="s">
        <v>403</v>
      </c>
      <c r="D136" s="2" t="s">
        <v>416</v>
      </c>
      <c r="E136" s="2"/>
      <c r="F136" s="421">
        <v>14939.09</v>
      </c>
      <c r="G136" s="421">
        <f t="shared" si="21"/>
        <v>3556.9973290000003</v>
      </c>
      <c r="H136" s="421">
        <f t="shared" si="28"/>
        <v>1244.9241666666667</v>
      </c>
      <c r="I136" s="421">
        <f t="shared" si="22"/>
        <v>296.41644408333332</v>
      </c>
      <c r="J136" s="421">
        <f t="shared" si="29"/>
        <v>1244.9241666666667</v>
      </c>
      <c r="K136" s="421">
        <f t="shared" si="23"/>
        <v>296.41644408333332</v>
      </c>
      <c r="L136" s="421">
        <f t="shared" si="30"/>
        <v>1106.5992592592593</v>
      </c>
      <c r="M136" s="424">
        <f t="shared" si="31"/>
        <v>22685.36780975926</v>
      </c>
    </row>
    <row r="137" spans="2:13" x14ac:dyDescent="0.2">
      <c r="B137" s="2" t="s">
        <v>602</v>
      </c>
      <c r="C137" s="2" t="s">
        <v>403</v>
      </c>
      <c r="D137" s="2" t="s">
        <v>417</v>
      </c>
      <c r="E137" s="2"/>
      <c r="F137" s="421">
        <v>14939.09</v>
      </c>
      <c r="G137" s="421">
        <f t="shared" si="21"/>
        <v>3556.9973290000003</v>
      </c>
      <c r="H137" s="421">
        <f t="shared" si="28"/>
        <v>1244.9241666666667</v>
      </c>
      <c r="I137" s="421">
        <f t="shared" si="22"/>
        <v>296.41644408333332</v>
      </c>
      <c r="J137" s="421">
        <f t="shared" si="29"/>
        <v>1244.9241666666667</v>
      </c>
      <c r="K137" s="421">
        <f t="shared" si="23"/>
        <v>296.41644408333332</v>
      </c>
      <c r="L137" s="421">
        <f t="shared" si="30"/>
        <v>1106.5992592592593</v>
      </c>
      <c r="M137" s="424">
        <f t="shared" si="31"/>
        <v>22685.36780975926</v>
      </c>
    </row>
    <row r="138" spans="2:13" x14ac:dyDescent="0.2">
      <c r="B138" s="2" t="s">
        <v>603</v>
      </c>
      <c r="C138" s="2" t="s">
        <v>403</v>
      </c>
      <c r="D138" s="2" t="s">
        <v>418</v>
      </c>
      <c r="E138" s="2"/>
      <c r="F138" s="421">
        <v>14939.09</v>
      </c>
      <c r="G138" s="421">
        <f t="shared" ref="G138:G169" si="32">F138*$E$4</f>
        <v>3556.9973290000003</v>
      </c>
      <c r="H138" s="421">
        <f t="shared" si="28"/>
        <v>1244.9241666666667</v>
      </c>
      <c r="I138" s="421">
        <f t="shared" ref="I138:I169" si="33">H138*$E$4</f>
        <v>296.41644408333332</v>
      </c>
      <c r="J138" s="421">
        <f t="shared" si="29"/>
        <v>1244.9241666666667</v>
      </c>
      <c r="K138" s="421">
        <f t="shared" ref="K138:K169" si="34">J138*$E$4</f>
        <v>296.41644408333332</v>
      </c>
      <c r="L138" s="421">
        <f t="shared" si="30"/>
        <v>1106.5992592592593</v>
      </c>
      <c r="M138" s="424">
        <f t="shared" si="31"/>
        <v>22685.36780975926</v>
      </c>
    </row>
    <row r="139" spans="2:13" x14ac:dyDescent="0.2">
      <c r="B139" s="2" t="s">
        <v>604</v>
      </c>
      <c r="C139" s="2" t="s">
        <v>403</v>
      </c>
      <c r="D139" s="2" t="s">
        <v>419</v>
      </c>
      <c r="E139" s="2"/>
      <c r="F139" s="421">
        <v>14939.09</v>
      </c>
      <c r="G139" s="421">
        <f t="shared" si="32"/>
        <v>3556.9973290000003</v>
      </c>
      <c r="H139" s="421">
        <f t="shared" si="28"/>
        <v>1244.9241666666667</v>
      </c>
      <c r="I139" s="421">
        <f t="shared" si="33"/>
        <v>296.41644408333332</v>
      </c>
      <c r="J139" s="421">
        <f t="shared" si="29"/>
        <v>1244.9241666666667</v>
      </c>
      <c r="K139" s="421">
        <f t="shared" si="34"/>
        <v>296.41644408333332</v>
      </c>
      <c r="L139" s="421">
        <f t="shared" si="30"/>
        <v>1106.5992592592593</v>
      </c>
      <c r="M139" s="424">
        <f t="shared" si="31"/>
        <v>22685.36780975926</v>
      </c>
    </row>
    <row r="140" spans="2:13" x14ac:dyDescent="0.2">
      <c r="B140" s="2" t="s">
        <v>605</v>
      </c>
      <c r="C140" s="2" t="s">
        <v>420</v>
      </c>
      <c r="D140" s="2" t="s">
        <v>420</v>
      </c>
      <c r="E140" s="2"/>
      <c r="F140" s="421">
        <v>24078.080000000002</v>
      </c>
      <c r="G140" s="421">
        <f t="shared" si="32"/>
        <v>5732.9908480000004</v>
      </c>
      <c r="H140" s="421">
        <f t="shared" si="28"/>
        <v>2006.5066666666669</v>
      </c>
      <c r="I140" s="421">
        <f t="shared" si="33"/>
        <v>477.74923733333338</v>
      </c>
      <c r="J140" s="421">
        <f t="shared" si="29"/>
        <v>2006.5066666666669</v>
      </c>
      <c r="K140" s="421">
        <f t="shared" si="34"/>
        <v>477.74923733333338</v>
      </c>
      <c r="L140" s="421">
        <f t="shared" si="30"/>
        <v>1783.5614814814817</v>
      </c>
      <c r="M140" s="424">
        <f t="shared" si="31"/>
        <v>36563.144137481482</v>
      </c>
    </row>
    <row r="141" spans="2:13" x14ac:dyDescent="0.2">
      <c r="B141" s="2" t="s">
        <v>606</v>
      </c>
      <c r="C141" s="2" t="s">
        <v>421</v>
      </c>
      <c r="D141" s="2" t="s">
        <v>422</v>
      </c>
      <c r="E141" s="2"/>
      <c r="F141" s="421">
        <v>30845.74</v>
      </c>
      <c r="G141" s="421">
        <f t="shared" si="32"/>
        <v>7344.3706940000002</v>
      </c>
      <c r="H141" s="421">
        <f t="shared" si="28"/>
        <v>2570.4783333333335</v>
      </c>
      <c r="I141" s="421">
        <f t="shared" si="33"/>
        <v>612.03089116666672</v>
      </c>
      <c r="J141" s="421">
        <f t="shared" si="29"/>
        <v>2570.4783333333335</v>
      </c>
      <c r="K141" s="421">
        <f t="shared" si="34"/>
        <v>612.03089116666672</v>
      </c>
      <c r="L141" s="421">
        <f t="shared" si="30"/>
        <v>2284.8696296296298</v>
      </c>
      <c r="M141" s="424">
        <f t="shared" si="31"/>
        <v>46839.998772629631</v>
      </c>
    </row>
    <row r="142" spans="2:13" x14ac:dyDescent="0.2">
      <c r="B142" s="2" t="s">
        <v>607</v>
      </c>
      <c r="C142" s="2" t="s">
        <v>421</v>
      </c>
      <c r="D142" s="2" t="s">
        <v>423</v>
      </c>
      <c r="E142" s="2"/>
      <c r="F142" s="421">
        <v>21465.279999999999</v>
      </c>
      <c r="G142" s="421">
        <f t="shared" si="32"/>
        <v>5110.8831680000003</v>
      </c>
      <c r="H142" s="421">
        <f t="shared" si="28"/>
        <v>1788.7733333333333</v>
      </c>
      <c r="I142" s="421">
        <f t="shared" si="33"/>
        <v>425.90693066666665</v>
      </c>
      <c r="J142" s="421">
        <f t="shared" si="29"/>
        <v>1788.7733333333333</v>
      </c>
      <c r="K142" s="421">
        <f t="shared" si="34"/>
        <v>425.90693066666665</v>
      </c>
      <c r="L142" s="421">
        <f t="shared" si="30"/>
        <v>1590.0207407407406</v>
      </c>
      <c r="M142" s="424">
        <f t="shared" si="31"/>
        <v>32595.54443674074</v>
      </c>
    </row>
    <row r="143" spans="2:13" x14ac:dyDescent="0.2">
      <c r="B143" s="2" t="s">
        <v>608</v>
      </c>
      <c r="C143" s="2" t="s">
        <v>426</v>
      </c>
      <c r="D143" s="2" t="s">
        <v>424</v>
      </c>
      <c r="E143" s="2"/>
      <c r="F143" s="421">
        <v>13167.65</v>
      </c>
      <c r="G143" s="421">
        <f t="shared" si="32"/>
        <v>3135.2174650000002</v>
      </c>
      <c r="H143" s="421">
        <f t="shared" si="28"/>
        <v>1097.3041666666666</v>
      </c>
      <c r="I143" s="421">
        <f t="shared" si="33"/>
        <v>261.26812208333331</v>
      </c>
      <c r="J143" s="421">
        <f t="shared" si="29"/>
        <v>1097.3041666666666</v>
      </c>
      <c r="K143" s="421">
        <f t="shared" si="34"/>
        <v>261.26812208333331</v>
      </c>
      <c r="L143" s="421">
        <f t="shared" si="30"/>
        <v>975.3814814814815</v>
      </c>
      <c r="M143" s="424">
        <f t="shared" si="31"/>
        <v>19995.393523981482</v>
      </c>
    </row>
    <row r="144" spans="2:13" x14ac:dyDescent="0.2">
      <c r="B144" s="2" t="s">
        <v>609</v>
      </c>
      <c r="C144" s="2" t="s">
        <v>426</v>
      </c>
      <c r="D144" s="2" t="s">
        <v>425</v>
      </c>
      <c r="E144" s="2"/>
      <c r="F144" s="421">
        <v>13167.65</v>
      </c>
      <c r="G144" s="421">
        <f t="shared" si="32"/>
        <v>3135.2174650000002</v>
      </c>
      <c r="H144" s="421">
        <f t="shared" ref="H144:H149" si="35">F144/12</f>
        <v>1097.3041666666666</v>
      </c>
      <c r="I144" s="421">
        <f t="shared" si="33"/>
        <v>261.26812208333331</v>
      </c>
      <c r="J144" s="421">
        <f t="shared" ref="J144:J149" si="36">F144/12</f>
        <v>1097.3041666666666</v>
      </c>
      <c r="K144" s="421">
        <f t="shared" si="34"/>
        <v>261.26812208333331</v>
      </c>
      <c r="L144" s="421">
        <f t="shared" ref="L144:L149" si="37">F144/13.5</f>
        <v>975.3814814814815</v>
      </c>
      <c r="M144" s="424">
        <f t="shared" ref="M144:M149" si="38">SUM(G144:L144)+F144</f>
        <v>19995.393523981482</v>
      </c>
    </row>
    <row r="145" spans="2:13" x14ac:dyDescent="0.2">
      <c r="B145" s="2" t="s">
        <v>610</v>
      </c>
      <c r="C145" s="2" t="s">
        <v>664</v>
      </c>
      <c r="D145" s="2" t="s">
        <v>674</v>
      </c>
      <c r="E145" s="2"/>
      <c r="F145" s="421">
        <v>17458.009999999998</v>
      </c>
      <c r="G145" s="421">
        <f t="shared" si="32"/>
        <v>4156.7521809999998</v>
      </c>
      <c r="H145" s="421">
        <f t="shared" si="35"/>
        <v>1454.8341666666665</v>
      </c>
      <c r="I145" s="421">
        <f t="shared" si="33"/>
        <v>346.39601508333334</v>
      </c>
      <c r="J145" s="421">
        <f t="shared" si="36"/>
        <v>1454.8341666666665</v>
      </c>
      <c r="K145" s="421">
        <f t="shared" si="34"/>
        <v>346.39601508333334</v>
      </c>
      <c r="L145" s="421">
        <f t="shared" si="37"/>
        <v>1293.1859259259259</v>
      </c>
      <c r="M145" s="424">
        <f t="shared" si="38"/>
        <v>26510.408470425922</v>
      </c>
    </row>
    <row r="146" spans="2:13" x14ac:dyDescent="0.2">
      <c r="B146" s="2" t="s">
        <v>611</v>
      </c>
      <c r="C146" s="2" t="s">
        <v>428</v>
      </c>
      <c r="D146" s="2" t="s">
        <v>428</v>
      </c>
      <c r="E146" s="2"/>
      <c r="F146" s="421">
        <v>70077.33</v>
      </c>
      <c r="G146" s="421">
        <f t="shared" si="32"/>
        <v>16685.412273000002</v>
      </c>
      <c r="H146" s="421">
        <f t="shared" si="35"/>
        <v>5839.7775000000001</v>
      </c>
      <c r="I146" s="421">
        <f t="shared" si="33"/>
        <v>1390.45102275</v>
      </c>
      <c r="J146" s="421">
        <f t="shared" si="36"/>
        <v>5839.7775000000001</v>
      </c>
      <c r="K146" s="421">
        <f t="shared" si="34"/>
        <v>1390.45102275</v>
      </c>
      <c r="L146" s="421">
        <f t="shared" si="37"/>
        <v>5190.9133333333339</v>
      </c>
      <c r="M146" s="424">
        <f t="shared" si="38"/>
        <v>106414.11265183333</v>
      </c>
    </row>
    <row r="147" spans="2:13" x14ac:dyDescent="0.2">
      <c r="B147" s="2" t="s">
        <v>612</v>
      </c>
      <c r="C147" s="2" t="s">
        <v>238</v>
      </c>
      <c r="D147" s="2" t="s">
        <v>429</v>
      </c>
      <c r="E147" s="2"/>
      <c r="F147" s="421">
        <v>24579.07</v>
      </c>
      <c r="G147" s="421">
        <f t="shared" si="32"/>
        <v>5852.2765669999999</v>
      </c>
      <c r="H147" s="421">
        <f t="shared" si="35"/>
        <v>2048.2558333333332</v>
      </c>
      <c r="I147" s="421">
        <f t="shared" si="33"/>
        <v>487.68971391666662</v>
      </c>
      <c r="J147" s="421">
        <f t="shared" si="36"/>
        <v>2048.2558333333332</v>
      </c>
      <c r="K147" s="421">
        <f t="shared" si="34"/>
        <v>487.68971391666662</v>
      </c>
      <c r="L147" s="421">
        <f t="shared" si="37"/>
        <v>1820.6718518518519</v>
      </c>
      <c r="M147" s="424">
        <f t="shared" si="38"/>
        <v>37323.909513351849</v>
      </c>
    </row>
    <row r="148" spans="2:13" x14ac:dyDescent="0.2">
      <c r="B148" s="2" t="s">
        <v>613</v>
      </c>
      <c r="C148" s="2" t="s">
        <v>238</v>
      </c>
      <c r="D148" s="2" t="s">
        <v>430</v>
      </c>
      <c r="E148" s="2"/>
      <c r="F148" s="421">
        <v>18431.41</v>
      </c>
      <c r="G148" s="421">
        <f t="shared" si="32"/>
        <v>4388.5187210000004</v>
      </c>
      <c r="H148" s="421">
        <f t="shared" si="35"/>
        <v>1535.9508333333333</v>
      </c>
      <c r="I148" s="421">
        <f t="shared" si="33"/>
        <v>365.70989341666666</v>
      </c>
      <c r="J148" s="421">
        <f t="shared" si="36"/>
        <v>1535.9508333333333</v>
      </c>
      <c r="K148" s="421">
        <f t="shared" si="34"/>
        <v>365.70989341666666</v>
      </c>
      <c r="L148" s="421">
        <f t="shared" si="37"/>
        <v>1365.2896296296296</v>
      </c>
      <c r="M148" s="424">
        <f t="shared" si="38"/>
        <v>27988.539804129628</v>
      </c>
    </row>
    <row r="149" spans="2:13" x14ac:dyDescent="0.2">
      <c r="B149" s="2" t="s">
        <v>614</v>
      </c>
      <c r="C149" s="2" t="s">
        <v>238</v>
      </c>
      <c r="D149" s="2" t="s">
        <v>431</v>
      </c>
      <c r="E149" s="2"/>
      <c r="F149" s="421">
        <v>23363.69</v>
      </c>
      <c r="G149" s="421">
        <f t="shared" si="32"/>
        <v>5562.8945889999995</v>
      </c>
      <c r="H149" s="421">
        <f t="shared" si="35"/>
        <v>1946.9741666666666</v>
      </c>
      <c r="I149" s="421">
        <f t="shared" si="33"/>
        <v>463.57454908333335</v>
      </c>
      <c r="J149" s="421">
        <f t="shared" si="36"/>
        <v>1946.9741666666666</v>
      </c>
      <c r="K149" s="421">
        <f t="shared" si="34"/>
        <v>463.57454908333335</v>
      </c>
      <c r="L149" s="421">
        <f t="shared" si="37"/>
        <v>1730.6437037037035</v>
      </c>
      <c r="M149" s="424">
        <f t="shared" si="38"/>
        <v>35478.3257242037</v>
      </c>
    </row>
    <row r="150" spans="2:13" x14ac:dyDescent="0.2">
      <c r="B150" s="2" t="s">
        <v>615</v>
      </c>
      <c r="C150" s="2" t="s">
        <v>238</v>
      </c>
      <c r="D150" s="2" t="s">
        <v>432</v>
      </c>
      <c r="E150" s="2"/>
      <c r="F150" s="421">
        <v>19680.900000000001</v>
      </c>
      <c r="G150" s="421">
        <f t="shared" si="32"/>
        <v>4686.0222900000008</v>
      </c>
      <c r="H150" s="421">
        <f t="shared" ref="H150:H186" si="39">F150/12</f>
        <v>1640.075</v>
      </c>
      <c r="I150" s="421">
        <f t="shared" si="33"/>
        <v>390.50185750000003</v>
      </c>
      <c r="J150" s="421">
        <f t="shared" ref="J150:J186" si="40">F150/12</f>
        <v>1640.075</v>
      </c>
      <c r="K150" s="421">
        <f t="shared" si="34"/>
        <v>390.50185750000003</v>
      </c>
      <c r="L150" s="421">
        <f t="shared" ref="L150:L186" si="41">F150/13.5</f>
        <v>1457.8444444444447</v>
      </c>
      <c r="M150" s="424">
        <f t="shared" ref="M150:M186" si="42">SUM(G150:L150)+F150</f>
        <v>29885.920449444449</v>
      </c>
    </row>
    <row r="151" spans="2:13" x14ac:dyDescent="0.2">
      <c r="B151" s="2" t="s">
        <v>616</v>
      </c>
      <c r="C151" s="2" t="s">
        <v>238</v>
      </c>
      <c r="D151" s="2" t="s">
        <v>433</v>
      </c>
      <c r="E151" s="2"/>
      <c r="F151" s="421">
        <v>10764.81</v>
      </c>
      <c r="G151" s="421">
        <f t="shared" si="32"/>
        <v>2563.1012609999998</v>
      </c>
      <c r="H151" s="421">
        <f t="shared" si="39"/>
        <v>897.0675</v>
      </c>
      <c r="I151" s="421">
        <f t="shared" si="33"/>
        <v>213.59177174999999</v>
      </c>
      <c r="J151" s="421">
        <f t="shared" si="40"/>
        <v>897.0675</v>
      </c>
      <c r="K151" s="421">
        <f t="shared" si="34"/>
        <v>213.59177174999999</v>
      </c>
      <c r="L151" s="421">
        <f t="shared" si="41"/>
        <v>797.39333333333332</v>
      </c>
      <c r="M151" s="424">
        <f t="shared" si="42"/>
        <v>16346.623137833332</v>
      </c>
    </row>
    <row r="152" spans="2:13" x14ac:dyDescent="0.2">
      <c r="B152" s="2" t="s">
        <v>617</v>
      </c>
      <c r="C152" s="2" t="s">
        <v>238</v>
      </c>
      <c r="D152" s="2" t="s">
        <v>434</v>
      </c>
      <c r="E152" s="2"/>
      <c r="F152" s="421">
        <v>17717.43</v>
      </c>
      <c r="G152" s="421">
        <f t="shared" si="32"/>
        <v>4218.5200830000003</v>
      </c>
      <c r="H152" s="421">
        <f t="shared" si="39"/>
        <v>1476.4525000000001</v>
      </c>
      <c r="I152" s="421">
        <f t="shared" si="33"/>
        <v>351.54334025000003</v>
      </c>
      <c r="J152" s="421">
        <f t="shared" si="40"/>
        <v>1476.4525000000001</v>
      </c>
      <c r="K152" s="421">
        <f t="shared" si="34"/>
        <v>351.54334025000003</v>
      </c>
      <c r="L152" s="421">
        <f t="shared" si="41"/>
        <v>1312.4022222222222</v>
      </c>
      <c r="M152" s="424">
        <f t="shared" si="42"/>
        <v>26904.343985722226</v>
      </c>
    </row>
    <row r="153" spans="2:13" x14ac:dyDescent="0.2">
      <c r="B153" s="2" t="s">
        <v>618</v>
      </c>
      <c r="C153" s="2" t="s">
        <v>238</v>
      </c>
      <c r="D153" s="2" t="s">
        <v>435</v>
      </c>
      <c r="E153" s="2"/>
      <c r="F153" s="421">
        <v>16581.22</v>
      </c>
      <c r="G153" s="421">
        <f t="shared" si="32"/>
        <v>3947.9884820000002</v>
      </c>
      <c r="H153" s="421">
        <f t="shared" si="39"/>
        <v>1381.7683333333334</v>
      </c>
      <c r="I153" s="421">
        <f t="shared" si="33"/>
        <v>328.9990401666667</v>
      </c>
      <c r="J153" s="421">
        <f t="shared" si="40"/>
        <v>1381.7683333333334</v>
      </c>
      <c r="K153" s="421">
        <f t="shared" si="34"/>
        <v>328.9990401666667</v>
      </c>
      <c r="L153" s="421">
        <f t="shared" si="41"/>
        <v>1228.2385185185185</v>
      </c>
      <c r="M153" s="424">
        <f t="shared" si="42"/>
        <v>25178.981747518519</v>
      </c>
    </row>
    <row r="154" spans="2:13" x14ac:dyDescent="0.2">
      <c r="B154" s="2" t="s">
        <v>619</v>
      </c>
      <c r="C154" s="2" t="s">
        <v>238</v>
      </c>
      <c r="D154" s="2" t="s">
        <v>436</v>
      </c>
      <c r="E154" s="2"/>
      <c r="F154" s="421">
        <v>13161.66</v>
      </c>
      <c r="G154" s="421">
        <f t="shared" si="32"/>
        <v>3133.7912460000002</v>
      </c>
      <c r="H154" s="421">
        <f t="shared" si="39"/>
        <v>1096.8050000000001</v>
      </c>
      <c r="I154" s="421">
        <f t="shared" si="33"/>
        <v>261.1492705</v>
      </c>
      <c r="J154" s="421">
        <f t="shared" si="40"/>
        <v>1096.8050000000001</v>
      </c>
      <c r="K154" s="421">
        <f t="shared" si="34"/>
        <v>261.1492705</v>
      </c>
      <c r="L154" s="421">
        <f t="shared" si="41"/>
        <v>974.9377777777778</v>
      </c>
      <c r="M154" s="424">
        <f t="shared" si="42"/>
        <v>19986.297564777778</v>
      </c>
    </row>
    <row r="155" spans="2:13" x14ac:dyDescent="0.2">
      <c r="B155" s="2" t="s">
        <v>620</v>
      </c>
      <c r="C155" s="2" t="s">
        <v>673</v>
      </c>
      <c r="D155" s="2" t="s">
        <v>437</v>
      </c>
      <c r="E155" s="2"/>
      <c r="F155" s="421">
        <v>16581.22</v>
      </c>
      <c r="G155" s="421">
        <f t="shared" si="32"/>
        <v>3947.9884820000002</v>
      </c>
      <c r="H155" s="421">
        <f t="shared" si="39"/>
        <v>1381.7683333333334</v>
      </c>
      <c r="I155" s="421">
        <f t="shared" si="33"/>
        <v>328.9990401666667</v>
      </c>
      <c r="J155" s="421">
        <f t="shared" si="40"/>
        <v>1381.7683333333334</v>
      </c>
      <c r="K155" s="421">
        <f t="shared" si="34"/>
        <v>328.9990401666667</v>
      </c>
      <c r="L155" s="421">
        <f t="shared" si="41"/>
        <v>1228.2385185185185</v>
      </c>
      <c r="M155" s="424">
        <f t="shared" si="42"/>
        <v>25178.981747518519</v>
      </c>
    </row>
    <row r="156" spans="2:13" x14ac:dyDescent="0.2">
      <c r="B156" s="2" t="s">
        <v>621</v>
      </c>
      <c r="C156" s="2" t="s">
        <v>673</v>
      </c>
      <c r="D156" s="2" t="s">
        <v>438</v>
      </c>
      <c r="E156" s="2"/>
      <c r="F156" s="421">
        <v>16581.22</v>
      </c>
      <c r="G156" s="421">
        <f t="shared" si="32"/>
        <v>3947.9884820000002</v>
      </c>
      <c r="H156" s="421">
        <f t="shared" si="39"/>
        <v>1381.7683333333334</v>
      </c>
      <c r="I156" s="421">
        <f t="shared" si="33"/>
        <v>328.9990401666667</v>
      </c>
      <c r="J156" s="421">
        <f t="shared" si="40"/>
        <v>1381.7683333333334</v>
      </c>
      <c r="K156" s="421">
        <f t="shared" si="34"/>
        <v>328.9990401666667</v>
      </c>
      <c r="L156" s="421">
        <f t="shared" si="41"/>
        <v>1228.2385185185185</v>
      </c>
      <c r="M156" s="424">
        <f t="shared" si="42"/>
        <v>25178.981747518519</v>
      </c>
    </row>
    <row r="157" spans="2:13" x14ac:dyDescent="0.2">
      <c r="B157" s="2" t="s">
        <v>622</v>
      </c>
      <c r="C157" s="2" t="s">
        <v>673</v>
      </c>
      <c r="D157" s="2" t="s">
        <v>439</v>
      </c>
      <c r="E157" s="2"/>
      <c r="F157" s="421">
        <v>16581.22</v>
      </c>
      <c r="G157" s="421">
        <f t="shared" si="32"/>
        <v>3947.9884820000002</v>
      </c>
      <c r="H157" s="421">
        <f t="shared" si="39"/>
        <v>1381.7683333333334</v>
      </c>
      <c r="I157" s="421">
        <f t="shared" si="33"/>
        <v>328.9990401666667</v>
      </c>
      <c r="J157" s="421">
        <f t="shared" si="40"/>
        <v>1381.7683333333334</v>
      </c>
      <c r="K157" s="421">
        <f t="shared" si="34"/>
        <v>328.9990401666667</v>
      </c>
      <c r="L157" s="421">
        <f t="shared" si="41"/>
        <v>1228.2385185185185</v>
      </c>
      <c r="M157" s="424">
        <f t="shared" si="42"/>
        <v>25178.981747518519</v>
      </c>
    </row>
    <row r="158" spans="2:13" x14ac:dyDescent="0.2">
      <c r="B158" s="2" t="s">
        <v>623</v>
      </c>
      <c r="C158" s="2" t="s">
        <v>673</v>
      </c>
      <c r="D158" s="2" t="s">
        <v>440</v>
      </c>
      <c r="E158" s="2"/>
      <c r="F158" s="421">
        <v>16581.22</v>
      </c>
      <c r="G158" s="421">
        <f t="shared" si="32"/>
        <v>3947.9884820000002</v>
      </c>
      <c r="H158" s="421">
        <f t="shared" si="39"/>
        <v>1381.7683333333334</v>
      </c>
      <c r="I158" s="421">
        <f t="shared" si="33"/>
        <v>328.9990401666667</v>
      </c>
      <c r="J158" s="421">
        <f t="shared" si="40"/>
        <v>1381.7683333333334</v>
      </c>
      <c r="K158" s="421">
        <f t="shared" si="34"/>
        <v>328.9990401666667</v>
      </c>
      <c r="L158" s="421">
        <f t="shared" si="41"/>
        <v>1228.2385185185185</v>
      </c>
      <c r="M158" s="424">
        <f t="shared" si="42"/>
        <v>25178.981747518519</v>
      </c>
    </row>
    <row r="159" spans="2:13" x14ac:dyDescent="0.2">
      <c r="B159" s="2" t="s">
        <v>624</v>
      </c>
      <c r="C159" s="2" t="s">
        <v>673</v>
      </c>
      <c r="D159" s="2" t="s">
        <v>441</v>
      </c>
      <c r="E159" s="2"/>
      <c r="F159" s="421">
        <v>16581.22</v>
      </c>
      <c r="G159" s="421">
        <f t="shared" si="32"/>
        <v>3947.9884820000002</v>
      </c>
      <c r="H159" s="421">
        <f t="shared" si="39"/>
        <v>1381.7683333333334</v>
      </c>
      <c r="I159" s="421">
        <f t="shared" si="33"/>
        <v>328.9990401666667</v>
      </c>
      <c r="J159" s="421">
        <f t="shared" si="40"/>
        <v>1381.7683333333334</v>
      </c>
      <c r="K159" s="421">
        <f t="shared" si="34"/>
        <v>328.9990401666667</v>
      </c>
      <c r="L159" s="421">
        <f t="shared" si="41"/>
        <v>1228.2385185185185</v>
      </c>
      <c r="M159" s="424">
        <f t="shared" si="42"/>
        <v>25178.981747518519</v>
      </c>
    </row>
    <row r="160" spans="2:13" x14ac:dyDescent="0.2">
      <c r="B160" s="2" t="s">
        <v>625</v>
      </c>
      <c r="C160" s="2" t="s">
        <v>673</v>
      </c>
      <c r="D160" s="2" t="s">
        <v>442</v>
      </c>
      <c r="E160" s="2"/>
      <c r="F160" s="421">
        <v>16581.22</v>
      </c>
      <c r="G160" s="421">
        <f t="shared" si="32"/>
        <v>3947.9884820000002</v>
      </c>
      <c r="H160" s="421">
        <f t="shared" si="39"/>
        <v>1381.7683333333334</v>
      </c>
      <c r="I160" s="421">
        <f t="shared" si="33"/>
        <v>328.9990401666667</v>
      </c>
      <c r="J160" s="421">
        <f t="shared" si="40"/>
        <v>1381.7683333333334</v>
      </c>
      <c r="K160" s="421">
        <f t="shared" si="34"/>
        <v>328.9990401666667</v>
      </c>
      <c r="L160" s="421">
        <f t="shared" si="41"/>
        <v>1228.2385185185185</v>
      </c>
      <c r="M160" s="424">
        <f t="shared" si="42"/>
        <v>25178.981747518519</v>
      </c>
    </row>
    <row r="161" spans="2:13" x14ac:dyDescent="0.2">
      <c r="B161" s="2" t="s">
        <v>626</v>
      </c>
      <c r="C161" s="2" t="s">
        <v>673</v>
      </c>
      <c r="D161" s="2" t="s">
        <v>443</v>
      </c>
      <c r="E161" s="2"/>
      <c r="F161" s="421">
        <v>16581.22</v>
      </c>
      <c r="G161" s="421">
        <f t="shared" si="32"/>
        <v>3947.9884820000002</v>
      </c>
      <c r="H161" s="421">
        <f t="shared" si="39"/>
        <v>1381.7683333333334</v>
      </c>
      <c r="I161" s="421">
        <f t="shared" si="33"/>
        <v>328.9990401666667</v>
      </c>
      <c r="J161" s="421">
        <f t="shared" si="40"/>
        <v>1381.7683333333334</v>
      </c>
      <c r="K161" s="421">
        <f t="shared" si="34"/>
        <v>328.9990401666667</v>
      </c>
      <c r="L161" s="421">
        <f t="shared" si="41"/>
        <v>1228.2385185185185</v>
      </c>
      <c r="M161" s="424">
        <f t="shared" si="42"/>
        <v>25178.981747518519</v>
      </c>
    </row>
    <row r="162" spans="2:13" x14ac:dyDescent="0.2">
      <c r="B162" s="2" t="s">
        <v>627</v>
      </c>
      <c r="C162" s="2" t="s">
        <v>673</v>
      </c>
      <c r="D162" s="2" t="s">
        <v>444</v>
      </c>
      <c r="E162" s="2"/>
      <c r="F162" s="421">
        <v>16581.22</v>
      </c>
      <c r="G162" s="421">
        <f t="shared" si="32"/>
        <v>3947.9884820000002</v>
      </c>
      <c r="H162" s="421">
        <f t="shared" si="39"/>
        <v>1381.7683333333334</v>
      </c>
      <c r="I162" s="421">
        <f t="shared" si="33"/>
        <v>328.9990401666667</v>
      </c>
      <c r="J162" s="421">
        <f t="shared" si="40"/>
        <v>1381.7683333333334</v>
      </c>
      <c r="K162" s="421">
        <f t="shared" si="34"/>
        <v>328.9990401666667</v>
      </c>
      <c r="L162" s="421">
        <f t="shared" si="41"/>
        <v>1228.2385185185185</v>
      </c>
      <c r="M162" s="424">
        <f t="shared" si="42"/>
        <v>25178.981747518519</v>
      </c>
    </row>
    <row r="163" spans="2:13" x14ac:dyDescent="0.2">
      <c r="B163" s="2" t="s">
        <v>628</v>
      </c>
      <c r="C163" s="2" t="s">
        <v>673</v>
      </c>
      <c r="D163" s="2" t="s">
        <v>445</v>
      </c>
      <c r="E163" s="2"/>
      <c r="F163" s="421">
        <v>16581.22</v>
      </c>
      <c r="G163" s="421">
        <f t="shared" si="32"/>
        <v>3947.9884820000002</v>
      </c>
      <c r="H163" s="421">
        <f t="shared" si="39"/>
        <v>1381.7683333333334</v>
      </c>
      <c r="I163" s="421">
        <f t="shared" si="33"/>
        <v>328.9990401666667</v>
      </c>
      <c r="J163" s="421">
        <f t="shared" si="40"/>
        <v>1381.7683333333334</v>
      </c>
      <c r="K163" s="421">
        <f t="shared" si="34"/>
        <v>328.9990401666667</v>
      </c>
      <c r="L163" s="421">
        <f t="shared" si="41"/>
        <v>1228.2385185185185</v>
      </c>
      <c r="M163" s="424">
        <f t="shared" si="42"/>
        <v>25178.981747518519</v>
      </c>
    </row>
    <row r="164" spans="2:13" x14ac:dyDescent="0.2">
      <c r="B164" s="2" t="s">
        <v>629</v>
      </c>
      <c r="C164" s="2" t="s">
        <v>673</v>
      </c>
      <c r="D164" s="2" t="s">
        <v>446</v>
      </c>
      <c r="E164" s="2"/>
      <c r="F164" s="421">
        <v>16581.22</v>
      </c>
      <c r="G164" s="421">
        <f t="shared" si="32"/>
        <v>3947.9884820000002</v>
      </c>
      <c r="H164" s="421">
        <f t="shared" si="39"/>
        <v>1381.7683333333334</v>
      </c>
      <c r="I164" s="421">
        <f t="shared" si="33"/>
        <v>328.9990401666667</v>
      </c>
      <c r="J164" s="421">
        <f t="shared" si="40"/>
        <v>1381.7683333333334</v>
      </c>
      <c r="K164" s="421">
        <f t="shared" si="34"/>
        <v>328.9990401666667</v>
      </c>
      <c r="L164" s="421">
        <f t="shared" si="41"/>
        <v>1228.2385185185185</v>
      </c>
      <c r="M164" s="424">
        <f t="shared" si="42"/>
        <v>25178.981747518519</v>
      </c>
    </row>
    <row r="165" spans="2:13" x14ac:dyDescent="0.2">
      <c r="B165" s="2" t="s">
        <v>630</v>
      </c>
      <c r="C165" s="2" t="s">
        <v>673</v>
      </c>
      <c r="D165" s="2" t="s">
        <v>447</v>
      </c>
      <c r="E165" s="2"/>
      <c r="F165" s="421">
        <v>16581.22</v>
      </c>
      <c r="G165" s="421">
        <f t="shared" si="32"/>
        <v>3947.9884820000002</v>
      </c>
      <c r="H165" s="421">
        <f t="shared" si="39"/>
        <v>1381.7683333333334</v>
      </c>
      <c r="I165" s="421">
        <f t="shared" si="33"/>
        <v>328.9990401666667</v>
      </c>
      <c r="J165" s="421">
        <f t="shared" si="40"/>
        <v>1381.7683333333334</v>
      </c>
      <c r="K165" s="421">
        <f t="shared" si="34"/>
        <v>328.9990401666667</v>
      </c>
      <c r="L165" s="421">
        <f t="shared" si="41"/>
        <v>1228.2385185185185</v>
      </c>
      <c r="M165" s="424">
        <f t="shared" si="42"/>
        <v>25178.981747518519</v>
      </c>
    </row>
    <row r="166" spans="2:13" x14ac:dyDescent="0.2">
      <c r="B166" s="2" t="s">
        <v>631</v>
      </c>
      <c r="C166" s="2" t="s">
        <v>673</v>
      </c>
      <c r="D166" s="2" t="s">
        <v>448</v>
      </c>
      <c r="E166" s="2"/>
      <c r="F166" s="421">
        <v>16581.22</v>
      </c>
      <c r="G166" s="421">
        <f t="shared" si="32"/>
        <v>3947.9884820000002</v>
      </c>
      <c r="H166" s="421">
        <f t="shared" si="39"/>
        <v>1381.7683333333334</v>
      </c>
      <c r="I166" s="421">
        <f t="shared" si="33"/>
        <v>328.9990401666667</v>
      </c>
      <c r="J166" s="421">
        <f t="shared" si="40"/>
        <v>1381.7683333333334</v>
      </c>
      <c r="K166" s="421">
        <f t="shared" si="34"/>
        <v>328.9990401666667</v>
      </c>
      <c r="L166" s="421">
        <f t="shared" si="41"/>
        <v>1228.2385185185185</v>
      </c>
      <c r="M166" s="424">
        <f t="shared" si="42"/>
        <v>25178.981747518519</v>
      </c>
    </row>
    <row r="167" spans="2:13" x14ac:dyDescent="0.2">
      <c r="B167" s="2" t="s">
        <v>632</v>
      </c>
      <c r="C167" s="2" t="s">
        <v>673</v>
      </c>
      <c r="D167" s="2" t="s">
        <v>449</v>
      </c>
      <c r="E167" s="2"/>
      <c r="F167" s="421">
        <v>16581.22</v>
      </c>
      <c r="G167" s="421">
        <f t="shared" si="32"/>
        <v>3947.9884820000002</v>
      </c>
      <c r="H167" s="421">
        <f t="shared" si="39"/>
        <v>1381.7683333333334</v>
      </c>
      <c r="I167" s="421">
        <f t="shared" si="33"/>
        <v>328.9990401666667</v>
      </c>
      <c r="J167" s="421">
        <f t="shared" si="40"/>
        <v>1381.7683333333334</v>
      </c>
      <c r="K167" s="421">
        <f t="shared" si="34"/>
        <v>328.9990401666667</v>
      </c>
      <c r="L167" s="421">
        <f t="shared" si="41"/>
        <v>1228.2385185185185</v>
      </c>
      <c r="M167" s="424">
        <f t="shared" si="42"/>
        <v>25178.981747518519</v>
      </c>
    </row>
    <row r="168" spans="2:13" x14ac:dyDescent="0.2">
      <c r="B168" s="2" t="s">
        <v>633</v>
      </c>
      <c r="C168" s="2" t="s">
        <v>673</v>
      </c>
      <c r="D168" s="2" t="s">
        <v>450</v>
      </c>
      <c r="E168" s="2"/>
      <c r="F168" s="421">
        <v>16581.22</v>
      </c>
      <c r="G168" s="421">
        <f t="shared" si="32"/>
        <v>3947.9884820000002</v>
      </c>
      <c r="H168" s="421">
        <f t="shared" si="39"/>
        <v>1381.7683333333334</v>
      </c>
      <c r="I168" s="421">
        <f t="shared" si="33"/>
        <v>328.9990401666667</v>
      </c>
      <c r="J168" s="421">
        <f t="shared" si="40"/>
        <v>1381.7683333333334</v>
      </c>
      <c r="K168" s="421">
        <f t="shared" si="34"/>
        <v>328.9990401666667</v>
      </c>
      <c r="L168" s="421">
        <f t="shared" si="41"/>
        <v>1228.2385185185185</v>
      </c>
      <c r="M168" s="424">
        <f t="shared" si="42"/>
        <v>25178.981747518519</v>
      </c>
    </row>
    <row r="169" spans="2:13" x14ac:dyDescent="0.2">
      <c r="B169" s="2" t="s">
        <v>634</v>
      </c>
      <c r="C169" s="2" t="s">
        <v>673</v>
      </c>
      <c r="D169" s="2" t="s">
        <v>451</v>
      </c>
      <c r="E169" s="2"/>
      <c r="F169" s="421">
        <v>16581.22</v>
      </c>
      <c r="G169" s="421">
        <f t="shared" si="32"/>
        <v>3947.9884820000002</v>
      </c>
      <c r="H169" s="421">
        <f t="shared" si="39"/>
        <v>1381.7683333333334</v>
      </c>
      <c r="I169" s="421">
        <f t="shared" si="33"/>
        <v>328.9990401666667</v>
      </c>
      <c r="J169" s="421">
        <f t="shared" si="40"/>
        <v>1381.7683333333334</v>
      </c>
      <c r="K169" s="421">
        <f t="shared" si="34"/>
        <v>328.9990401666667</v>
      </c>
      <c r="L169" s="421">
        <f t="shared" si="41"/>
        <v>1228.2385185185185</v>
      </c>
      <c r="M169" s="424">
        <f t="shared" si="42"/>
        <v>25178.981747518519</v>
      </c>
    </row>
    <row r="170" spans="2:13" x14ac:dyDescent="0.2">
      <c r="B170" s="2" t="s">
        <v>635</v>
      </c>
      <c r="C170" s="2" t="s">
        <v>673</v>
      </c>
      <c r="D170" s="2" t="s">
        <v>452</v>
      </c>
      <c r="E170" s="2"/>
      <c r="F170" s="421">
        <v>16581.22</v>
      </c>
      <c r="G170" s="421">
        <f t="shared" ref="G170:G194" si="43">F170*$E$4</f>
        <v>3947.9884820000002</v>
      </c>
      <c r="H170" s="421">
        <f t="shared" si="39"/>
        <v>1381.7683333333334</v>
      </c>
      <c r="I170" s="421">
        <f t="shared" ref="I170:I194" si="44">H170*$E$4</f>
        <v>328.9990401666667</v>
      </c>
      <c r="J170" s="421">
        <f t="shared" si="40"/>
        <v>1381.7683333333334</v>
      </c>
      <c r="K170" s="421">
        <f t="shared" ref="K170:K194" si="45">J170*$E$4</f>
        <v>328.9990401666667</v>
      </c>
      <c r="L170" s="421">
        <f t="shared" si="41"/>
        <v>1228.2385185185185</v>
      </c>
      <c r="M170" s="424">
        <f t="shared" si="42"/>
        <v>25178.981747518519</v>
      </c>
    </row>
    <row r="171" spans="2:13" x14ac:dyDescent="0.2">
      <c r="B171" s="2" t="s">
        <v>636</v>
      </c>
      <c r="C171" s="2" t="s">
        <v>673</v>
      </c>
      <c r="D171" s="2" t="s">
        <v>453</v>
      </c>
      <c r="E171" s="2"/>
      <c r="F171" s="421">
        <v>16581.22</v>
      </c>
      <c r="G171" s="421">
        <f t="shared" si="43"/>
        <v>3947.9884820000002</v>
      </c>
      <c r="H171" s="421">
        <f t="shared" si="39"/>
        <v>1381.7683333333334</v>
      </c>
      <c r="I171" s="421">
        <f t="shared" si="44"/>
        <v>328.9990401666667</v>
      </c>
      <c r="J171" s="421">
        <f t="shared" si="40"/>
        <v>1381.7683333333334</v>
      </c>
      <c r="K171" s="421">
        <f t="shared" si="45"/>
        <v>328.9990401666667</v>
      </c>
      <c r="L171" s="421">
        <f t="shared" si="41"/>
        <v>1228.2385185185185</v>
      </c>
      <c r="M171" s="424">
        <f t="shared" si="42"/>
        <v>25178.981747518519</v>
      </c>
    </row>
    <row r="172" spans="2:13" x14ac:dyDescent="0.2">
      <c r="B172" s="2" t="s">
        <v>637</v>
      </c>
      <c r="C172" s="2" t="s">
        <v>673</v>
      </c>
      <c r="D172" s="2" t="s">
        <v>454</v>
      </c>
      <c r="E172" s="2"/>
      <c r="F172" s="421">
        <v>16581.22</v>
      </c>
      <c r="G172" s="421">
        <f t="shared" si="43"/>
        <v>3947.9884820000002</v>
      </c>
      <c r="H172" s="421">
        <f t="shared" si="39"/>
        <v>1381.7683333333334</v>
      </c>
      <c r="I172" s="421">
        <f t="shared" si="44"/>
        <v>328.9990401666667</v>
      </c>
      <c r="J172" s="421">
        <f t="shared" si="40"/>
        <v>1381.7683333333334</v>
      </c>
      <c r="K172" s="421">
        <f t="shared" si="45"/>
        <v>328.9990401666667</v>
      </c>
      <c r="L172" s="421">
        <f t="shared" si="41"/>
        <v>1228.2385185185185</v>
      </c>
      <c r="M172" s="424">
        <f t="shared" si="42"/>
        <v>25178.981747518519</v>
      </c>
    </row>
    <row r="173" spans="2:13" x14ac:dyDescent="0.2">
      <c r="B173" s="2" t="s">
        <v>638</v>
      </c>
      <c r="C173" s="2" t="s">
        <v>673</v>
      </c>
      <c r="D173" s="2" t="s">
        <v>455</v>
      </c>
      <c r="E173" s="2"/>
      <c r="F173" s="421">
        <v>16581.22</v>
      </c>
      <c r="G173" s="421">
        <f t="shared" si="43"/>
        <v>3947.9884820000002</v>
      </c>
      <c r="H173" s="421">
        <f t="shared" si="39"/>
        <v>1381.7683333333334</v>
      </c>
      <c r="I173" s="421">
        <f t="shared" si="44"/>
        <v>328.9990401666667</v>
      </c>
      <c r="J173" s="421">
        <f t="shared" si="40"/>
        <v>1381.7683333333334</v>
      </c>
      <c r="K173" s="421">
        <f t="shared" si="45"/>
        <v>328.9990401666667</v>
      </c>
      <c r="L173" s="421">
        <f t="shared" si="41"/>
        <v>1228.2385185185185</v>
      </c>
      <c r="M173" s="424">
        <f t="shared" si="42"/>
        <v>25178.981747518519</v>
      </c>
    </row>
    <row r="174" spans="2:13" x14ac:dyDescent="0.2">
      <c r="B174" s="2" t="s">
        <v>639</v>
      </c>
      <c r="C174" s="2" t="s">
        <v>673</v>
      </c>
      <c r="D174" s="2" t="s">
        <v>456</v>
      </c>
      <c r="E174" s="2"/>
      <c r="F174" s="421">
        <v>16581.22</v>
      </c>
      <c r="G174" s="421">
        <f t="shared" si="43"/>
        <v>3947.9884820000002</v>
      </c>
      <c r="H174" s="421">
        <f t="shared" si="39"/>
        <v>1381.7683333333334</v>
      </c>
      <c r="I174" s="421">
        <f t="shared" si="44"/>
        <v>328.9990401666667</v>
      </c>
      <c r="J174" s="421">
        <f t="shared" si="40"/>
        <v>1381.7683333333334</v>
      </c>
      <c r="K174" s="421">
        <f t="shared" si="45"/>
        <v>328.9990401666667</v>
      </c>
      <c r="L174" s="421">
        <f t="shared" si="41"/>
        <v>1228.2385185185185</v>
      </c>
      <c r="M174" s="424">
        <f t="shared" si="42"/>
        <v>25178.981747518519</v>
      </c>
    </row>
    <row r="175" spans="2:13" x14ac:dyDescent="0.2">
      <c r="B175" s="2" t="s">
        <v>640</v>
      </c>
      <c r="C175" s="2" t="s">
        <v>673</v>
      </c>
      <c r="D175" s="2" t="s">
        <v>457</v>
      </c>
      <c r="E175" s="2"/>
      <c r="F175" s="421">
        <v>16581.22</v>
      </c>
      <c r="G175" s="421">
        <f t="shared" si="43"/>
        <v>3947.9884820000002</v>
      </c>
      <c r="H175" s="421">
        <f t="shared" si="39"/>
        <v>1381.7683333333334</v>
      </c>
      <c r="I175" s="421">
        <f t="shared" si="44"/>
        <v>328.9990401666667</v>
      </c>
      <c r="J175" s="421">
        <f t="shared" si="40"/>
        <v>1381.7683333333334</v>
      </c>
      <c r="K175" s="421">
        <f t="shared" si="45"/>
        <v>328.9990401666667</v>
      </c>
      <c r="L175" s="421">
        <f t="shared" si="41"/>
        <v>1228.2385185185185</v>
      </c>
      <c r="M175" s="424">
        <f t="shared" si="42"/>
        <v>25178.981747518519</v>
      </c>
    </row>
    <row r="176" spans="2:13" x14ac:dyDescent="0.2">
      <c r="B176" s="2" t="s">
        <v>641</v>
      </c>
      <c r="C176" s="2" t="s">
        <v>673</v>
      </c>
      <c r="D176" s="2" t="s">
        <v>458</v>
      </c>
      <c r="E176" s="2"/>
      <c r="F176" s="421">
        <v>16581.22</v>
      </c>
      <c r="G176" s="421">
        <f t="shared" si="43"/>
        <v>3947.9884820000002</v>
      </c>
      <c r="H176" s="421">
        <f t="shared" si="39"/>
        <v>1381.7683333333334</v>
      </c>
      <c r="I176" s="421">
        <f t="shared" si="44"/>
        <v>328.9990401666667</v>
      </c>
      <c r="J176" s="421">
        <f t="shared" si="40"/>
        <v>1381.7683333333334</v>
      </c>
      <c r="K176" s="421">
        <f t="shared" si="45"/>
        <v>328.9990401666667</v>
      </c>
      <c r="L176" s="421">
        <f t="shared" si="41"/>
        <v>1228.2385185185185</v>
      </c>
      <c r="M176" s="424">
        <f t="shared" si="42"/>
        <v>25178.981747518519</v>
      </c>
    </row>
    <row r="177" spans="2:13" x14ac:dyDescent="0.2">
      <c r="B177" s="2" t="s">
        <v>642</v>
      </c>
      <c r="C177" s="2" t="s">
        <v>673</v>
      </c>
      <c r="D177" s="2" t="s">
        <v>459</v>
      </c>
      <c r="E177" s="2"/>
      <c r="F177" s="421">
        <v>16581.22</v>
      </c>
      <c r="G177" s="421">
        <f t="shared" si="43"/>
        <v>3947.9884820000002</v>
      </c>
      <c r="H177" s="421">
        <f t="shared" si="39"/>
        <v>1381.7683333333334</v>
      </c>
      <c r="I177" s="421">
        <f t="shared" si="44"/>
        <v>328.9990401666667</v>
      </c>
      <c r="J177" s="421">
        <f t="shared" si="40"/>
        <v>1381.7683333333334</v>
      </c>
      <c r="K177" s="421">
        <f t="shared" si="45"/>
        <v>328.9990401666667</v>
      </c>
      <c r="L177" s="421">
        <f t="shared" si="41"/>
        <v>1228.2385185185185</v>
      </c>
      <c r="M177" s="424">
        <f t="shared" si="42"/>
        <v>25178.981747518519</v>
      </c>
    </row>
    <row r="178" spans="2:13" x14ac:dyDescent="0.2">
      <c r="B178" s="2" t="s">
        <v>643</v>
      </c>
      <c r="C178" s="2" t="s">
        <v>673</v>
      </c>
      <c r="D178" s="2" t="s">
        <v>460</v>
      </c>
      <c r="E178" s="2"/>
      <c r="F178" s="421">
        <v>16581.22</v>
      </c>
      <c r="G178" s="421">
        <f t="shared" si="43"/>
        <v>3947.9884820000002</v>
      </c>
      <c r="H178" s="421">
        <f t="shared" si="39"/>
        <v>1381.7683333333334</v>
      </c>
      <c r="I178" s="421">
        <f t="shared" si="44"/>
        <v>328.9990401666667</v>
      </c>
      <c r="J178" s="421">
        <f t="shared" si="40"/>
        <v>1381.7683333333334</v>
      </c>
      <c r="K178" s="421">
        <f t="shared" si="45"/>
        <v>328.9990401666667</v>
      </c>
      <c r="L178" s="421">
        <f t="shared" si="41"/>
        <v>1228.2385185185185</v>
      </c>
      <c r="M178" s="424">
        <f t="shared" si="42"/>
        <v>25178.981747518519</v>
      </c>
    </row>
    <row r="179" spans="2:13" x14ac:dyDescent="0.2">
      <c r="B179" s="2" t="s">
        <v>644</v>
      </c>
      <c r="C179" s="2" t="s">
        <v>673</v>
      </c>
      <c r="D179" s="2" t="s">
        <v>461</v>
      </c>
      <c r="E179" s="2"/>
      <c r="F179" s="421">
        <v>16581.22</v>
      </c>
      <c r="G179" s="421">
        <f t="shared" si="43"/>
        <v>3947.9884820000002</v>
      </c>
      <c r="H179" s="421">
        <f t="shared" si="39"/>
        <v>1381.7683333333334</v>
      </c>
      <c r="I179" s="421">
        <f t="shared" si="44"/>
        <v>328.9990401666667</v>
      </c>
      <c r="J179" s="421">
        <f t="shared" si="40"/>
        <v>1381.7683333333334</v>
      </c>
      <c r="K179" s="421">
        <f t="shared" si="45"/>
        <v>328.9990401666667</v>
      </c>
      <c r="L179" s="421">
        <f t="shared" si="41"/>
        <v>1228.2385185185185</v>
      </c>
      <c r="M179" s="424">
        <f t="shared" si="42"/>
        <v>25178.981747518519</v>
      </c>
    </row>
    <row r="180" spans="2:13" x14ac:dyDescent="0.2">
      <c r="B180" s="2" t="s">
        <v>645</v>
      </c>
      <c r="C180" s="2" t="s">
        <v>673</v>
      </c>
      <c r="D180" s="2" t="s">
        <v>462</v>
      </c>
      <c r="E180" s="2"/>
      <c r="F180" s="421">
        <v>16581.22</v>
      </c>
      <c r="G180" s="421">
        <f t="shared" si="43"/>
        <v>3947.9884820000002</v>
      </c>
      <c r="H180" s="421">
        <f t="shared" si="39"/>
        <v>1381.7683333333334</v>
      </c>
      <c r="I180" s="421">
        <f t="shared" si="44"/>
        <v>328.9990401666667</v>
      </c>
      <c r="J180" s="421">
        <f t="shared" si="40"/>
        <v>1381.7683333333334</v>
      </c>
      <c r="K180" s="421">
        <f t="shared" si="45"/>
        <v>328.9990401666667</v>
      </c>
      <c r="L180" s="421">
        <f t="shared" si="41"/>
        <v>1228.2385185185185</v>
      </c>
      <c r="M180" s="424">
        <f t="shared" si="42"/>
        <v>25178.981747518519</v>
      </c>
    </row>
    <row r="181" spans="2:13" x14ac:dyDescent="0.2">
      <c r="B181" s="2" t="s">
        <v>646</v>
      </c>
      <c r="C181" s="2" t="s">
        <v>673</v>
      </c>
      <c r="D181" s="2" t="s">
        <v>463</v>
      </c>
      <c r="E181" s="2"/>
      <c r="F181" s="421">
        <v>16581.22</v>
      </c>
      <c r="G181" s="421">
        <f t="shared" si="43"/>
        <v>3947.9884820000002</v>
      </c>
      <c r="H181" s="421">
        <f t="shared" si="39"/>
        <v>1381.7683333333334</v>
      </c>
      <c r="I181" s="421">
        <f t="shared" si="44"/>
        <v>328.9990401666667</v>
      </c>
      <c r="J181" s="421">
        <f t="shared" si="40"/>
        <v>1381.7683333333334</v>
      </c>
      <c r="K181" s="421">
        <f t="shared" si="45"/>
        <v>328.9990401666667</v>
      </c>
      <c r="L181" s="421">
        <f t="shared" si="41"/>
        <v>1228.2385185185185</v>
      </c>
      <c r="M181" s="424">
        <f t="shared" si="42"/>
        <v>25178.981747518519</v>
      </c>
    </row>
    <row r="182" spans="2:13" x14ac:dyDescent="0.2">
      <c r="B182" s="2" t="s">
        <v>647</v>
      </c>
      <c r="C182" s="2" t="s">
        <v>673</v>
      </c>
      <c r="D182" s="2" t="s">
        <v>464</v>
      </c>
      <c r="E182" s="2"/>
      <c r="F182" s="421">
        <v>16581.22</v>
      </c>
      <c r="G182" s="421">
        <f t="shared" si="43"/>
        <v>3947.9884820000002</v>
      </c>
      <c r="H182" s="421">
        <f t="shared" si="39"/>
        <v>1381.7683333333334</v>
      </c>
      <c r="I182" s="421">
        <f t="shared" si="44"/>
        <v>328.9990401666667</v>
      </c>
      <c r="J182" s="421">
        <f t="shared" si="40"/>
        <v>1381.7683333333334</v>
      </c>
      <c r="K182" s="421">
        <f t="shared" si="45"/>
        <v>328.9990401666667</v>
      </c>
      <c r="L182" s="421">
        <f t="shared" si="41"/>
        <v>1228.2385185185185</v>
      </c>
      <c r="M182" s="424">
        <f t="shared" si="42"/>
        <v>25178.981747518519</v>
      </c>
    </row>
    <row r="183" spans="2:13" x14ac:dyDescent="0.2">
      <c r="B183" s="2" t="s">
        <v>648</v>
      </c>
      <c r="C183" s="2" t="s">
        <v>673</v>
      </c>
      <c r="D183" s="2" t="s">
        <v>465</v>
      </c>
      <c r="E183" s="2"/>
      <c r="F183" s="421">
        <v>16581.22</v>
      </c>
      <c r="G183" s="421">
        <f t="shared" si="43"/>
        <v>3947.9884820000002</v>
      </c>
      <c r="H183" s="421">
        <f t="shared" si="39"/>
        <v>1381.7683333333334</v>
      </c>
      <c r="I183" s="421">
        <f t="shared" si="44"/>
        <v>328.9990401666667</v>
      </c>
      <c r="J183" s="421">
        <f t="shared" si="40"/>
        <v>1381.7683333333334</v>
      </c>
      <c r="K183" s="421">
        <f t="shared" si="45"/>
        <v>328.9990401666667</v>
      </c>
      <c r="L183" s="421">
        <f t="shared" si="41"/>
        <v>1228.2385185185185</v>
      </c>
      <c r="M183" s="424">
        <f t="shared" si="42"/>
        <v>25178.981747518519</v>
      </c>
    </row>
    <row r="184" spans="2:13" x14ac:dyDescent="0.2">
      <c r="B184" s="2" t="s">
        <v>649</v>
      </c>
      <c r="C184" s="2" t="s">
        <v>673</v>
      </c>
      <c r="D184" s="2" t="s">
        <v>466</v>
      </c>
      <c r="E184" s="2"/>
      <c r="F184" s="421">
        <v>16581.22</v>
      </c>
      <c r="G184" s="421">
        <f t="shared" si="43"/>
        <v>3947.9884820000002</v>
      </c>
      <c r="H184" s="421">
        <f t="shared" si="39"/>
        <v>1381.7683333333334</v>
      </c>
      <c r="I184" s="421">
        <f t="shared" si="44"/>
        <v>328.9990401666667</v>
      </c>
      <c r="J184" s="421">
        <f t="shared" si="40"/>
        <v>1381.7683333333334</v>
      </c>
      <c r="K184" s="421">
        <f t="shared" si="45"/>
        <v>328.9990401666667</v>
      </c>
      <c r="L184" s="421">
        <f t="shared" si="41"/>
        <v>1228.2385185185185</v>
      </c>
      <c r="M184" s="424">
        <f t="shared" si="42"/>
        <v>25178.981747518519</v>
      </c>
    </row>
    <row r="185" spans="2:13" x14ac:dyDescent="0.2">
      <c r="B185" s="2" t="s">
        <v>650</v>
      </c>
      <c r="C185" s="2" t="s">
        <v>662</v>
      </c>
      <c r="D185" s="2" t="s">
        <v>467</v>
      </c>
      <c r="E185" s="2"/>
      <c r="F185" s="421">
        <v>15973.53</v>
      </c>
      <c r="G185" s="421">
        <f t="shared" si="43"/>
        <v>3803.297493</v>
      </c>
      <c r="H185" s="421">
        <f t="shared" si="39"/>
        <v>1331.1275000000001</v>
      </c>
      <c r="I185" s="421">
        <f t="shared" si="44"/>
        <v>316.94145775000004</v>
      </c>
      <c r="J185" s="421">
        <f t="shared" si="40"/>
        <v>1331.1275000000001</v>
      </c>
      <c r="K185" s="421">
        <f t="shared" si="45"/>
        <v>316.94145775000004</v>
      </c>
      <c r="L185" s="421">
        <f t="shared" si="41"/>
        <v>1183.2244444444445</v>
      </c>
      <c r="M185" s="424">
        <f t="shared" si="42"/>
        <v>24256.189852944444</v>
      </c>
    </row>
    <row r="186" spans="2:13" x14ac:dyDescent="0.2">
      <c r="B186" s="2" t="s">
        <v>651</v>
      </c>
      <c r="C186" s="2" t="s">
        <v>662</v>
      </c>
      <c r="D186" s="2" t="s">
        <v>468</v>
      </c>
      <c r="E186" s="2"/>
      <c r="F186" s="421">
        <v>6334.83</v>
      </c>
      <c r="G186" s="421">
        <f t="shared" si="43"/>
        <v>1508.3230229999999</v>
      </c>
      <c r="H186" s="421">
        <f t="shared" si="39"/>
        <v>527.90250000000003</v>
      </c>
      <c r="I186" s="421">
        <f t="shared" si="44"/>
        <v>125.69358525000001</v>
      </c>
      <c r="J186" s="421">
        <f t="shared" si="40"/>
        <v>527.90250000000003</v>
      </c>
      <c r="K186" s="421">
        <f t="shared" si="45"/>
        <v>125.69358525000001</v>
      </c>
      <c r="L186" s="421">
        <f t="shared" si="41"/>
        <v>469.24666666666667</v>
      </c>
      <c r="M186" s="424">
        <f t="shared" si="42"/>
        <v>9619.5918601666672</v>
      </c>
    </row>
    <row r="187" spans="2:13" x14ac:dyDescent="0.2">
      <c r="B187" s="2" t="s">
        <v>652</v>
      </c>
      <c r="C187" s="2" t="s">
        <v>662</v>
      </c>
      <c r="D187" s="2" t="s">
        <v>469</v>
      </c>
      <c r="E187" s="2"/>
      <c r="F187" s="421">
        <v>6334.83</v>
      </c>
      <c r="G187" s="421">
        <f t="shared" si="43"/>
        <v>1508.3230229999999</v>
      </c>
      <c r="H187" s="421">
        <f t="shared" ref="H187:H194" si="46">F187/12</f>
        <v>527.90250000000003</v>
      </c>
      <c r="I187" s="421">
        <f t="shared" si="44"/>
        <v>125.69358525000001</v>
      </c>
      <c r="J187" s="421">
        <f t="shared" ref="J187:J194" si="47">F187/12</f>
        <v>527.90250000000003</v>
      </c>
      <c r="K187" s="421">
        <f t="shared" si="45"/>
        <v>125.69358525000001</v>
      </c>
      <c r="L187" s="421">
        <f t="shared" ref="L187:L194" si="48">F187/13.5</f>
        <v>469.24666666666667</v>
      </c>
      <c r="M187" s="424">
        <f t="shared" ref="M187:M194" si="49">SUM(G187:L187)+F187</f>
        <v>9619.5918601666672</v>
      </c>
    </row>
    <row r="188" spans="2:13" x14ac:dyDescent="0.2">
      <c r="B188" s="2" t="s">
        <v>653</v>
      </c>
      <c r="C188" s="2" t="s">
        <v>470</v>
      </c>
      <c r="D188" s="2" t="s">
        <v>470</v>
      </c>
      <c r="E188" s="2"/>
      <c r="F188" s="421">
        <v>55554.31</v>
      </c>
      <c r="G188" s="421">
        <f t="shared" si="43"/>
        <v>13227.481211</v>
      </c>
      <c r="H188" s="421">
        <f t="shared" si="46"/>
        <v>4629.5258333333331</v>
      </c>
      <c r="I188" s="421">
        <f t="shared" si="44"/>
        <v>1102.2901009166667</v>
      </c>
      <c r="J188" s="421">
        <f t="shared" si="47"/>
        <v>4629.5258333333331</v>
      </c>
      <c r="K188" s="421">
        <f t="shared" si="45"/>
        <v>1102.2901009166667</v>
      </c>
      <c r="L188" s="421">
        <f t="shared" si="48"/>
        <v>4115.1340740740743</v>
      </c>
      <c r="M188" s="424">
        <f t="shared" si="49"/>
        <v>84360.557153574075</v>
      </c>
    </row>
    <row r="189" spans="2:13" x14ac:dyDescent="0.2">
      <c r="B189" s="2" t="s">
        <v>654</v>
      </c>
      <c r="C189" s="2" t="s">
        <v>471</v>
      </c>
      <c r="D189" s="2" t="s">
        <v>471</v>
      </c>
      <c r="E189" s="2"/>
      <c r="F189" s="421">
        <v>12388.59</v>
      </c>
      <c r="G189" s="421">
        <f t="shared" si="43"/>
        <v>2949.7232790000003</v>
      </c>
      <c r="H189" s="421">
        <f t="shared" si="46"/>
        <v>1032.3824999999999</v>
      </c>
      <c r="I189" s="421">
        <f t="shared" si="44"/>
        <v>245.81027324999999</v>
      </c>
      <c r="J189" s="421">
        <f t="shared" si="47"/>
        <v>1032.3824999999999</v>
      </c>
      <c r="K189" s="421">
        <f t="shared" si="45"/>
        <v>245.81027324999999</v>
      </c>
      <c r="L189" s="421">
        <f t="shared" si="48"/>
        <v>917.67333333333329</v>
      </c>
      <c r="M189" s="424">
        <f t="shared" si="49"/>
        <v>18812.372158833336</v>
      </c>
    </row>
    <row r="190" spans="2:13" x14ac:dyDescent="0.2">
      <c r="B190" s="2" t="s">
        <v>655</v>
      </c>
      <c r="C190" s="2" t="s">
        <v>472</v>
      </c>
      <c r="D190" s="2" t="s">
        <v>472</v>
      </c>
      <c r="E190" s="2"/>
      <c r="F190" s="421">
        <v>17781.22</v>
      </c>
      <c r="G190" s="421">
        <f t="shared" si="43"/>
        <v>4233.708482</v>
      </c>
      <c r="H190" s="421">
        <f t="shared" si="46"/>
        <v>1481.7683333333334</v>
      </c>
      <c r="I190" s="421">
        <f t="shared" si="44"/>
        <v>352.8090401666667</v>
      </c>
      <c r="J190" s="421">
        <f t="shared" si="47"/>
        <v>1481.7683333333334</v>
      </c>
      <c r="K190" s="421">
        <f t="shared" si="45"/>
        <v>352.8090401666667</v>
      </c>
      <c r="L190" s="421">
        <f t="shared" si="48"/>
        <v>1317.1274074074074</v>
      </c>
      <c r="M190" s="424">
        <f t="shared" si="49"/>
        <v>27001.21063640741</v>
      </c>
    </row>
    <row r="191" spans="2:13" x14ac:dyDescent="0.2">
      <c r="B191" s="2" t="s">
        <v>656</v>
      </c>
      <c r="C191" s="2" t="s">
        <v>665</v>
      </c>
      <c r="D191" s="2" t="s">
        <v>473</v>
      </c>
      <c r="E191" s="2"/>
      <c r="F191" s="421">
        <v>22180.16</v>
      </c>
      <c r="G191" s="421">
        <f t="shared" si="43"/>
        <v>5281.0960960000002</v>
      </c>
      <c r="H191" s="421">
        <f t="shared" si="46"/>
        <v>1848.3466666666666</v>
      </c>
      <c r="I191" s="421">
        <f t="shared" si="44"/>
        <v>440.09134133333333</v>
      </c>
      <c r="J191" s="421">
        <f t="shared" si="47"/>
        <v>1848.3466666666666</v>
      </c>
      <c r="K191" s="421">
        <f t="shared" si="45"/>
        <v>440.09134133333333</v>
      </c>
      <c r="L191" s="421">
        <f t="shared" si="48"/>
        <v>1642.9748148148149</v>
      </c>
      <c r="M191" s="424">
        <f t="shared" si="49"/>
        <v>33681.106926814813</v>
      </c>
    </row>
    <row r="192" spans="2:13" x14ac:dyDescent="0.2">
      <c r="B192" s="2" t="s">
        <v>657</v>
      </c>
      <c r="C192" s="2" t="s">
        <v>666</v>
      </c>
      <c r="D192" s="2" t="s">
        <v>667</v>
      </c>
      <c r="E192" s="2"/>
      <c r="F192" s="421">
        <v>22111.67</v>
      </c>
      <c r="G192" s="421">
        <f t="shared" si="43"/>
        <v>5264.7886269999999</v>
      </c>
      <c r="H192" s="421">
        <f t="shared" si="46"/>
        <v>1842.6391666666666</v>
      </c>
      <c r="I192" s="421">
        <f t="shared" si="44"/>
        <v>438.73238558333333</v>
      </c>
      <c r="J192" s="421">
        <f t="shared" si="47"/>
        <v>1842.6391666666666</v>
      </c>
      <c r="K192" s="421">
        <f t="shared" si="45"/>
        <v>438.73238558333333</v>
      </c>
      <c r="L192" s="421">
        <f t="shared" si="48"/>
        <v>1637.9014814814814</v>
      </c>
      <c r="M192" s="424">
        <f t="shared" si="49"/>
        <v>33577.103212981478</v>
      </c>
    </row>
    <row r="193" spans="2:13" x14ac:dyDescent="0.2">
      <c r="B193" s="2" t="s">
        <v>658</v>
      </c>
      <c r="C193" s="2" t="s">
        <v>666</v>
      </c>
      <c r="D193" s="2" t="s">
        <v>668</v>
      </c>
      <c r="E193" s="2"/>
      <c r="F193" s="421">
        <v>16608.34</v>
      </c>
      <c r="G193" s="421">
        <f t="shared" si="43"/>
        <v>3954.4457540000003</v>
      </c>
      <c r="H193" s="421">
        <f t="shared" si="46"/>
        <v>1384.0283333333334</v>
      </c>
      <c r="I193" s="421">
        <f t="shared" si="44"/>
        <v>329.53714616666667</v>
      </c>
      <c r="J193" s="421">
        <f t="shared" si="47"/>
        <v>1384.0283333333334</v>
      </c>
      <c r="K193" s="421">
        <f t="shared" si="45"/>
        <v>329.53714616666667</v>
      </c>
      <c r="L193" s="421">
        <f t="shared" si="48"/>
        <v>1230.2474074074073</v>
      </c>
      <c r="M193" s="424">
        <f t="shared" si="49"/>
        <v>25220.164120407408</v>
      </c>
    </row>
    <row r="194" spans="2:13" s="427" customFormat="1" ht="15" thickBot="1" x14ac:dyDescent="0.25">
      <c r="B194" s="2" t="s">
        <v>659</v>
      </c>
      <c r="C194" s="2" t="s">
        <v>474</v>
      </c>
      <c r="D194" s="2" t="s">
        <v>474</v>
      </c>
      <c r="E194" s="2"/>
      <c r="F194" s="421">
        <v>105583.33</v>
      </c>
      <c r="G194" s="421">
        <f t="shared" si="43"/>
        <v>25139.390873</v>
      </c>
      <c r="H194" s="421">
        <f t="shared" si="46"/>
        <v>8798.6108333333341</v>
      </c>
      <c r="I194" s="421">
        <f t="shared" si="44"/>
        <v>2094.9492394166668</v>
      </c>
      <c r="J194" s="421">
        <f t="shared" si="47"/>
        <v>8798.6108333333341</v>
      </c>
      <c r="K194" s="421">
        <f t="shared" si="45"/>
        <v>2094.9492394166668</v>
      </c>
      <c r="L194" s="421">
        <f t="shared" si="48"/>
        <v>7820.9874074074078</v>
      </c>
      <c r="M194" s="424">
        <f t="shared" si="49"/>
        <v>160330.82842590741</v>
      </c>
    </row>
    <row r="195" spans="2:13" ht="15" thickBot="1" x14ac:dyDescent="0.25">
      <c r="B195" s="428" t="s">
        <v>3</v>
      </c>
      <c r="C195" s="429"/>
      <c r="D195" s="429"/>
      <c r="E195" s="429"/>
      <c r="F195" s="430">
        <f>SUBTOTAL(109,Tabella2[RAL])</f>
        <v>3258955.9800000112</v>
      </c>
      <c r="G195" s="430">
        <f>SUBTOTAL(109,Tabella2[Contributi])</f>
        <v>775957.41883799736</v>
      </c>
      <c r="H195" s="430">
        <f>SUBTOTAL(109,Tabella2[13ma])</f>
        <v>271579.66499999998</v>
      </c>
      <c r="I195" s="430">
        <f>SUBTOTAL(109,Tabella2[Contributi 13ma])</f>
        <v>64663.118236499991</v>
      </c>
      <c r="J195" s="430">
        <f>SUBTOTAL(109,Tabella2[14ma])</f>
        <v>271579.66499999998</v>
      </c>
      <c r="K195" s="430">
        <f>SUBTOTAL(109,Tabella2[Contributi 14m])</f>
        <v>64663.118236499991</v>
      </c>
      <c r="L195" s="430">
        <f>SUBTOTAL(109,Tabella2[TFR])</f>
        <v>241404.14666666702</v>
      </c>
      <c r="M195" s="431">
        <f>SUBTOTAL(109,Tabella2[Costo totale])</f>
        <v>4948803.1119776675</v>
      </c>
    </row>
  </sheetData>
  <mergeCells count="1">
    <mergeCell ref="B8:L8"/>
  </mergeCells>
  <phoneticPr fontId="4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C30-7518-7946-B576-CD2DF3AE45E2}">
  <sheetPr codeName="Foglio17"/>
  <dimension ref="B2:O50"/>
  <sheetViews>
    <sheetView showGridLines="0" topLeftCell="A24" zoomScale="160" zoomScaleNormal="160" workbookViewId="0">
      <selection activeCell="K36" sqref="K36"/>
    </sheetView>
  </sheetViews>
  <sheetFormatPr baseColWidth="10" defaultRowHeight="16" x14ac:dyDescent="0.2"/>
  <cols>
    <col min="1" max="1" width="10.83203125" style="3"/>
    <col min="2" max="2" width="27.33203125" style="3" bestFit="1" customWidth="1"/>
    <col min="3" max="3" width="11.1640625" style="16" customWidth="1"/>
    <col min="4" max="10" width="11.1640625" style="3" customWidth="1"/>
    <col min="11" max="12" width="12.1640625" style="3" customWidth="1"/>
    <col min="13" max="14" width="11" style="3" bestFit="1" customWidth="1"/>
    <col min="15" max="15" width="11.5" style="3" bestFit="1" customWidth="1"/>
    <col min="16" max="16384" width="10.83203125" style="3"/>
  </cols>
  <sheetData>
    <row r="2" spans="2:14" x14ac:dyDescent="0.2">
      <c r="B2" s="91" t="s">
        <v>678</v>
      </c>
    </row>
    <row r="3" spans="2:14" ht="17" thickBot="1" x14ac:dyDescent="0.25">
      <c r="B3" s="91"/>
    </row>
    <row r="4" spans="2:14" x14ac:dyDescent="0.2">
      <c r="B4" s="13"/>
      <c r="C4" s="1091" t="s">
        <v>170</v>
      </c>
      <c r="D4" s="1092"/>
      <c r="E4" s="1092"/>
      <c r="F4" s="1092"/>
      <c r="G4" s="1092"/>
      <c r="H4" s="1092"/>
      <c r="I4" s="1092"/>
      <c r="J4" s="1092"/>
      <c r="K4" s="1092"/>
      <c r="L4" s="1093"/>
    </row>
    <row r="5" spans="2:14" x14ac:dyDescent="0.2">
      <c r="B5" s="146"/>
      <c r="C5" s="419" t="s">
        <v>669</v>
      </c>
      <c r="D5" s="420" t="s">
        <v>281</v>
      </c>
      <c r="E5" s="420" t="s">
        <v>670</v>
      </c>
      <c r="F5" s="420" t="s">
        <v>77</v>
      </c>
      <c r="G5" s="420" t="s">
        <v>282</v>
      </c>
      <c r="H5" s="420" t="s">
        <v>78</v>
      </c>
      <c r="I5" s="420" t="s">
        <v>671</v>
      </c>
      <c r="J5" s="142" t="s">
        <v>81</v>
      </c>
      <c r="K5" s="433" t="s">
        <v>284</v>
      </c>
      <c r="L5" s="434" t="s">
        <v>677</v>
      </c>
    </row>
    <row r="6" spans="2:14" x14ac:dyDescent="0.2">
      <c r="B6" s="435" t="s">
        <v>474</v>
      </c>
      <c r="C6" s="84">
        <f>COUNTIF(Tabella2[Funzioni],'Tab. 10'!B6)</f>
        <v>1</v>
      </c>
      <c r="D6" s="92">
        <f>SUMIF(Tabella2[Funzioni],'Tab. 10'!$B6,Tabella2[RAL])</f>
        <v>105583.33</v>
      </c>
      <c r="E6" s="92">
        <f>SUMIF(Tabella2[Funzioni],'Tab. 10'!$B6,Tabella2[Contributi])</f>
        <v>25139.390873</v>
      </c>
      <c r="F6" s="92">
        <f>SUMIF(Tabella2[Funzioni],'Tab. 10'!$B6,Tabella2[13ma])</f>
        <v>8798.6108333333341</v>
      </c>
      <c r="G6" s="92">
        <f>SUMIF(Tabella2[Funzioni],'Tab. 10'!$B6,Tabella2[Contributi 13ma])</f>
        <v>2094.9492394166668</v>
      </c>
      <c r="H6" s="92">
        <f>SUMIF(Tabella2[Funzioni],'Tab. 10'!$B6,Tabella2[14ma])</f>
        <v>8798.6108333333341</v>
      </c>
      <c r="I6" s="92">
        <f>SUMIF(Tabella2[Funzioni],'Tab. 10'!$B6,Tabella2[Contributi 14m])</f>
        <v>2094.9492394166668</v>
      </c>
      <c r="J6" s="92">
        <f>SUMIF(Tabella2[Funzioni],'Tab. 10'!$B6,Tabella2[TFR])</f>
        <v>7820.9874074074078</v>
      </c>
      <c r="K6" s="436">
        <f>SUM(D6:J6)</f>
        <v>160330.82842590738</v>
      </c>
      <c r="L6" s="437">
        <f>K6/C6</f>
        <v>160330.82842590738</v>
      </c>
    </row>
    <row r="7" spans="2:14" x14ac:dyDescent="0.2">
      <c r="B7" s="438"/>
      <c r="D7" s="73"/>
      <c r="E7" s="73"/>
      <c r="F7" s="73"/>
      <c r="G7" s="73"/>
      <c r="H7" s="73"/>
      <c r="I7" s="73"/>
      <c r="J7" s="73"/>
      <c r="K7" s="439"/>
      <c r="L7" s="440"/>
    </row>
    <row r="8" spans="2:14" x14ac:dyDescent="0.2">
      <c r="B8" s="438" t="s">
        <v>285</v>
      </c>
      <c r="C8" s="16">
        <f>COUNTIF(Tabella2[Funzioni],'Tab. 10'!B8)</f>
        <v>1</v>
      </c>
      <c r="D8" s="100">
        <f>SUMIF(Tabella2[Funzioni],'Tab. 10'!$B8,Tabella2[RAL])</f>
        <v>52666.67</v>
      </c>
      <c r="E8" s="100">
        <f>SUMIF(Tabella2[Funzioni],'Tab. 10'!$B8,Tabella2[Contributi])</f>
        <v>12539.934127</v>
      </c>
      <c r="F8" s="100">
        <f>SUMIF(Tabella2[Funzioni],'Tab. 10'!$B8,Tabella2[13ma])</f>
        <v>4388.8891666666668</v>
      </c>
      <c r="G8" s="100">
        <f>SUMIF(Tabella2[Funzioni],'Tab. 10'!$B8,Tabella2[Contributi 13ma])</f>
        <v>1044.9945105833333</v>
      </c>
      <c r="H8" s="100">
        <f>SUMIF(Tabella2[Funzioni],'Tab. 10'!$B8,Tabella2[14ma])</f>
        <v>4388.8891666666668</v>
      </c>
      <c r="I8" s="100">
        <f>SUMIF(Tabella2[Funzioni],'Tab. 10'!$B8,Tabella2[Contributi 14m])</f>
        <v>1044.9945105833333</v>
      </c>
      <c r="J8" s="100">
        <f>SUMIF(Tabella2[Funzioni],'Tab. 10'!$B8,Tabella2[TFR])</f>
        <v>3901.2348148148149</v>
      </c>
      <c r="K8" s="439">
        <f>SUM(D8:J8)</f>
        <v>79975.6062963148</v>
      </c>
      <c r="L8" s="440">
        <f>K8/C8</f>
        <v>79975.6062963148</v>
      </c>
      <c r="N8" s="73">
        <f>K11/235*18</f>
        <v>13578.421535126241</v>
      </c>
    </row>
    <row r="9" spans="2:14" x14ac:dyDescent="0.2">
      <c r="B9" s="438" t="s">
        <v>399</v>
      </c>
      <c r="C9" s="16">
        <f>COUNTIF(Tabella2[Funzioni],'Tab. 10'!B9)</f>
        <v>1</v>
      </c>
      <c r="D9" s="100">
        <f>SUMIF(Tabella2[Funzioni],'Tab. 10'!$B9,Tabella2[RAL])</f>
        <v>23537.57</v>
      </c>
      <c r="E9" s="100">
        <f>SUMIF(Tabella2[Funzioni],'Tab. 10'!$B9,Tabella2[Contributi])</f>
        <v>5604.2954170000003</v>
      </c>
      <c r="F9" s="100">
        <f>SUMIF(Tabella2[Funzioni],'Tab. 10'!$B9,Tabella2[13ma])</f>
        <v>1961.4641666666666</v>
      </c>
      <c r="G9" s="100">
        <f>SUMIF(Tabella2[Funzioni],'Tab. 10'!$B9,Tabella2[Contributi 13ma])</f>
        <v>467.02461808333334</v>
      </c>
      <c r="H9" s="100">
        <f>SUMIF(Tabella2[Funzioni],'Tab. 10'!$B9,Tabella2[14ma])</f>
        <v>1961.4641666666666</v>
      </c>
      <c r="I9" s="100">
        <f>SUMIF(Tabella2[Funzioni],'Tab. 10'!$B9,Tabella2[Contributi 14m])</f>
        <v>467.02461808333334</v>
      </c>
      <c r="J9" s="100">
        <f>SUMIF(Tabella2[Funzioni],'Tab. 10'!$B9,Tabella2[TFR])</f>
        <v>1743.5237037037036</v>
      </c>
      <c r="K9" s="439">
        <f>SUM(D9:J9)</f>
        <v>35742.3666902037</v>
      </c>
      <c r="L9" s="440">
        <f>K9/C9</f>
        <v>35742.3666902037</v>
      </c>
    </row>
    <row r="10" spans="2:14" x14ac:dyDescent="0.2">
      <c r="B10" s="438" t="s">
        <v>400</v>
      </c>
      <c r="C10" s="16">
        <f>COUNTIF(Tabella2[Funzioni],'Tab. 10'!B10)</f>
        <v>1</v>
      </c>
      <c r="D10" s="100">
        <f>SUMIF(Tabella2[Funzioni],'Tab. 10'!$B10,Tabella2[RAL])</f>
        <v>40536.639999999999</v>
      </c>
      <c r="E10" s="100">
        <f>SUMIF(Tabella2[Funzioni],'Tab. 10'!$B10,Tabella2[Contributi])</f>
        <v>9651.7739839999995</v>
      </c>
      <c r="F10" s="100">
        <f>SUMIF(Tabella2[Funzioni],'Tab. 10'!$B10,Tabella2[13ma])</f>
        <v>3378.0533333333333</v>
      </c>
      <c r="G10" s="100">
        <f>SUMIF(Tabella2[Funzioni],'Tab. 10'!$B10,Tabella2[Contributi 13ma])</f>
        <v>804.31449866666662</v>
      </c>
      <c r="H10" s="100">
        <f>SUMIF(Tabella2[Funzioni],'Tab. 10'!$B10,Tabella2[14ma])</f>
        <v>3378.0533333333333</v>
      </c>
      <c r="I10" s="100">
        <f>SUMIF(Tabella2[Funzioni],'Tab. 10'!$B10,Tabella2[Contributi 14m])</f>
        <v>804.31449866666662</v>
      </c>
      <c r="J10" s="100">
        <f>SUMIF(Tabella2[Funzioni],'Tab. 10'!$B10,Tabella2[TFR])</f>
        <v>3002.7140740740742</v>
      </c>
      <c r="K10" s="439">
        <f>SUM(D10:J10)</f>
        <v>61555.863722074071</v>
      </c>
      <c r="L10" s="440">
        <f>K10/C10</f>
        <v>61555.863722074071</v>
      </c>
    </row>
    <row r="11" spans="2:14" x14ac:dyDescent="0.2">
      <c r="B11" s="435" t="s">
        <v>661</v>
      </c>
      <c r="C11" s="84">
        <f t="shared" ref="C11:K11" si="0">SUM(C8:C10)</f>
        <v>3</v>
      </c>
      <c r="D11" s="92">
        <f t="shared" si="0"/>
        <v>116740.87999999999</v>
      </c>
      <c r="E11" s="92">
        <f t="shared" si="0"/>
        <v>27796.003528000001</v>
      </c>
      <c r="F11" s="92">
        <f t="shared" si="0"/>
        <v>9728.4066666666658</v>
      </c>
      <c r="G11" s="92">
        <f t="shared" si="0"/>
        <v>2316.3336273333334</v>
      </c>
      <c r="H11" s="92">
        <f t="shared" si="0"/>
        <v>9728.4066666666658</v>
      </c>
      <c r="I11" s="92">
        <f t="shared" si="0"/>
        <v>2316.3336273333334</v>
      </c>
      <c r="J11" s="92">
        <f t="shared" si="0"/>
        <v>8647.4725925925923</v>
      </c>
      <c r="K11" s="436">
        <f t="shared" si="0"/>
        <v>177273.83670859257</v>
      </c>
      <c r="L11" s="437">
        <f>K11/C11</f>
        <v>59091.278902864193</v>
      </c>
    </row>
    <row r="12" spans="2:14" x14ac:dyDescent="0.2">
      <c r="B12" s="438"/>
      <c r="K12" s="441"/>
      <c r="L12" s="442"/>
    </row>
    <row r="13" spans="2:14" x14ac:dyDescent="0.2">
      <c r="B13" s="438" t="s">
        <v>402</v>
      </c>
      <c r="C13" s="16">
        <f>COUNTIF(Tabella2[Funzioni],'Tab. 10'!B13)</f>
        <v>109</v>
      </c>
      <c r="D13" s="100">
        <f>SUMIF(Tabella2[Funzioni],'Tab. 10'!$B13,Tabella2[RAL])</f>
        <v>1697310.6100000034</v>
      </c>
      <c r="E13" s="100">
        <f>SUMIF(Tabella2[Funzioni],'Tab. 10'!$B13,Tabella2[Contributi])</f>
        <v>404129.65624099929</v>
      </c>
      <c r="F13" s="100">
        <f>SUMIF(Tabella2[Funzioni],'Tab. 10'!$B13,Tabella2[13ma])</f>
        <v>141442.55083333314</v>
      </c>
      <c r="G13" s="100">
        <f>SUMIF(Tabella2[Funzioni],'Tab. 10'!$B13,Tabella2[Contributi 13ma])</f>
        <v>33677.471353416702</v>
      </c>
      <c r="H13" s="100">
        <f>SUMIF(Tabella2[Funzioni],'Tab. 10'!$B13,Tabella2[14ma])</f>
        <v>141442.55083333314</v>
      </c>
      <c r="I13" s="100">
        <f>SUMIF(Tabella2[Funzioni],'Tab. 10'!$B13,Tabella2[Contributi 14m])</f>
        <v>33677.471353416702</v>
      </c>
      <c r="J13" s="100">
        <f>SUMIF(Tabella2[Funzioni],'Tab. 10'!$B13,Tabella2[TFR])</f>
        <v>125726.71185185225</v>
      </c>
      <c r="K13" s="439">
        <f>SUM(D13:J13)</f>
        <v>2577407.022466355</v>
      </c>
      <c r="L13" s="440">
        <f>K13/C13</f>
        <v>23645.935985929864</v>
      </c>
      <c r="N13" s="73">
        <f>+K13+'Mens costi industriali DIR'!D35</f>
        <v>2581209.2415319365</v>
      </c>
    </row>
    <row r="14" spans="2:14" x14ac:dyDescent="0.2">
      <c r="B14" s="435" t="s">
        <v>1084</v>
      </c>
      <c r="C14" s="84">
        <f>SUM(C13)</f>
        <v>109</v>
      </c>
      <c r="D14" s="92">
        <f t="shared" ref="D14:K14" si="1">SUM(D13)</f>
        <v>1697310.6100000034</v>
      </c>
      <c r="E14" s="92">
        <f t="shared" si="1"/>
        <v>404129.65624099929</v>
      </c>
      <c r="F14" s="92">
        <f t="shared" si="1"/>
        <v>141442.55083333314</v>
      </c>
      <c r="G14" s="92">
        <f t="shared" si="1"/>
        <v>33677.471353416702</v>
      </c>
      <c r="H14" s="92">
        <f t="shared" si="1"/>
        <v>141442.55083333314</v>
      </c>
      <c r="I14" s="92">
        <f t="shared" si="1"/>
        <v>33677.471353416702</v>
      </c>
      <c r="J14" s="92">
        <f t="shared" si="1"/>
        <v>125726.71185185225</v>
      </c>
      <c r="K14" s="436">
        <f t="shared" si="1"/>
        <v>2577407.022466355</v>
      </c>
      <c r="L14" s="437">
        <f t="shared" ref="L14" si="2">K14/C14</f>
        <v>23645.935985929864</v>
      </c>
    </row>
    <row r="15" spans="2:14" x14ac:dyDescent="0.2">
      <c r="B15" s="438"/>
      <c r="K15" s="441"/>
      <c r="L15" s="442"/>
    </row>
    <row r="16" spans="2:14" x14ac:dyDescent="0.2">
      <c r="B16" s="438" t="s">
        <v>288</v>
      </c>
      <c r="C16" s="16">
        <f>COUNTIF(Tabella2[Funzioni],'Tab. 10'!B16)</f>
        <v>1</v>
      </c>
      <c r="D16" s="100">
        <f>SUMIF(Tabella2[Funzioni],'Tab. 10'!$B16,Tabella2[RAL])</f>
        <v>59504.31</v>
      </c>
      <c r="E16" s="100">
        <f>SUMIF(Tabella2[Funzioni],'Tab. 10'!$B16,Tabella2[Contributi])</f>
        <v>14167.976210999999</v>
      </c>
      <c r="F16" s="100">
        <f>SUMIF(Tabella2[Funzioni],'Tab. 10'!$B16,Tabella2[13ma])</f>
        <v>4958.6925000000001</v>
      </c>
      <c r="G16" s="100">
        <f>SUMIF(Tabella2[Funzioni],'Tab. 10'!$B16,Tabella2[Contributi 13ma])</f>
        <v>1180.6646842500002</v>
      </c>
      <c r="H16" s="100">
        <f>SUMIF(Tabella2[Funzioni],'Tab. 10'!$B16,Tabella2[14ma])</f>
        <v>4958.6925000000001</v>
      </c>
      <c r="I16" s="100">
        <f>SUMIF(Tabella2[Funzioni],'Tab. 10'!$B16,Tabella2[Contributi 14m])</f>
        <v>1180.6646842500002</v>
      </c>
      <c r="J16" s="100">
        <f>SUMIF(Tabella2[Funzioni],'Tab. 10'!$B16,Tabella2[TFR])</f>
        <v>4407.7266666666665</v>
      </c>
      <c r="K16" s="439">
        <f t="shared" ref="K16:K22" si="3">SUM(D16:J16)</f>
        <v>90358.727246166687</v>
      </c>
      <c r="L16" s="440">
        <f t="shared" ref="L16:L23" si="4">K16/C16</f>
        <v>90358.727246166687</v>
      </c>
    </row>
    <row r="17" spans="2:12" x14ac:dyDescent="0.2">
      <c r="B17" s="438" t="s">
        <v>289</v>
      </c>
      <c r="C17" s="16">
        <f>COUNTIF(Tabella2[Funzioni],'Tab. 10'!B17)</f>
        <v>1</v>
      </c>
      <c r="D17" s="100">
        <f>SUMIF(Tabella2[Funzioni],'Tab. 10'!$B17,Tabella2[RAL])</f>
        <v>27109.83</v>
      </c>
      <c r="E17" s="100">
        <f>SUMIF(Tabella2[Funzioni],'Tab. 10'!$B17,Tabella2[Contributi])</f>
        <v>6454.850523000001</v>
      </c>
      <c r="F17" s="100">
        <f>SUMIF(Tabella2[Funzioni],'Tab. 10'!$B17,Tabella2[13ma])</f>
        <v>2259.1525000000001</v>
      </c>
      <c r="G17" s="100">
        <f>SUMIF(Tabella2[Funzioni],'Tab. 10'!$B17,Tabella2[Contributi 13ma])</f>
        <v>537.90421025000001</v>
      </c>
      <c r="H17" s="100">
        <f>SUMIF(Tabella2[Funzioni],'Tab. 10'!$B17,Tabella2[14ma])</f>
        <v>2259.1525000000001</v>
      </c>
      <c r="I17" s="100">
        <f>SUMIF(Tabella2[Funzioni],'Tab. 10'!$B17,Tabella2[Contributi 14m])</f>
        <v>537.90421025000001</v>
      </c>
      <c r="J17" s="100">
        <f>SUMIF(Tabella2[Funzioni],'Tab. 10'!$B17,Tabella2[TFR])</f>
        <v>2008.1355555555556</v>
      </c>
      <c r="K17" s="439">
        <f t="shared" ref="K17" si="5">SUM(D17:J17)</f>
        <v>41166.929499055565</v>
      </c>
      <c r="L17" s="440">
        <f t="shared" ref="L17" si="6">K17/C17</f>
        <v>41166.929499055565</v>
      </c>
    </row>
    <row r="18" spans="2:12" x14ac:dyDescent="0.2">
      <c r="B18" s="438" t="s">
        <v>403</v>
      </c>
      <c r="C18" s="16">
        <f>COUNTIF(Tabella2[Funzioni],'Tab. 10'!B18)</f>
        <v>16</v>
      </c>
      <c r="D18" s="100">
        <f>SUMIF(Tabella2[Funzioni],'Tab. 10'!$B18,Tabella2[RAL])</f>
        <v>245463.00999999995</v>
      </c>
      <c r="E18" s="100">
        <f>SUMIF(Tabella2[Funzioni],'Tab. 10'!$B18,Tabella2[Contributi])</f>
        <v>58444.742680999989</v>
      </c>
      <c r="F18" s="100">
        <f>SUMIF(Tabella2[Funzioni],'Tab. 10'!$B18,Tabella2[13ma])</f>
        <v>20455.250833333343</v>
      </c>
      <c r="G18" s="100">
        <f>SUMIF(Tabella2[Funzioni],'Tab. 10'!$B18,Tabella2[Contributi 13ma])</f>
        <v>4870.3952234166663</v>
      </c>
      <c r="H18" s="100">
        <f>SUMIF(Tabella2[Funzioni],'Tab. 10'!$B18,Tabella2[14ma])</f>
        <v>20455.250833333343</v>
      </c>
      <c r="I18" s="100">
        <f>SUMIF(Tabella2[Funzioni],'Tab. 10'!$B18,Tabella2[Contributi 14m])</f>
        <v>4870.3952234166663</v>
      </c>
      <c r="J18" s="100">
        <f>SUMIF(Tabella2[Funzioni],'Tab. 10'!$B18,Tabella2[TFR])</f>
        <v>18182.445185185185</v>
      </c>
      <c r="K18" s="439">
        <f t="shared" si="3"/>
        <v>372741.48997968517</v>
      </c>
      <c r="L18" s="440">
        <f t="shared" si="4"/>
        <v>23296.343123730323</v>
      </c>
    </row>
    <row r="19" spans="2:12" x14ac:dyDescent="0.2">
      <c r="B19" s="438" t="s">
        <v>664</v>
      </c>
      <c r="C19" s="16">
        <f>COUNTIF(Tabella2[Funzioni],'Tab. 10'!B19)</f>
        <v>1</v>
      </c>
      <c r="D19" s="100">
        <f>SUMIF(Tabella2[Funzioni],'Tab. 10'!$B19,Tabella2[RAL])</f>
        <v>17458.009999999998</v>
      </c>
      <c r="E19" s="100">
        <f>SUMIF(Tabella2[Funzioni],'Tab. 10'!$B19,Tabella2[Contributi])</f>
        <v>4156.7521809999998</v>
      </c>
      <c r="F19" s="100">
        <f>SUMIF(Tabella2[Funzioni],'Tab. 10'!$B19,Tabella2[13ma])</f>
        <v>1454.8341666666665</v>
      </c>
      <c r="G19" s="100">
        <f>SUMIF(Tabella2[Funzioni],'Tab. 10'!$B19,Tabella2[Contributi 13ma])</f>
        <v>346.39601508333334</v>
      </c>
      <c r="H19" s="100">
        <f>SUMIF(Tabella2[Funzioni],'Tab. 10'!$B19,Tabella2[14ma])</f>
        <v>1454.8341666666665</v>
      </c>
      <c r="I19" s="100">
        <f>SUMIF(Tabella2[Funzioni],'Tab. 10'!$B19,Tabella2[Contributi 14m])</f>
        <v>346.39601508333334</v>
      </c>
      <c r="J19" s="100">
        <f>SUMIF(Tabella2[Funzioni],'Tab. 10'!$B19,Tabella2[TFR])</f>
        <v>1293.1859259259259</v>
      </c>
      <c r="K19" s="439">
        <f t="shared" si="3"/>
        <v>26510.408470425926</v>
      </c>
      <c r="L19" s="440">
        <f t="shared" si="4"/>
        <v>26510.408470425926</v>
      </c>
    </row>
    <row r="20" spans="2:12" x14ac:dyDescent="0.2">
      <c r="B20" s="438" t="s">
        <v>426</v>
      </c>
      <c r="C20" s="16">
        <f>COUNTIF(Tabella2[Funzioni],'Tab. 10'!B20)</f>
        <v>2</v>
      </c>
      <c r="D20" s="100">
        <f>SUMIF(Tabella2[Funzioni],'Tab. 10'!$B20,Tabella2[RAL])</f>
        <v>26335.3</v>
      </c>
      <c r="E20" s="100">
        <f>SUMIF(Tabella2[Funzioni],'Tab. 10'!$B20,Tabella2[Contributi])</f>
        <v>6270.4349300000003</v>
      </c>
      <c r="F20" s="100">
        <f>SUMIF(Tabella2[Funzioni],'Tab. 10'!$B20,Tabella2[13ma])</f>
        <v>2194.6083333333331</v>
      </c>
      <c r="G20" s="100">
        <f>SUMIF(Tabella2[Funzioni],'Tab. 10'!$B20,Tabella2[Contributi 13ma])</f>
        <v>522.53624416666662</v>
      </c>
      <c r="H20" s="100">
        <f>SUMIF(Tabella2[Funzioni],'Tab. 10'!$B20,Tabella2[14ma])</f>
        <v>2194.6083333333331</v>
      </c>
      <c r="I20" s="100">
        <f>SUMIF(Tabella2[Funzioni],'Tab. 10'!$B20,Tabella2[Contributi 14m])</f>
        <v>522.53624416666662</v>
      </c>
      <c r="J20" s="100">
        <f>SUMIF(Tabella2[Funzioni],'Tab. 10'!$B20,Tabella2[TFR])</f>
        <v>1950.762962962963</v>
      </c>
      <c r="K20" s="439">
        <f t="shared" si="3"/>
        <v>39990.787047962956</v>
      </c>
      <c r="L20" s="440">
        <f t="shared" si="4"/>
        <v>19995.393523981478</v>
      </c>
    </row>
    <row r="21" spans="2:12" x14ac:dyDescent="0.2">
      <c r="B21" s="438" t="s">
        <v>420</v>
      </c>
      <c r="C21" s="16">
        <f>COUNTIF(Tabella2[Funzioni],'Tab. 10'!B21)</f>
        <v>1</v>
      </c>
      <c r="D21" s="100">
        <f>SUMIF(Tabella2[Funzioni],'Tab. 10'!$B21,Tabella2[RAL])</f>
        <v>24078.080000000002</v>
      </c>
      <c r="E21" s="100">
        <f>SUMIF(Tabella2[Funzioni],'Tab. 10'!$B21,Tabella2[Contributi])</f>
        <v>5732.9908480000004</v>
      </c>
      <c r="F21" s="100">
        <f>SUMIF(Tabella2[Funzioni],'Tab. 10'!$B21,Tabella2[13ma])</f>
        <v>2006.5066666666669</v>
      </c>
      <c r="G21" s="100">
        <f>SUMIF(Tabella2[Funzioni],'Tab. 10'!$B21,Tabella2[Contributi 13ma])</f>
        <v>477.74923733333338</v>
      </c>
      <c r="H21" s="100">
        <f>SUMIF(Tabella2[Funzioni],'Tab. 10'!$B21,Tabella2[14ma])</f>
        <v>2006.5066666666669</v>
      </c>
      <c r="I21" s="100">
        <f>SUMIF(Tabella2[Funzioni],'Tab. 10'!$B21,Tabella2[Contributi 14m])</f>
        <v>477.74923733333338</v>
      </c>
      <c r="J21" s="100">
        <f>SUMIF(Tabella2[Funzioni],'Tab. 10'!$B21,Tabella2[TFR])</f>
        <v>1783.5614814814817</v>
      </c>
      <c r="K21" s="439">
        <f t="shared" si="3"/>
        <v>36563.144137481482</v>
      </c>
      <c r="L21" s="440">
        <f t="shared" si="4"/>
        <v>36563.144137481482</v>
      </c>
    </row>
    <row r="22" spans="2:12" x14ac:dyDescent="0.2">
      <c r="B22" s="438" t="s">
        <v>421</v>
      </c>
      <c r="C22" s="16">
        <f>COUNTIF(Tabella2[Funzioni],'Tab. 10'!B22)</f>
        <v>2</v>
      </c>
      <c r="D22" s="100">
        <f>SUMIF(Tabella2[Funzioni],'Tab. 10'!$B22,Tabella2[RAL])</f>
        <v>52311.020000000004</v>
      </c>
      <c r="E22" s="100">
        <f>SUMIF(Tabella2[Funzioni],'Tab. 10'!$B22,Tabella2[Contributi])</f>
        <v>12455.253862000001</v>
      </c>
      <c r="F22" s="100">
        <f>SUMIF(Tabella2[Funzioni],'Tab. 10'!$B22,Tabella2[13ma])</f>
        <v>4359.251666666667</v>
      </c>
      <c r="G22" s="100">
        <f>SUMIF(Tabella2[Funzioni],'Tab. 10'!$B22,Tabella2[Contributi 13ma])</f>
        <v>1037.9378218333334</v>
      </c>
      <c r="H22" s="100">
        <f>SUMIF(Tabella2[Funzioni],'Tab. 10'!$B22,Tabella2[14ma])</f>
        <v>4359.251666666667</v>
      </c>
      <c r="I22" s="100">
        <f>SUMIF(Tabella2[Funzioni],'Tab. 10'!$B22,Tabella2[Contributi 14m])</f>
        <v>1037.9378218333334</v>
      </c>
      <c r="J22" s="100">
        <f>SUMIF(Tabella2[Funzioni],'Tab. 10'!$B22,Tabella2[TFR])</f>
        <v>3874.8903703703704</v>
      </c>
      <c r="K22" s="439">
        <f t="shared" si="3"/>
        <v>79435.543209370357</v>
      </c>
      <c r="L22" s="440">
        <f t="shared" si="4"/>
        <v>39717.771604685178</v>
      </c>
    </row>
    <row r="23" spans="2:12" x14ac:dyDescent="0.2">
      <c r="B23" s="435" t="s">
        <v>401</v>
      </c>
      <c r="C23" s="84">
        <f t="shared" ref="C23:K23" si="7">SUM(C16:C22)</f>
        <v>24</v>
      </c>
      <c r="D23" s="92">
        <f t="shared" si="7"/>
        <v>452259.56</v>
      </c>
      <c r="E23" s="92">
        <f t="shared" si="7"/>
        <v>107683.001236</v>
      </c>
      <c r="F23" s="92">
        <f t="shared" si="7"/>
        <v>37688.296666666676</v>
      </c>
      <c r="G23" s="92">
        <f t="shared" si="7"/>
        <v>8973.5834363333342</v>
      </c>
      <c r="H23" s="92">
        <f t="shared" si="7"/>
        <v>37688.296666666676</v>
      </c>
      <c r="I23" s="92">
        <f t="shared" si="7"/>
        <v>8973.5834363333342</v>
      </c>
      <c r="J23" s="92">
        <f t="shared" si="7"/>
        <v>33500.708148148144</v>
      </c>
      <c r="K23" s="436">
        <f t="shared" si="7"/>
        <v>686767.02959014813</v>
      </c>
      <c r="L23" s="437">
        <f t="shared" si="4"/>
        <v>28615.292899589505</v>
      </c>
    </row>
    <row r="24" spans="2:12" x14ac:dyDescent="0.2">
      <c r="B24" s="438"/>
      <c r="K24" s="441"/>
      <c r="L24" s="442"/>
    </row>
    <row r="25" spans="2:12" x14ac:dyDescent="0.2">
      <c r="B25" s="438" t="s">
        <v>428</v>
      </c>
      <c r="C25" s="16">
        <f>COUNTIF(Tabella2[Funzioni],'Tab. 10'!B25)</f>
        <v>1</v>
      </c>
      <c r="D25" s="100">
        <f>SUMIF(Tabella2[Funzioni],'Tab. 10'!$B25,Tabella2[RAL])</f>
        <v>70077.33</v>
      </c>
      <c r="E25" s="100">
        <f>SUMIF(Tabella2[Funzioni],'Tab. 10'!$B25,Tabella2[Contributi])</f>
        <v>16685.412273000002</v>
      </c>
      <c r="F25" s="100">
        <f>SUMIF(Tabella2[Funzioni],'Tab. 10'!$B25,Tabella2[13ma])</f>
        <v>5839.7775000000001</v>
      </c>
      <c r="G25" s="100">
        <f>SUMIF(Tabella2[Funzioni],'Tab. 10'!$B25,Tabella2[Contributi 13ma])</f>
        <v>1390.45102275</v>
      </c>
      <c r="H25" s="100">
        <f>SUMIF(Tabella2[Funzioni],'Tab. 10'!$B25,Tabella2[14ma])</f>
        <v>5839.7775000000001</v>
      </c>
      <c r="I25" s="100">
        <f>SUMIF(Tabella2[Funzioni],'Tab. 10'!$B25,Tabella2[Contributi 14m])</f>
        <v>1390.45102275</v>
      </c>
      <c r="J25" s="100">
        <f>SUMIF(Tabella2[Funzioni],'Tab. 10'!$B25,Tabella2[TFR])</f>
        <v>5190.9133333333339</v>
      </c>
      <c r="K25" s="439">
        <f>SUM(D25:J25)</f>
        <v>106414.11265183333</v>
      </c>
      <c r="L25" s="440">
        <f>K25/C25</f>
        <v>106414.11265183333</v>
      </c>
    </row>
    <row r="26" spans="2:12" x14ac:dyDescent="0.2">
      <c r="B26" s="438" t="s">
        <v>238</v>
      </c>
      <c r="C26" s="16">
        <f>COUNTIF(Tabella2[Funzioni],'Tab. 10'!B26)</f>
        <v>8</v>
      </c>
      <c r="D26" s="100">
        <f>SUMIF(Tabella2[Funzioni],'Tab. 10'!$B26,Tabella2[RAL])</f>
        <v>144280.19</v>
      </c>
      <c r="E26" s="100">
        <f>SUMIF(Tabella2[Funzioni],'Tab. 10'!$B26,Tabella2[Contributi])</f>
        <v>34353.113238999998</v>
      </c>
      <c r="F26" s="100">
        <f>SUMIF(Tabella2[Funzioni],'Tab. 10'!$B26,Tabella2[13ma])</f>
        <v>12023.349166666667</v>
      </c>
      <c r="G26" s="100">
        <f>SUMIF(Tabella2[Funzioni],'Tab. 10'!$B26,Tabella2[Contributi 13ma])</f>
        <v>2862.7594365833334</v>
      </c>
      <c r="H26" s="100">
        <f>SUMIF(Tabella2[Funzioni],'Tab. 10'!$B26,Tabella2[14ma])</f>
        <v>12023.349166666667</v>
      </c>
      <c r="I26" s="100">
        <f>SUMIF(Tabella2[Funzioni],'Tab. 10'!$B26,Tabella2[Contributi 14m])</f>
        <v>2862.7594365833334</v>
      </c>
      <c r="J26" s="100">
        <f>SUMIF(Tabella2[Funzioni],'Tab. 10'!$B26,Tabella2[TFR])</f>
        <v>10687.42148148148</v>
      </c>
      <c r="K26" s="439">
        <f>SUM(D26:J26)</f>
        <v>219092.94192698147</v>
      </c>
      <c r="L26" s="440">
        <f>K26/C26</f>
        <v>27386.617740872683</v>
      </c>
    </row>
    <row r="27" spans="2:12" x14ac:dyDescent="0.2">
      <c r="B27" s="438" t="s">
        <v>662</v>
      </c>
      <c r="C27" s="16">
        <f>COUNTIF(Tabella2[Funzioni],'Tab. 10'!B27)</f>
        <v>3</v>
      </c>
      <c r="D27" s="100">
        <f>SUMIF(Tabella2[Funzioni],'Tab. 10'!$B27,Tabella2[RAL])</f>
        <v>28643.190000000002</v>
      </c>
      <c r="E27" s="100">
        <f>SUMIF(Tabella2[Funzioni],'Tab. 10'!$B27,Tabella2[Contributi])</f>
        <v>6819.9435389999999</v>
      </c>
      <c r="F27" s="100">
        <f>SUMIF(Tabella2[Funzioni],'Tab. 10'!$B27,Tabella2[13ma])</f>
        <v>2386.9325000000003</v>
      </c>
      <c r="G27" s="100">
        <f>SUMIF(Tabella2[Funzioni],'Tab. 10'!$B27,Tabella2[Contributi 13ma])</f>
        <v>568.32862825000007</v>
      </c>
      <c r="H27" s="100">
        <f>SUMIF(Tabella2[Funzioni],'Tab. 10'!$B27,Tabella2[14ma])</f>
        <v>2386.9325000000003</v>
      </c>
      <c r="I27" s="100">
        <f>SUMIF(Tabella2[Funzioni],'Tab. 10'!$B27,Tabella2[Contributi 14m])</f>
        <v>568.32862825000007</v>
      </c>
      <c r="J27" s="100">
        <f>SUMIF(Tabella2[Funzioni],'Tab. 10'!$B27,Tabella2[TFR])</f>
        <v>2121.7177777777779</v>
      </c>
      <c r="K27" s="439">
        <f>SUM(D27:J27)</f>
        <v>43495.373573277779</v>
      </c>
      <c r="L27" s="440">
        <f>K27/C27</f>
        <v>14498.45785775926</v>
      </c>
    </row>
    <row r="28" spans="2:12" x14ac:dyDescent="0.2">
      <c r="B28" s="438" t="s">
        <v>663</v>
      </c>
      <c r="C28" s="16">
        <f>COUNTIF(Tabella2[Funzioni],'Tab. 10'!B28)</f>
        <v>30</v>
      </c>
      <c r="D28" s="100">
        <f>SUMIF(Tabella2[Funzioni],'Tab. 10'!$B28,Tabella2[RAL])</f>
        <v>497436.59999999963</v>
      </c>
      <c r="E28" s="100">
        <f>SUMIF(Tabella2[Funzioni],'Tab. 10'!$B28,Tabella2[Contributi])</f>
        <v>118439.65446000001</v>
      </c>
      <c r="F28" s="100">
        <f>SUMIF(Tabella2[Funzioni],'Tab. 10'!$B28,Tabella2[13ma])</f>
        <v>41453.050000000003</v>
      </c>
      <c r="G28" s="100">
        <f>SUMIF(Tabella2[Funzioni],'Tab. 10'!$B28,Tabella2[Contributi 13ma])</f>
        <v>9869.9712050000016</v>
      </c>
      <c r="H28" s="100">
        <f>SUMIF(Tabella2[Funzioni],'Tab. 10'!$B28,Tabella2[14ma])</f>
        <v>41453.050000000003</v>
      </c>
      <c r="I28" s="100">
        <f>SUMIF(Tabella2[Funzioni],'Tab. 10'!$B28,Tabella2[Contributi 14m])</f>
        <v>9869.9712050000016</v>
      </c>
      <c r="J28" s="100">
        <f>SUMIF(Tabella2[Funzioni],'Tab. 10'!$B28,Tabella2[TFR])</f>
        <v>36847.155555555575</v>
      </c>
      <c r="K28" s="439">
        <f>SUM(D28:J28)</f>
        <v>755369.45242555521</v>
      </c>
      <c r="L28" s="440">
        <f>K28/C28</f>
        <v>25178.981747518508</v>
      </c>
    </row>
    <row r="29" spans="2:12" x14ac:dyDescent="0.2">
      <c r="B29" s="435" t="s">
        <v>427</v>
      </c>
      <c r="C29" s="84">
        <f t="shared" ref="C29:K29" si="8">SUM(C25:C28)</f>
        <v>42</v>
      </c>
      <c r="D29" s="92">
        <f t="shared" si="8"/>
        <v>740437.30999999959</v>
      </c>
      <c r="E29" s="92">
        <f t="shared" si="8"/>
        <v>176298.12351100001</v>
      </c>
      <c r="F29" s="92">
        <f t="shared" si="8"/>
        <v>61703.109166666669</v>
      </c>
      <c r="G29" s="92">
        <f t="shared" si="8"/>
        <v>14691.510292583334</v>
      </c>
      <c r="H29" s="92">
        <f t="shared" si="8"/>
        <v>61703.109166666669</v>
      </c>
      <c r="I29" s="92">
        <f t="shared" si="8"/>
        <v>14691.510292583334</v>
      </c>
      <c r="J29" s="92">
        <f t="shared" si="8"/>
        <v>54847.208148148165</v>
      </c>
      <c r="K29" s="436">
        <f t="shared" si="8"/>
        <v>1124371.8805776478</v>
      </c>
      <c r="L29" s="437">
        <f>K29/C29</f>
        <v>26770.759061372566</v>
      </c>
    </row>
    <row r="30" spans="2:12" x14ac:dyDescent="0.2">
      <c r="B30" s="438"/>
      <c r="K30" s="441"/>
      <c r="L30" s="442"/>
    </row>
    <row r="31" spans="2:12" x14ac:dyDescent="0.2">
      <c r="B31" s="438" t="s">
        <v>470</v>
      </c>
      <c r="C31" s="16">
        <f>COUNTIF(Tabella2[Funzioni],'Tab. 10'!B31)</f>
        <v>1</v>
      </c>
      <c r="D31" s="100">
        <f>SUMIF(Tabella2[Funzioni],'Tab. 10'!$B31,Tabella2[RAL])</f>
        <v>55554.31</v>
      </c>
      <c r="E31" s="100">
        <f>SUMIF(Tabella2[Funzioni],'Tab. 10'!$B31,Tabella2[Contributi])</f>
        <v>13227.481211</v>
      </c>
      <c r="F31" s="100">
        <f>SUMIF(Tabella2[Funzioni],'Tab. 10'!$B31,Tabella2[13ma])</f>
        <v>4629.5258333333331</v>
      </c>
      <c r="G31" s="100">
        <f>SUMIF(Tabella2[Funzioni],'Tab. 10'!$B31,Tabella2[Contributi 13ma])</f>
        <v>1102.2901009166667</v>
      </c>
      <c r="H31" s="100">
        <f>SUMIF(Tabella2[Funzioni],'Tab. 10'!$B31,Tabella2[14ma])</f>
        <v>4629.5258333333331</v>
      </c>
      <c r="I31" s="100">
        <f>SUMIF(Tabella2[Funzioni],'Tab. 10'!$B31,Tabella2[Contributi 14m])</f>
        <v>1102.2901009166667</v>
      </c>
      <c r="J31" s="100">
        <f>SUMIF(Tabella2[Funzioni],'Tab. 10'!$B31,Tabella2[TFR])</f>
        <v>4115.1340740740743</v>
      </c>
      <c r="K31" s="439">
        <f>SUM(D31:J31)</f>
        <v>84360.557153574075</v>
      </c>
      <c r="L31" s="440">
        <f t="shared" ref="L31:L36" si="9">K31/C31</f>
        <v>84360.557153574075</v>
      </c>
    </row>
    <row r="32" spans="2:12" x14ac:dyDescent="0.2">
      <c r="B32" s="438" t="s">
        <v>665</v>
      </c>
      <c r="C32" s="16">
        <f>COUNTIF(Tabella2[Funzioni],'Tab. 10'!B32)</f>
        <v>1</v>
      </c>
      <c r="D32" s="100">
        <f>SUMIF(Tabella2[Funzioni],'Tab. 10'!$B32,Tabella2[RAL])</f>
        <v>22180.16</v>
      </c>
      <c r="E32" s="100">
        <f>SUMIF(Tabella2[Funzioni],'Tab. 10'!$B32,Tabella2[Contributi])</f>
        <v>5281.0960960000002</v>
      </c>
      <c r="F32" s="100">
        <f>SUMIF(Tabella2[Funzioni],'Tab. 10'!$B32,Tabella2[13ma])</f>
        <v>1848.3466666666666</v>
      </c>
      <c r="G32" s="100">
        <f>SUMIF(Tabella2[Funzioni],'Tab. 10'!$B32,Tabella2[Contributi 13ma])</f>
        <v>440.09134133333333</v>
      </c>
      <c r="H32" s="100">
        <f>SUMIF(Tabella2[Funzioni],'Tab. 10'!$B32,Tabella2[14ma])</f>
        <v>1848.3466666666666</v>
      </c>
      <c r="I32" s="100">
        <f>SUMIF(Tabella2[Funzioni],'Tab. 10'!$B32,Tabella2[Contributi 14m])</f>
        <v>440.09134133333333</v>
      </c>
      <c r="J32" s="100">
        <f>SUMIF(Tabella2[Funzioni],'Tab. 10'!$B32,Tabella2[TFR])</f>
        <v>1642.9748148148149</v>
      </c>
      <c r="K32" s="439">
        <f>SUM(D32:J32)</f>
        <v>33681.10692681482</v>
      </c>
      <c r="L32" s="440">
        <f t="shared" si="9"/>
        <v>33681.10692681482</v>
      </c>
    </row>
    <row r="33" spans="2:15" x14ac:dyDescent="0.2">
      <c r="B33" s="438" t="s">
        <v>472</v>
      </c>
      <c r="C33" s="16">
        <f>COUNTIF(Tabella2[Funzioni],'Tab. 10'!B33)</f>
        <v>1</v>
      </c>
      <c r="D33" s="100">
        <f>SUMIF(Tabella2[Funzioni],'Tab. 10'!$B33,Tabella2[RAL])</f>
        <v>17781.22</v>
      </c>
      <c r="E33" s="100">
        <f>SUMIF(Tabella2[Funzioni],'Tab. 10'!$B33,Tabella2[Contributi])</f>
        <v>4233.708482</v>
      </c>
      <c r="F33" s="100">
        <f>SUMIF(Tabella2[Funzioni],'Tab. 10'!$B33,Tabella2[13ma])</f>
        <v>1481.7683333333334</v>
      </c>
      <c r="G33" s="100">
        <f>SUMIF(Tabella2[Funzioni],'Tab. 10'!$B33,Tabella2[Contributi 13ma])</f>
        <v>352.8090401666667</v>
      </c>
      <c r="H33" s="100">
        <f>SUMIF(Tabella2[Funzioni],'Tab. 10'!$B33,Tabella2[14ma])</f>
        <v>1481.7683333333334</v>
      </c>
      <c r="I33" s="100">
        <f>SUMIF(Tabella2[Funzioni],'Tab. 10'!$B33,Tabella2[Contributi 14m])</f>
        <v>352.8090401666667</v>
      </c>
      <c r="J33" s="100">
        <f>SUMIF(Tabella2[Funzioni],'Tab. 10'!$B33,Tabella2[TFR])</f>
        <v>1317.1274074074074</v>
      </c>
      <c r="K33" s="439">
        <f>SUM(D33:J33)</f>
        <v>27001.21063640741</v>
      </c>
      <c r="L33" s="440">
        <f t="shared" si="9"/>
        <v>27001.21063640741</v>
      </c>
    </row>
    <row r="34" spans="2:15" x14ac:dyDescent="0.2">
      <c r="B34" s="438" t="s">
        <v>471</v>
      </c>
      <c r="C34" s="16">
        <f>COUNTIF(Tabella2[Funzioni],'Tab. 10'!B34)</f>
        <v>1</v>
      </c>
      <c r="D34" s="100">
        <f>SUMIF(Tabella2[Funzioni],'Tab. 10'!$B34,Tabella2[RAL])</f>
        <v>12388.59</v>
      </c>
      <c r="E34" s="100">
        <f>SUMIF(Tabella2[Funzioni],'Tab. 10'!$B34,Tabella2[Contributi])</f>
        <v>2949.7232790000003</v>
      </c>
      <c r="F34" s="100">
        <f>SUMIF(Tabella2[Funzioni],'Tab. 10'!$B34,Tabella2[13ma])</f>
        <v>1032.3824999999999</v>
      </c>
      <c r="G34" s="100">
        <f>SUMIF(Tabella2[Funzioni],'Tab. 10'!$B34,Tabella2[Contributi 13ma])</f>
        <v>245.81027324999999</v>
      </c>
      <c r="H34" s="100">
        <f>SUMIF(Tabella2[Funzioni],'Tab. 10'!$B34,Tabella2[14ma])</f>
        <v>1032.3824999999999</v>
      </c>
      <c r="I34" s="100">
        <f>SUMIF(Tabella2[Funzioni],'Tab. 10'!$B34,Tabella2[Contributi 14m])</f>
        <v>245.81027324999999</v>
      </c>
      <c r="J34" s="100">
        <f>SUMIF(Tabella2[Funzioni],'Tab. 10'!$B34,Tabella2[TFR])</f>
        <v>917.67333333333329</v>
      </c>
      <c r="K34" s="439">
        <f>SUM(D34:J34)</f>
        <v>18812.372158833332</v>
      </c>
      <c r="L34" s="440">
        <f t="shared" si="9"/>
        <v>18812.372158833332</v>
      </c>
    </row>
    <row r="35" spans="2:15" x14ac:dyDescent="0.2">
      <c r="B35" s="438" t="s">
        <v>666</v>
      </c>
      <c r="C35" s="16">
        <f>COUNTIF(Tabella2[Funzioni],'Tab. 10'!B35)</f>
        <v>2</v>
      </c>
      <c r="D35" s="100">
        <f>SUMIF(Tabella2[Funzioni],'Tab. 10'!$B35,Tabella2[RAL])</f>
        <v>38720.009999999995</v>
      </c>
      <c r="E35" s="100">
        <f>SUMIF(Tabella2[Funzioni],'Tab. 10'!$B35,Tabella2[Contributi])</f>
        <v>9219.2343810000002</v>
      </c>
      <c r="F35" s="100">
        <f>SUMIF(Tabella2[Funzioni],'Tab. 10'!$B35,Tabella2[13ma])</f>
        <v>3226.6675</v>
      </c>
      <c r="G35" s="100">
        <f>SUMIF(Tabella2[Funzioni],'Tab. 10'!$B35,Tabella2[Contributi 13ma])</f>
        <v>768.26953174999994</v>
      </c>
      <c r="H35" s="100">
        <f>SUMIF(Tabella2[Funzioni],'Tab. 10'!$B35,Tabella2[14ma])</f>
        <v>3226.6675</v>
      </c>
      <c r="I35" s="100">
        <f>SUMIF(Tabella2[Funzioni],'Tab. 10'!$B35,Tabella2[Contributi 14m])</f>
        <v>768.26953174999994</v>
      </c>
      <c r="J35" s="100">
        <f>SUMIF(Tabella2[Funzioni],'Tab. 10'!$B35,Tabella2[TFR])</f>
        <v>2868.1488888888889</v>
      </c>
      <c r="K35" s="439">
        <f>SUM(D35:J35)</f>
        <v>58797.267333388882</v>
      </c>
      <c r="L35" s="440">
        <f t="shared" si="9"/>
        <v>29398.633666694441</v>
      </c>
    </row>
    <row r="36" spans="2:15" x14ac:dyDescent="0.2">
      <c r="B36" s="435" t="s">
        <v>675</v>
      </c>
      <c r="C36" s="84">
        <f t="shared" ref="C36:K36" si="10">SUM(C31:C35)</f>
        <v>6</v>
      </c>
      <c r="D36" s="92">
        <f t="shared" si="10"/>
        <v>146624.28999999998</v>
      </c>
      <c r="E36" s="92">
        <f t="shared" si="10"/>
        <v>34911.243449000001</v>
      </c>
      <c r="F36" s="92">
        <f t="shared" si="10"/>
        <v>12218.690833333332</v>
      </c>
      <c r="G36" s="92">
        <f t="shared" si="10"/>
        <v>2909.2702874166671</v>
      </c>
      <c r="H36" s="92">
        <f t="shared" si="10"/>
        <v>12218.690833333332</v>
      </c>
      <c r="I36" s="92">
        <f t="shared" si="10"/>
        <v>2909.2702874166671</v>
      </c>
      <c r="J36" s="92">
        <f t="shared" si="10"/>
        <v>10861.058518518519</v>
      </c>
      <c r="K36" s="436">
        <f t="shared" si="10"/>
        <v>222652.51420901853</v>
      </c>
      <c r="L36" s="437">
        <f t="shared" si="9"/>
        <v>37108.752368169757</v>
      </c>
    </row>
    <row r="37" spans="2:15" x14ac:dyDescent="0.2">
      <c r="B37" s="438"/>
      <c r="J37" s="85"/>
      <c r="K37" s="85"/>
      <c r="L37" s="443"/>
    </row>
    <row r="38" spans="2:15" ht="17" thickBot="1" x14ac:dyDescent="0.25">
      <c r="B38" s="444" t="s">
        <v>676</v>
      </c>
      <c r="C38" s="445">
        <f>C6+C11+C23+C29+C36+C14</f>
        <v>185</v>
      </c>
      <c r="D38" s="446">
        <f t="shared" ref="D38:K38" si="11">D6+D11+D23+D29+D36+D14</f>
        <v>3258955.9800000032</v>
      </c>
      <c r="E38" s="446">
        <f t="shared" si="11"/>
        <v>775957.41883799923</v>
      </c>
      <c r="F38" s="446">
        <f t="shared" si="11"/>
        <v>271579.6649999998</v>
      </c>
      <c r="G38" s="446">
        <f t="shared" si="11"/>
        <v>64663.118236500042</v>
      </c>
      <c r="H38" s="446">
        <f t="shared" si="11"/>
        <v>271579.6649999998</v>
      </c>
      <c r="I38" s="446">
        <f t="shared" si="11"/>
        <v>64663.118236500042</v>
      </c>
      <c r="J38" s="446">
        <f t="shared" si="11"/>
        <v>241404.14666666707</v>
      </c>
      <c r="K38" s="447">
        <f t="shared" si="11"/>
        <v>4948803.1119776694</v>
      </c>
      <c r="L38" s="448">
        <f>K38/C38</f>
        <v>26750.287091771184</v>
      </c>
      <c r="N38" s="3" t="s">
        <v>68</v>
      </c>
      <c r="O38" s="103">
        <f>K38-Tabella2[[#Totals],[Costo totale]]</f>
        <v>0</v>
      </c>
    </row>
    <row r="41" spans="2:15" x14ac:dyDescent="0.2">
      <c r="K41" s="73"/>
      <c r="L41" s="73"/>
    </row>
    <row r="42" spans="2:15" ht="17" thickBot="1" x14ac:dyDescent="0.25"/>
    <row r="43" spans="2:15" x14ac:dyDescent="0.2">
      <c r="B43" s="449" t="s">
        <v>80</v>
      </c>
      <c r="C43" s="1056" t="s">
        <v>196</v>
      </c>
      <c r="D43" s="1044"/>
      <c r="E43" s="1044"/>
      <c r="F43" s="1044"/>
      <c r="G43" s="1044"/>
      <c r="H43" s="1044"/>
      <c r="I43" s="1044"/>
      <c r="J43" s="1044"/>
      <c r="K43" s="1044"/>
      <c r="L43" s="1044"/>
      <c r="M43" s="1045"/>
    </row>
    <row r="44" spans="2:15" x14ac:dyDescent="0.2">
      <c r="B44" s="146"/>
      <c r="C44" s="419" t="s">
        <v>669</v>
      </c>
      <c r="D44" s="420" t="s">
        <v>679</v>
      </c>
      <c r="E44" s="420" t="s">
        <v>281</v>
      </c>
      <c r="F44" s="420" t="s">
        <v>670</v>
      </c>
      <c r="G44" s="420" t="s">
        <v>77</v>
      </c>
      <c r="H44" s="420" t="s">
        <v>282</v>
      </c>
      <c r="I44" s="420" t="s">
        <v>78</v>
      </c>
      <c r="J44" s="420" t="s">
        <v>671</v>
      </c>
      <c r="K44" s="142" t="s">
        <v>81</v>
      </c>
      <c r="L44" s="433" t="s">
        <v>284</v>
      </c>
      <c r="M44" s="434" t="s">
        <v>677</v>
      </c>
    </row>
    <row r="45" spans="2:15" x14ac:dyDescent="0.2">
      <c r="B45" s="435" t="s">
        <v>665</v>
      </c>
      <c r="C45" s="84">
        <f>COUNTIF(Tabella2[Funzioni],'Tab. 10'!B45)</f>
        <v>1</v>
      </c>
      <c r="D45" s="84" t="s">
        <v>213</v>
      </c>
      <c r="E45" s="450">
        <v>20000</v>
      </c>
      <c r="F45" s="451">
        <f>E45*'All. 4'!$E$4</f>
        <v>4762</v>
      </c>
      <c r="G45" s="451">
        <f>E45/12</f>
        <v>1666.6666666666667</v>
      </c>
      <c r="H45" s="451">
        <f>G45*'All. 4'!$E$4</f>
        <v>396.83333333333337</v>
      </c>
      <c r="I45" s="451">
        <f>E45/12</f>
        <v>1666.6666666666667</v>
      </c>
      <c r="J45" s="451">
        <f>I45*'All. 4'!$E$4</f>
        <v>396.83333333333337</v>
      </c>
      <c r="K45" s="451">
        <f>E45/13.5</f>
        <v>1481.4814814814815</v>
      </c>
      <c r="L45" s="452">
        <f>SUM(E45:K45)</f>
        <v>30370.481481481482</v>
      </c>
      <c r="M45" s="453">
        <f>L45/C45</f>
        <v>30370.481481481482</v>
      </c>
    </row>
    <row r="49" spans="5:12" x14ac:dyDescent="0.2">
      <c r="E49" s="69"/>
      <c r="F49" s="69"/>
      <c r="G49" s="69"/>
      <c r="H49" s="69"/>
      <c r="I49" s="69"/>
      <c r="J49" s="69"/>
      <c r="K49" s="69"/>
      <c r="L49" s="69"/>
    </row>
    <row r="50" spans="5:12" x14ac:dyDescent="0.2">
      <c r="E50" s="74"/>
      <c r="F50" s="74"/>
      <c r="G50" s="74"/>
      <c r="H50" s="74"/>
    </row>
  </sheetData>
  <mergeCells count="2">
    <mergeCell ref="C4:L4"/>
    <mergeCell ref="C43:M43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737F-73BB-C44B-8002-B5EE716F6FFE}">
  <sheetPr codeName="Foglio18"/>
  <dimension ref="B2:Q101"/>
  <sheetViews>
    <sheetView showGridLines="0" topLeftCell="A68" zoomScale="150" zoomScaleNormal="150" workbookViewId="0">
      <selection activeCell="N93" sqref="N93"/>
    </sheetView>
  </sheetViews>
  <sheetFormatPr baseColWidth="10" defaultRowHeight="13" outlineLevelRow="1" x14ac:dyDescent="0.15"/>
  <cols>
    <col min="2" max="2" width="20" customWidth="1"/>
    <col min="3" max="14" width="12.1640625" bestFit="1" customWidth="1"/>
    <col min="15" max="15" width="12.6640625" customWidth="1"/>
    <col min="16" max="16" width="2" customWidth="1"/>
    <col min="17" max="17" width="12.5" customWidth="1"/>
  </cols>
  <sheetData>
    <row r="2" spans="2:17" x14ac:dyDescent="0.15">
      <c r="B2" s="432" t="s">
        <v>685</v>
      </c>
    </row>
    <row r="3" spans="2:17" ht="14" thickBot="1" x14ac:dyDescent="0.2"/>
    <row r="4" spans="2:17" s="3" customFormat="1" ht="17" thickBot="1" x14ac:dyDescent="0.25">
      <c r="B4" s="330"/>
      <c r="C4" s="1076" t="s">
        <v>196</v>
      </c>
      <c r="D4" s="1034"/>
      <c r="E4" s="1034"/>
      <c r="F4" s="1034"/>
      <c r="G4" s="1034"/>
      <c r="H4" s="1034"/>
      <c r="I4" s="1034"/>
      <c r="J4" s="1034"/>
      <c r="K4" s="1034"/>
      <c r="L4" s="1034"/>
      <c r="M4" s="1034"/>
      <c r="N4" s="1034"/>
      <c r="O4" s="1035"/>
    </row>
    <row r="5" spans="2:17" s="3" customFormat="1" ht="16" x14ac:dyDescent="0.2">
      <c r="B5" s="230"/>
      <c r="C5" s="337" t="s">
        <v>211</v>
      </c>
      <c r="D5" s="337" t="s">
        <v>212</v>
      </c>
      <c r="E5" s="337" t="s">
        <v>213</v>
      </c>
      <c r="F5" s="337" t="s">
        <v>214</v>
      </c>
      <c r="G5" s="337" t="s">
        <v>215</v>
      </c>
      <c r="H5" s="337" t="s">
        <v>216</v>
      </c>
      <c r="I5" s="337" t="s">
        <v>217</v>
      </c>
      <c r="J5" s="337" t="s">
        <v>218</v>
      </c>
      <c r="K5" s="337" t="s">
        <v>219</v>
      </c>
      <c r="L5" s="337" t="s">
        <v>220</v>
      </c>
      <c r="M5" s="337" t="s">
        <v>221</v>
      </c>
      <c r="N5" s="337" t="s">
        <v>222</v>
      </c>
      <c r="O5" s="342" t="s">
        <v>179</v>
      </c>
      <c r="Q5" s="853" t="s">
        <v>690</v>
      </c>
    </row>
    <row r="6" spans="2:17" s="3" customFormat="1" ht="16" x14ac:dyDescent="0.2">
      <c r="B6" s="285" t="s">
        <v>680</v>
      </c>
      <c r="C6" s="195">
        <v>20</v>
      </c>
      <c r="D6" s="195">
        <v>20</v>
      </c>
      <c r="E6" s="195">
        <v>23</v>
      </c>
      <c r="F6" s="195">
        <v>21</v>
      </c>
      <c r="G6" s="195">
        <v>21</v>
      </c>
      <c r="H6" s="195">
        <v>22</v>
      </c>
      <c r="I6" s="195">
        <v>22</v>
      </c>
      <c r="J6" s="195">
        <v>22</v>
      </c>
      <c r="K6" s="195">
        <v>22</v>
      </c>
      <c r="L6" s="195">
        <v>21</v>
      </c>
      <c r="M6" s="195">
        <v>21</v>
      </c>
      <c r="N6" s="195">
        <v>24</v>
      </c>
      <c r="O6" s="338">
        <f>SUM(C6:N6)</f>
        <v>259</v>
      </c>
      <c r="Q6" s="854"/>
    </row>
    <row r="7" spans="2:17" s="3" customFormat="1" ht="16" x14ac:dyDescent="0.2">
      <c r="B7" s="469" t="s">
        <v>688</v>
      </c>
      <c r="C7" s="195">
        <v>2</v>
      </c>
      <c r="D7" s="195">
        <v>0</v>
      </c>
      <c r="E7" s="195">
        <v>0</v>
      </c>
      <c r="F7" s="195">
        <v>0</v>
      </c>
      <c r="G7" s="195">
        <v>0</v>
      </c>
      <c r="H7" s="195">
        <v>0</v>
      </c>
      <c r="I7" s="195">
        <v>0</v>
      </c>
      <c r="J7" s="195">
        <v>10</v>
      </c>
      <c r="K7" s="195">
        <v>0</v>
      </c>
      <c r="L7" s="195">
        <v>0</v>
      </c>
      <c r="M7" s="195">
        <v>0</v>
      </c>
      <c r="N7" s="195">
        <v>12</v>
      </c>
      <c r="O7" s="338">
        <f>SUM(C7:N7)</f>
        <v>24</v>
      </c>
      <c r="Q7" s="854"/>
    </row>
    <row r="8" spans="2:17" s="3" customFormat="1" ht="16" x14ac:dyDescent="0.2">
      <c r="B8" s="469" t="s">
        <v>1362</v>
      </c>
      <c r="C8" s="964">
        <f>(C6-C7)*'All. 11'!$F$9</f>
        <v>1.0723404255319149</v>
      </c>
      <c r="D8" s="964">
        <f>(D6-D7)*'All. 11'!$F$9</f>
        <v>1.1914893617021276</v>
      </c>
      <c r="E8" s="964">
        <f>(E6-E7)*'All. 11'!$F$9</f>
        <v>1.3702127659574468</v>
      </c>
      <c r="F8" s="964">
        <f>(F6-F7)*'All. 11'!$F$9</f>
        <v>1.2510638297872341</v>
      </c>
      <c r="G8" s="964">
        <f>(G6-G7)*'All. 11'!$F$9</f>
        <v>1.2510638297872341</v>
      </c>
      <c r="H8" s="964">
        <f>(H6-H7)*'All. 11'!$F$9</f>
        <v>1.3106382978723405</v>
      </c>
      <c r="I8" s="964">
        <f>(I6-I7)*'All. 11'!$F$9</f>
        <v>1.3106382978723405</v>
      </c>
      <c r="J8" s="964">
        <f>(J6-J7)*'All. 11'!$F$9</f>
        <v>0.71489361702127663</v>
      </c>
      <c r="K8" s="964">
        <f>(K6-K7)*'All. 11'!$F$9</f>
        <v>1.3106382978723405</v>
      </c>
      <c r="L8" s="964">
        <f>(L6-L7)*'All. 11'!$F$9</f>
        <v>1.2510638297872341</v>
      </c>
      <c r="M8" s="964">
        <f>(M6-M7)*'All. 11'!$F$9</f>
        <v>1.2510638297872341</v>
      </c>
      <c r="N8" s="964">
        <f>(N6-N7)*'All. 11'!$F$9</f>
        <v>0.71489361702127663</v>
      </c>
      <c r="O8" s="338">
        <f>SUM(C8:N8)</f>
        <v>14.000000000000004</v>
      </c>
      <c r="Q8" s="854"/>
    </row>
    <row r="9" spans="2:17" s="3" customFormat="1" ht="17" thickBot="1" x14ac:dyDescent="0.25">
      <c r="B9" s="469" t="s">
        <v>1363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338"/>
      <c r="Q9" s="854"/>
    </row>
    <row r="10" spans="2:17" s="3" customFormat="1" ht="17" thickBot="1" x14ac:dyDescent="0.25">
      <c r="B10" s="470" t="s">
        <v>689</v>
      </c>
      <c r="C10" s="965">
        <f>C6-C7-C8</f>
        <v>16.927659574468084</v>
      </c>
      <c r="D10" s="965">
        <f t="shared" ref="D10:O10" si="0">D6-D7-D8</f>
        <v>18.808510638297872</v>
      </c>
      <c r="E10" s="965">
        <f t="shared" si="0"/>
        <v>21.629787234042553</v>
      </c>
      <c r="F10" s="965">
        <f t="shared" si="0"/>
        <v>19.748936170212765</v>
      </c>
      <c r="G10" s="965">
        <f t="shared" si="0"/>
        <v>19.748936170212765</v>
      </c>
      <c r="H10" s="965">
        <f t="shared" si="0"/>
        <v>20.689361702127659</v>
      </c>
      <c r="I10" s="965">
        <f t="shared" si="0"/>
        <v>20.689361702127659</v>
      </c>
      <c r="J10" s="965">
        <f t="shared" si="0"/>
        <v>11.285106382978723</v>
      </c>
      <c r="K10" s="965">
        <f t="shared" si="0"/>
        <v>20.689361702127659</v>
      </c>
      <c r="L10" s="965">
        <f t="shared" si="0"/>
        <v>19.748936170212765</v>
      </c>
      <c r="M10" s="965">
        <f t="shared" si="0"/>
        <v>19.748936170212765</v>
      </c>
      <c r="N10" s="965">
        <f t="shared" si="0"/>
        <v>11.285106382978723</v>
      </c>
      <c r="O10" s="966">
        <f t="shared" si="0"/>
        <v>221</v>
      </c>
      <c r="Q10" s="855"/>
    </row>
    <row r="11" spans="2:17" s="3" customFormat="1" ht="16" x14ac:dyDescent="0.2">
      <c r="B11" s="438"/>
      <c r="C11" s="16"/>
      <c r="O11" s="464"/>
      <c r="Q11" s="819"/>
    </row>
    <row r="12" spans="2:17" s="3" customFormat="1" ht="16" x14ac:dyDescent="0.2">
      <c r="B12" s="454" t="s">
        <v>474</v>
      </c>
      <c r="C12" s="16"/>
      <c r="O12" s="464"/>
      <c r="Q12" s="819"/>
    </row>
    <row r="13" spans="2:17" s="3" customFormat="1" ht="16" x14ac:dyDescent="0.2">
      <c r="B13" s="438" t="s">
        <v>681</v>
      </c>
      <c r="C13" s="471">
        <f>+$O13/$O$10*C$10</f>
        <v>8087.2337872340422</v>
      </c>
      <c r="D13" s="471">
        <f t="shared" ref="D13:M13" si="1">+$O13/$O$10*D$10</f>
        <v>8985.8153191489364</v>
      </c>
      <c r="E13" s="471">
        <f t="shared" si="1"/>
        <v>10333.687617021276</v>
      </c>
      <c r="F13" s="471">
        <f t="shared" si="1"/>
        <v>9435.106085106383</v>
      </c>
      <c r="G13" s="471">
        <f t="shared" si="1"/>
        <v>9435.106085106383</v>
      </c>
      <c r="H13" s="471">
        <f t="shared" si="1"/>
        <v>9884.3968510638297</v>
      </c>
      <c r="I13" s="471">
        <f t="shared" si="1"/>
        <v>9884.3968510638297</v>
      </c>
      <c r="J13" s="471">
        <f t="shared" si="1"/>
        <v>5391.4891914893615</v>
      </c>
      <c r="K13" s="471">
        <f t="shared" si="1"/>
        <v>9884.3968510638297</v>
      </c>
      <c r="L13" s="471">
        <f t="shared" si="1"/>
        <v>9435.106085106383</v>
      </c>
      <c r="M13" s="471">
        <f t="shared" si="1"/>
        <v>9435.106085106383</v>
      </c>
      <c r="N13" s="471">
        <f>+$O13/$O$10*N$10</f>
        <v>5391.4891914893615</v>
      </c>
      <c r="O13" s="465">
        <f>SUMIF('Tab. 10'!$B$6:$B$38,B12,'Tab. 10'!$D$6:$D$38)</f>
        <v>105583.33</v>
      </c>
      <c r="Q13" s="856">
        <f>O13/$O$6*$O$7</f>
        <v>9783.7834749034755</v>
      </c>
    </row>
    <row r="14" spans="2:17" s="3" customFormat="1" ht="16" x14ac:dyDescent="0.2">
      <c r="B14" s="438" t="s">
        <v>77</v>
      </c>
      <c r="C14" s="471">
        <f t="shared" ref="C14:N19" si="2">+$O14/$O$10*C$10</f>
        <v>673.93614893617018</v>
      </c>
      <c r="D14" s="471">
        <f t="shared" si="2"/>
        <v>748.8179432624114</v>
      </c>
      <c r="E14" s="471">
        <f t="shared" si="2"/>
        <v>861.14063475177318</v>
      </c>
      <c r="F14" s="471">
        <f t="shared" si="2"/>
        <v>786.25884042553196</v>
      </c>
      <c r="G14" s="471">
        <f t="shared" si="2"/>
        <v>786.25884042553196</v>
      </c>
      <c r="H14" s="471">
        <f t="shared" si="2"/>
        <v>823.69973758865251</v>
      </c>
      <c r="I14" s="471">
        <f t="shared" si="2"/>
        <v>823.69973758865251</v>
      </c>
      <c r="J14" s="471">
        <f t="shared" si="2"/>
        <v>449.29076595744687</v>
      </c>
      <c r="K14" s="471">
        <f t="shared" si="2"/>
        <v>823.69973758865251</v>
      </c>
      <c r="L14" s="471">
        <f t="shared" si="2"/>
        <v>786.25884042553196</v>
      </c>
      <c r="M14" s="471">
        <f t="shared" si="2"/>
        <v>786.25884042553196</v>
      </c>
      <c r="N14" s="471">
        <f t="shared" si="2"/>
        <v>449.29076595744687</v>
      </c>
      <c r="O14" s="465">
        <f>SUMIF('Tab. 10'!$B$6:$B$38,B12,'Tab. 10'!$F$6:$F$38)</f>
        <v>8798.6108333333341</v>
      </c>
      <c r="Q14" s="856">
        <f t="shared" ref="Q14:Q19" si="3">O14/$O$6*$O$7</f>
        <v>815.31528957528963</v>
      </c>
    </row>
    <row r="15" spans="2:17" s="3" customFormat="1" ht="16" x14ac:dyDescent="0.2">
      <c r="B15" s="438" t="s">
        <v>78</v>
      </c>
      <c r="C15" s="471">
        <f t="shared" si="2"/>
        <v>673.93614893617018</v>
      </c>
      <c r="D15" s="471">
        <f t="shared" si="2"/>
        <v>748.8179432624114</v>
      </c>
      <c r="E15" s="471">
        <f t="shared" si="2"/>
        <v>861.14063475177318</v>
      </c>
      <c r="F15" s="471">
        <f t="shared" si="2"/>
        <v>786.25884042553196</v>
      </c>
      <c r="G15" s="471">
        <f t="shared" si="2"/>
        <v>786.25884042553196</v>
      </c>
      <c r="H15" s="471">
        <f t="shared" si="2"/>
        <v>823.69973758865251</v>
      </c>
      <c r="I15" s="471">
        <f t="shared" si="2"/>
        <v>823.69973758865251</v>
      </c>
      <c r="J15" s="471">
        <f t="shared" si="2"/>
        <v>449.29076595744687</v>
      </c>
      <c r="K15" s="471">
        <f t="shared" si="2"/>
        <v>823.69973758865251</v>
      </c>
      <c r="L15" s="471">
        <f t="shared" si="2"/>
        <v>786.25884042553196</v>
      </c>
      <c r="M15" s="471">
        <f t="shared" si="2"/>
        <v>786.25884042553196</v>
      </c>
      <c r="N15" s="471">
        <f t="shared" si="2"/>
        <v>449.29076595744687</v>
      </c>
      <c r="O15" s="465">
        <f>SUMIF('Tab. 10'!$B$6:$B$38,B12,'Tab. 10'!$H$6:$H$38)</f>
        <v>8798.6108333333341</v>
      </c>
      <c r="Q15" s="856">
        <f t="shared" si="3"/>
        <v>815.31528957528963</v>
      </c>
    </row>
    <row r="16" spans="2:17" s="3" customFormat="1" ht="16" x14ac:dyDescent="0.2">
      <c r="B16" s="438" t="s">
        <v>682</v>
      </c>
      <c r="C16" s="471">
        <f t="shared" si="2"/>
        <v>1925.5703647404255</v>
      </c>
      <c r="D16" s="471">
        <f t="shared" si="2"/>
        <v>2139.5226274893616</v>
      </c>
      <c r="E16" s="471">
        <f t="shared" si="2"/>
        <v>2460.451021612766</v>
      </c>
      <c r="F16" s="471">
        <f t="shared" si="2"/>
        <v>2246.4987588638296</v>
      </c>
      <c r="G16" s="471">
        <f t="shared" si="2"/>
        <v>2246.4987588638296</v>
      </c>
      <c r="H16" s="471">
        <f t="shared" si="2"/>
        <v>2353.474890238298</v>
      </c>
      <c r="I16" s="471">
        <f t="shared" si="2"/>
        <v>2353.474890238298</v>
      </c>
      <c r="J16" s="471">
        <f t="shared" si="2"/>
        <v>1283.713576493617</v>
      </c>
      <c r="K16" s="471">
        <f t="shared" si="2"/>
        <v>2353.474890238298</v>
      </c>
      <c r="L16" s="471">
        <f t="shared" si="2"/>
        <v>2246.4987588638296</v>
      </c>
      <c r="M16" s="471">
        <f t="shared" si="2"/>
        <v>2246.4987588638296</v>
      </c>
      <c r="N16" s="471">
        <f t="shared" si="2"/>
        <v>1283.713576493617</v>
      </c>
      <c r="O16" s="465">
        <f>SUMIF('Tab. 10'!$B$6:$B$38,B12,'Tab. 10'!$E$6:$E$38)</f>
        <v>25139.390873</v>
      </c>
      <c r="Q16" s="856">
        <f t="shared" si="3"/>
        <v>2329.5188453745172</v>
      </c>
    </row>
    <row r="17" spans="2:17" s="3" customFormat="1" ht="16" x14ac:dyDescent="0.2">
      <c r="B17" s="438" t="s">
        <v>683</v>
      </c>
      <c r="C17" s="471">
        <f t="shared" si="2"/>
        <v>160.46419706170212</v>
      </c>
      <c r="D17" s="471">
        <f t="shared" si="2"/>
        <v>178.29355229078013</v>
      </c>
      <c r="E17" s="471">
        <f t="shared" si="2"/>
        <v>205.03758513439718</v>
      </c>
      <c r="F17" s="471">
        <f t="shared" si="2"/>
        <v>187.20822990531914</v>
      </c>
      <c r="G17" s="471">
        <f t="shared" si="2"/>
        <v>187.20822990531914</v>
      </c>
      <c r="H17" s="471">
        <f t="shared" si="2"/>
        <v>196.12290751985816</v>
      </c>
      <c r="I17" s="471">
        <f t="shared" si="2"/>
        <v>196.12290751985816</v>
      </c>
      <c r="J17" s="471">
        <f t="shared" si="2"/>
        <v>106.97613137446808</v>
      </c>
      <c r="K17" s="471">
        <f t="shared" si="2"/>
        <v>196.12290751985816</v>
      </c>
      <c r="L17" s="471">
        <f t="shared" si="2"/>
        <v>187.20822990531914</v>
      </c>
      <c r="M17" s="471">
        <f t="shared" si="2"/>
        <v>187.20822990531914</v>
      </c>
      <c r="N17" s="471">
        <f t="shared" si="2"/>
        <v>106.97613137446808</v>
      </c>
      <c r="O17" s="465">
        <f>SUMIF('Tab. 10'!$B$6:$B$38,B12,'Tab. 10'!$G$6:$G$38)</f>
        <v>2094.9492394166668</v>
      </c>
      <c r="Q17" s="856">
        <f t="shared" si="3"/>
        <v>194.12657044787647</v>
      </c>
    </row>
    <row r="18" spans="2:17" s="3" customFormat="1" ht="16" x14ac:dyDescent="0.2">
      <c r="B18" s="438" t="s">
        <v>684</v>
      </c>
      <c r="C18" s="471">
        <f t="shared" si="2"/>
        <v>160.46419706170212</v>
      </c>
      <c r="D18" s="471">
        <f t="shared" si="2"/>
        <v>178.29355229078013</v>
      </c>
      <c r="E18" s="471">
        <f t="shared" si="2"/>
        <v>205.03758513439718</v>
      </c>
      <c r="F18" s="471">
        <f t="shared" si="2"/>
        <v>187.20822990531914</v>
      </c>
      <c r="G18" s="471">
        <f t="shared" si="2"/>
        <v>187.20822990531914</v>
      </c>
      <c r="H18" s="471">
        <f t="shared" si="2"/>
        <v>196.12290751985816</v>
      </c>
      <c r="I18" s="471">
        <f t="shared" si="2"/>
        <v>196.12290751985816</v>
      </c>
      <c r="J18" s="471">
        <f t="shared" si="2"/>
        <v>106.97613137446808</v>
      </c>
      <c r="K18" s="471">
        <f t="shared" si="2"/>
        <v>196.12290751985816</v>
      </c>
      <c r="L18" s="471">
        <f t="shared" si="2"/>
        <v>187.20822990531914</v>
      </c>
      <c r="M18" s="471">
        <f t="shared" si="2"/>
        <v>187.20822990531914</v>
      </c>
      <c r="N18" s="471">
        <f t="shared" si="2"/>
        <v>106.97613137446808</v>
      </c>
      <c r="O18" s="465">
        <f>SUMIF('Tab. 10'!$B$6:$B$38,B12,'Tab. 10'!$I$6:$I$38)</f>
        <v>2094.9492394166668</v>
      </c>
      <c r="Q18" s="856">
        <f t="shared" si="3"/>
        <v>194.12657044787647</v>
      </c>
    </row>
    <row r="19" spans="2:17" s="3" customFormat="1" ht="17" thickBot="1" x14ac:dyDescent="0.25">
      <c r="B19" s="438" t="s">
        <v>81</v>
      </c>
      <c r="C19" s="471">
        <f t="shared" si="2"/>
        <v>599.05435460992908</v>
      </c>
      <c r="D19" s="471">
        <f t="shared" si="2"/>
        <v>665.61594956658791</v>
      </c>
      <c r="E19" s="471">
        <f t="shared" si="2"/>
        <v>765.45834200157606</v>
      </c>
      <c r="F19" s="471">
        <f t="shared" si="2"/>
        <v>698.89674704491733</v>
      </c>
      <c r="G19" s="471">
        <f t="shared" si="2"/>
        <v>698.89674704491733</v>
      </c>
      <c r="H19" s="471">
        <f t="shared" si="2"/>
        <v>732.17754452324675</v>
      </c>
      <c r="I19" s="471">
        <f t="shared" si="2"/>
        <v>732.17754452324675</v>
      </c>
      <c r="J19" s="471">
        <f t="shared" si="2"/>
        <v>399.36956973995274</v>
      </c>
      <c r="K19" s="471">
        <f t="shared" si="2"/>
        <v>732.17754452324675</v>
      </c>
      <c r="L19" s="471">
        <f t="shared" si="2"/>
        <v>698.89674704491733</v>
      </c>
      <c r="M19" s="471">
        <f t="shared" si="2"/>
        <v>698.89674704491733</v>
      </c>
      <c r="N19" s="471">
        <f t="shared" si="2"/>
        <v>399.36956973995274</v>
      </c>
      <c r="O19" s="465">
        <f>SUMIF('Tab. 10'!$B$6:$B$38,B12,'Tab. 10'!$J$6:$J$38)</f>
        <v>7820.9874074074078</v>
      </c>
      <c r="Q19" s="856">
        <f t="shared" si="3"/>
        <v>724.72470184470194</v>
      </c>
    </row>
    <row r="20" spans="2:17" s="3" customFormat="1" ht="17" thickBot="1" x14ac:dyDescent="0.25">
      <c r="B20" s="455" t="s">
        <v>3</v>
      </c>
      <c r="C20" s="404">
        <f t="shared" ref="C20:O20" si="4">SUM(C13:C19)</f>
        <v>12280.659198580141</v>
      </c>
      <c r="D20" s="404">
        <f t="shared" si="4"/>
        <v>13645.176887311271</v>
      </c>
      <c r="E20" s="404">
        <f t="shared" si="4"/>
        <v>15691.953420407961</v>
      </c>
      <c r="F20" s="404">
        <f t="shared" si="4"/>
        <v>14327.435731676833</v>
      </c>
      <c r="G20" s="404">
        <f t="shared" si="4"/>
        <v>14327.435731676833</v>
      </c>
      <c r="H20" s="404">
        <f t="shared" si="4"/>
        <v>15009.694576042399</v>
      </c>
      <c r="I20" s="404">
        <f t="shared" si="4"/>
        <v>15009.694576042399</v>
      </c>
      <c r="J20" s="404">
        <f t="shared" si="4"/>
        <v>8187.1061323867616</v>
      </c>
      <c r="K20" s="404">
        <f t="shared" si="4"/>
        <v>15009.694576042399</v>
      </c>
      <c r="L20" s="404">
        <f t="shared" si="4"/>
        <v>14327.435731676833</v>
      </c>
      <c r="M20" s="404">
        <f t="shared" si="4"/>
        <v>14327.435731676833</v>
      </c>
      <c r="N20" s="404">
        <f t="shared" si="4"/>
        <v>8187.1061323867616</v>
      </c>
      <c r="O20" s="466">
        <f t="shared" si="4"/>
        <v>160330.82842590741</v>
      </c>
      <c r="Q20" s="857">
        <f>SUM(Q13:Q19)</f>
        <v>14856.910742169028</v>
      </c>
    </row>
    <row r="21" spans="2:17" s="3" customFormat="1" ht="16" x14ac:dyDescent="0.2">
      <c r="B21" s="454" t="s">
        <v>661</v>
      </c>
      <c r="C21" s="471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465"/>
      <c r="Q21" s="856"/>
    </row>
    <row r="22" spans="2:17" s="3" customFormat="1" ht="16" x14ac:dyDescent="0.2">
      <c r="B22" s="438" t="s">
        <v>681</v>
      </c>
      <c r="C22" s="471">
        <f>+$O22/$O$10*C$10</f>
        <v>8941.8546382978711</v>
      </c>
      <c r="D22" s="471">
        <f t="shared" ref="D22:N22" si="5">+$O22/$O$10*D$10</f>
        <v>9935.394042553191</v>
      </c>
      <c r="E22" s="471">
        <f t="shared" si="5"/>
        <v>11425.703148936169</v>
      </c>
      <c r="F22" s="471">
        <f t="shared" si="5"/>
        <v>10432.163744680851</v>
      </c>
      <c r="G22" s="471">
        <f t="shared" si="5"/>
        <v>10432.163744680851</v>
      </c>
      <c r="H22" s="471">
        <f t="shared" si="5"/>
        <v>10928.933446808511</v>
      </c>
      <c r="I22" s="471">
        <f t="shared" si="5"/>
        <v>10928.933446808511</v>
      </c>
      <c r="J22" s="471">
        <f t="shared" si="5"/>
        <v>5961.2364255319144</v>
      </c>
      <c r="K22" s="471">
        <f t="shared" si="5"/>
        <v>10928.933446808511</v>
      </c>
      <c r="L22" s="471">
        <f t="shared" si="5"/>
        <v>10432.163744680851</v>
      </c>
      <c r="M22" s="471">
        <f t="shared" si="5"/>
        <v>10432.163744680851</v>
      </c>
      <c r="N22" s="471">
        <f t="shared" si="5"/>
        <v>5961.2364255319144</v>
      </c>
      <c r="O22" s="465">
        <f>SUMIF('Tab. 10'!$B$6:$B$38,B21,'Tab. 10'!$D$6:$D$38)</f>
        <v>116740.87999999999</v>
      </c>
      <c r="Q22" s="856">
        <f t="shared" ref="Q22:Q28" si="6">O22/$O$6*$O$7</f>
        <v>10817.68772200772</v>
      </c>
    </row>
    <row r="23" spans="2:17" s="3" customFormat="1" ht="16" x14ac:dyDescent="0.2">
      <c r="B23" s="438" t="s">
        <v>77</v>
      </c>
      <c r="C23" s="471">
        <f t="shared" ref="C23:N28" si="7">+$O23/$O$10*C$10</f>
        <v>745.15455319148919</v>
      </c>
      <c r="D23" s="471">
        <f t="shared" si="7"/>
        <v>827.94950354609909</v>
      </c>
      <c r="E23" s="471">
        <f t="shared" si="7"/>
        <v>952.14192907801407</v>
      </c>
      <c r="F23" s="471">
        <f t="shared" si="7"/>
        <v>869.34697872340405</v>
      </c>
      <c r="G23" s="471">
        <f t="shared" si="7"/>
        <v>869.34697872340405</v>
      </c>
      <c r="H23" s="471">
        <f t="shared" si="7"/>
        <v>910.74445390070912</v>
      </c>
      <c r="I23" s="471">
        <f t="shared" si="7"/>
        <v>910.74445390070912</v>
      </c>
      <c r="J23" s="471">
        <f t="shared" si="7"/>
        <v>496.76970212765951</v>
      </c>
      <c r="K23" s="471">
        <f t="shared" si="7"/>
        <v>910.74445390070912</v>
      </c>
      <c r="L23" s="471">
        <f t="shared" si="7"/>
        <v>869.34697872340405</v>
      </c>
      <c r="M23" s="471">
        <f t="shared" si="7"/>
        <v>869.34697872340405</v>
      </c>
      <c r="N23" s="471">
        <f t="shared" si="7"/>
        <v>496.76970212765951</v>
      </c>
      <c r="O23" s="465">
        <f>SUMIF('Tab. 10'!$B$6:$B$38,B21,'Tab. 10'!$F$6:$F$38)</f>
        <v>9728.4066666666658</v>
      </c>
      <c r="Q23" s="856">
        <f t="shared" si="6"/>
        <v>901.47397683397674</v>
      </c>
    </row>
    <row r="24" spans="2:17" s="3" customFormat="1" ht="16" x14ac:dyDescent="0.2">
      <c r="B24" s="438" t="s">
        <v>78</v>
      </c>
      <c r="C24" s="471">
        <f t="shared" si="7"/>
        <v>745.15455319148919</v>
      </c>
      <c r="D24" s="471">
        <f t="shared" si="7"/>
        <v>827.94950354609909</v>
      </c>
      <c r="E24" s="471">
        <f t="shared" si="7"/>
        <v>952.14192907801407</v>
      </c>
      <c r="F24" s="471">
        <f t="shared" si="7"/>
        <v>869.34697872340405</v>
      </c>
      <c r="G24" s="471">
        <f t="shared" si="7"/>
        <v>869.34697872340405</v>
      </c>
      <c r="H24" s="471">
        <f t="shared" si="7"/>
        <v>910.74445390070912</v>
      </c>
      <c r="I24" s="471">
        <f t="shared" si="7"/>
        <v>910.74445390070912</v>
      </c>
      <c r="J24" s="471">
        <f t="shared" si="7"/>
        <v>496.76970212765951</v>
      </c>
      <c r="K24" s="471">
        <f t="shared" si="7"/>
        <v>910.74445390070912</v>
      </c>
      <c r="L24" s="471">
        <f t="shared" si="7"/>
        <v>869.34697872340405</v>
      </c>
      <c r="M24" s="471">
        <f t="shared" si="7"/>
        <v>869.34697872340405</v>
      </c>
      <c r="N24" s="471">
        <f t="shared" si="7"/>
        <v>496.76970212765951</v>
      </c>
      <c r="O24" s="465">
        <f>SUMIF('Tab. 10'!$B$6:$B$38,B21,'Tab. 10'!$H$6:$H$38)</f>
        <v>9728.4066666666658</v>
      </c>
      <c r="Q24" s="856">
        <f t="shared" si="6"/>
        <v>901.47397683397674</v>
      </c>
    </row>
    <row r="25" spans="2:17" s="3" customFormat="1" ht="16" x14ac:dyDescent="0.2">
      <c r="B25" s="438" t="s">
        <v>682</v>
      </c>
      <c r="C25" s="471">
        <f t="shared" si="7"/>
        <v>2129.0555893787232</v>
      </c>
      <c r="D25" s="471">
        <f t="shared" si="7"/>
        <v>2365.617321531915</v>
      </c>
      <c r="E25" s="471">
        <f t="shared" si="7"/>
        <v>2720.4599197617022</v>
      </c>
      <c r="F25" s="471">
        <f t="shared" si="7"/>
        <v>2483.8981876085109</v>
      </c>
      <c r="G25" s="471">
        <f t="shared" si="7"/>
        <v>2483.8981876085109</v>
      </c>
      <c r="H25" s="471">
        <f t="shared" si="7"/>
        <v>2602.1790536851063</v>
      </c>
      <c r="I25" s="471">
        <f t="shared" si="7"/>
        <v>2602.1790536851063</v>
      </c>
      <c r="J25" s="471">
        <f t="shared" si="7"/>
        <v>1419.370392919149</v>
      </c>
      <c r="K25" s="471">
        <f t="shared" si="7"/>
        <v>2602.1790536851063</v>
      </c>
      <c r="L25" s="471">
        <f t="shared" si="7"/>
        <v>2483.8981876085109</v>
      </c>
      <c r="M25" s="471">
        <f t="shared" si="7"/>
        <v>2483.8981876085109</v>
      </c>
      <c r="N25" s="471">
        <f t="shared" si="7"/>
        <v>1419.370392919149</v>
      </c>
      <c r="O25" s="465">
        <f>SUMIF('Tab. 10'!$B$6:$B$38,B21,'Tab. 10'!$E$6:$E$38)</f>
        <v>27796.003528000001</v>
      </c>
      <c r="Q25" s="856">
        <f t="shared" si="6"/>
        <v>2575.6914466100388</v>
      </c>
    </row>
    <row r="26" spans="2:17" s="3" customFormat="1" ht="16" x14ac:dyDescent="0.2">
      <c r="B26" s="438" t="s">
        <v>683</v>
      </c>
      <c r="C26" s="471">
        <f t="shared" si="7"/>
        <v>177.4212991148936</v>
      </c>
      <c r="D26" s="471">
        <f t="shared" si="7"/>
        <v>197.13477679432623</v>
      </c>
      <c r="E26" s="471">
        <f t="shared" si="7"/>
        <v>226.70499331347517</v>
      </c>
      <c r="F26" s="471">
        <f t="shared" si="7"/>
        <v>206.99151563404254</v>
      </c>
      <c r="G26" s="471">
        <f t="shared" si="7"/>
        <v>206.99151563404254</v>
      </c>
      <c r="H26" s="471">
        <f t="shared" si="7"/>
        <v>216.84825447375886</v>
      </c>
      <c r="I26" s="471">
        <f t="shared" si="7"/>
        <v>216.84825447375886</v>
      </c>
      <c r="J26" s="471">
        <f t="shared" si="7"/>
        <v>118.28086607659574</v>
      </c>
      <c r="K26" s="471">
        <f t="shared" si="7"/>
        <v>216.84825447375886</v>
      </c>
      <c r="L26" s="471">
        <f t="shared" si="7"/>
        <v>206.99151563404254</v>
      </c>
      <c r="M26" s="471">
        <f t="shared" si="7"/>
        <v>206.99151563404254</v>
      </c>
      <c r="N26" s="471">
        <f t="shared" si="7"/>
        <v>118.28086607659574</v>
      </c>
      <c r="O26" s="465">
        <f>SUMIF('Tab. 10'!$B$6:$B$38,B21,'Tab. 10'!$G$6:$G$38)</f>
        <v>2316.3336273333334</v>
      </c>
      <c r="Q26" s="856">
        <f t="shared" si="6"/>
        <v>214.6409538841699</v>
      </c>
    </row>
    <row r="27" spans="2:17" s="3" customFormat="1" ht="16" x14ac:dyDescent="0.2">
      <c r="B27" s="438" t="s">
        <v>684</v>
      </c>
      <c r="C27" s="471">
        <f t="shared" si="7"/>
        <v>177.4212991148936</v>
      </c>
      <c r="D27" s="471">
        <f t="shared" si="7"/>
        <v>197.13477679432623</v>
      </c>
      <c r="E27" s="471">
        <f t="shared" si="7"/>
        <v>226.70499331347517</v>
      </c>
      <c r="F27" s="471">
        <f t="shared" si="7"/>
        <v>206.99151563404254</v>
      </c>
      <c r="G27" s="471">
        <f t="shared" si="7"/>
        <v>206.99151563404254</v>
      </c>
      <c r="H27" s="471">
        <f t="shared" si="7"/>
        <v>216.84825447375886</v>
      </c>
      <c r="I27" s="471">
        <f t="shared" si="7"/>
        <v>216.84825447375886</v>
      </c>
      <c r="J27" s="471">
        <f t="shared" si="7"/>
        <v>118.28086607659574</v>
      </c>
      <c r="K27" s="471">
        <f t="shared" si="7"/>
        <v>216.84825447375886</v>
      </c>
      <c r="L27" s="471">
        <f t="shared" si="7"/>
        <v>206.99151563404254</v>
      </c>
      <c r="M27" s="471">
        <f t="shared" si="7"/>
        <v>206.99151563404254</v>
      </c>
      <c r="N27" s="471">
        <f t="shared" si="7"/>
        <v>118.28086607659574</v>
      </c>
      <c r="O27" s="465">
        <f>SUMIF('Tab. 10'!$B$6:$B$38,B21,'Tab. 10'!$I$6:$I$38)</f>
        <v>2316.3336273333334</v>
      </c>
      <c r="Q27" s="856">
        <f t="shared" si="6"/>
        <v>214.6409538841699</v>
      </c>
    </row>
    <row r="28" spans="2:17" s="3" customFormat="1" ht="17" thickBot="1" x14ac:dyDescent="0.25">
      <c r="B28" s="438" t="s">
        <v>81</v>
      </c>
      <c r="C28" s="471">
        <f t="shared" si="7"/>
        <v>662.35960283687939</v>
      </c>
      <c r="D28" s="471">
        <f t="shared" si="7"/>
        <v>735.95511426319933</v>
      </c>
      <c r="E28" s="471">
        <f t="shared" si="7"/>
        <v>846.34838140267914</v>
      </c>
      <c r="F28" s="471">
        <f t="shared" si="7"/>
        <v>772.75286997635931</v>
      </c>
      <c r="G28" s="471">
        <f t="shared" si="7"/>
        <v>772.75286997635931</v>
      </c>
      <c r="H28" s="471">
        <f t="shared" si="7"/>
        <v>809.55062568951917</v>
      </c>
      <c r="I28" s="471">
        <f t="shared" si="7"/>
        <v>809.55062568951917</v>
      </c>
      <c r="J28" s="471">
        <f t="shared" si="7"/>
        <v>441.57306855791956</v>
      </c>
      <c r="K28" s="471">
        <f t="shared" si="7"/>
        <v>809.55062568951917</v>
      </c>
      <c r="L28" s="471">
        <f t="shared" si="7"/>
        <v>772.75286997635931</v>
      </c>
      <c r="M28" s="471">
        <f t="shared" si="7"/>
        <v>772.75286997635931</v>
      </c>
      <c r="N28" s="471">
        <f t="shared" si="7"/>
        <v>441.57306855791956</v>
      </c>
      <c r="O28" s="465">
        <f>SUMIF('Tab. 10'!$B$6:$B$38,B21,'Tab. 10'!$J$6:$J$38)</f>
        <v>8647.4725925925923</v>
      </c>
      <c r="Q28" s="856">
        <f t="shared" si="6"/>
        <v>801.31020163020162</v>
      </c>
    </row>
    <row r="29" spans="2:17" s="3" customFormat="1" ht="17" thickBot="1" x14ac:dyDescent="0.25">
      <c r="B29" s="455" t="s">
        <v>3</v>
      </c>
      <c r="C29" s="404">
        <f t="shared" ref="C29:O29" si="8">SUM(C22:C28)</f>
        <v>13578.421535126241</v>
      </c>
      <c r="D29" s="404">
        <f t="shared" si="8"/>
        <v>15087.135039029154</v>
      </c>
      <c r="E29" s="404">
        <f t="shared" si="8"/>
        <v>17350.20529488353</v>
      </c>
      <c r="F29" s="404">
        <f t="shared" si="8"/>
        <v>15841.491790980615</v>
      </c>
      <c r="G29" s="404">
        <f t="shared" si="8"/>
        <v>15841.491790980615</v>
      </c>
      <c r="H29" s="404">
        <f t="shared" si="8"/>
        <v>16595.848542932068</v>
      </c>
      <c r="I29" s="404">
        <f t="shared" si="8"/>
        <v>16595.848542932068</v>
      </c>
      <c r="J29" s="404">
        <f t="shared" si="8"/>
        <v>9052.281023417494</v>
      </c>
      <c r="K29" s="404">
        <f t="shared" si="8"/>
        <v>16595.848542932068</v>
      </c>
      <c r="L29" s="404">
        <f t="shared" si="8"/>
        <v>15841.491790980615</v>
      </c>
      <c r="M29" s="404">
        <f t="shared" si="8"/>
        <v>15841.491790980615</v>
      </c>
      <c r="N29" s="404">
        <f t="shared" si="8"/>
        <v>9052.281023417494</v>
      </c>
      <c r="O29" s="466">
        <f t="shared" si="8"/>
        <v>177273.8367085926</v>
      </c>
      <c r="Q29" s="857">
        <f>SUM(Q22:Q28)</f>
        <v>16426.919231684253</v>
      </c>
    </row>
    <row r="30" spans="2:17" s="3" customFormat="1" ht="16" x14ac:dyDescent="0.2">
      <c r="B30" s="454" t="s">
        <v>1084</v>
      </c>
      <c r="C30" s="471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465"/>
      <c r="Q30" s="856"/>
    </row>
    <row r="31" spans="2:17" s="3" customFormat="1" ht="16" x14ac:dyDescent="0.2">
      <c r="B31" s="438" t="s">
        <v>681</v>
      </c>
      <c r="C31" s="471">
        <f>+$O31/$O$10*C$10</f>
        <v>130006.77012765982</v>
      </c>
      <c r="D31" s="471">
        <f t="shared" ref="D31:N31" si="9">+$O31/$O$10*D$10</f>
        <v>144451.96680851092</v>
      </c>
      <c r="E31" s="471">
        <f t="shared" si="9"/>
        <v>166119.76182978755</v>
      </c>
      <c r="F31" s="471">
        <f t="shared" si="9"/>
        <v>151674.56514893647</v>
      </c>
      <c r="G31" s="471">
        <f t="shared" si="9"/>
        <v>151674.56514893647</v>
      </c>
      <c r="H31" s="471">
        <f t="shared" si="9"/>
        <v>158897.16348936202</v>
      </c>
      <c r="I31" s="471">
        <f t="shared" si="9"/>
        <v>158897.16348936202</v>
      </c>
      <c r="J31" s="471">
        <f t="shared" si="9"/>
        <v>86671.180085106549</v>
      </c>
      <c r="K31" s="471">
        <f t="shared" si="9"/>
        <v>158897.16348936202</v>
      </c>
      <c r="L31" s="471">
        <f t="shared" si="9"/>
        <v>151674.56514893647</v>
      </c>
      <c r="M31" s="471">
        <f t="shared" si="9"/>
        <v>151674.56514893647</v>
      </c>
      <c r="N31" s="471">
        <f t="shared" si="9"/>
        <v>86671.180085106549</v>
      </c>
      <c r="O31" s="465">
        <f>SUMIF('Tab. 10'!$B$6:$B$38,B30,'Tab. 10'!$D$6:$D$38)</f>
        <v>1697310.6100000034</v>
      </c>
      <c r="Q31" s="856">
        <f t="shared" ref="Q31:Q37" si="10">O31/$O$6*$O$7</f>
        <v>157279.74764478795</v>
      </c>
    </row>
    <row r="32" spans="2:17" s="3" customFormat="1" ht="16" x14ac:dyDescent="0.2">
      <c r="B32" s="438" t="s">
        <v>77</v>
      </c>
      <c r="C32" s="471">
        <f t="shared" ref="C32:N37" si="11">+$O32/$O$10*C$10</f>
        <v>10833.897510638282</v>
      </c>
      <c r="D32" s="471">
        <f t="shared" si="11"/>
        <v>12037.663900709202</v>
      </c>
      <c r="E32" s="471">
        <f t="shared" si="11"/>
        <v>13843.313485815583</v>
      </c>
      <c r="F32" s="471">
        <f t="shared" si="11"/>
        <v>12639.547095744661</v>
      </c>
      <c r="G32" s="471">
        <f t="shared" si="11"/>
        <v>12639.547095744661</v>
      </c>
      <c r="H32" s="471">
        <f t="shared" si="11"/>
        <v>13241.430290780123</v>
      </c>
      <c r="I32" s="471">
        <f t="shared" si="11"/>
        <v>13241.430290780123</v>
      </c>
      <c r="J32" s="471">
        <f t="shared" si="11"/>
        <v>7222.5983404255212</v>
      </c>
      <c r="K32" s="471">
        <f t="shared" si="11"/>
        <v>13241.430290780123</v>
      </c>
      <c r="L32" s="471">
        <f t="shared" si="11"/>
        <v>12639.547095744661</v>
      </c>
      <c r="M32" s="471">
        <f t="shared" si="11"/>
        <v>12639.547095744661</v>
      </c>
      <c r="N32" s="471">
        <f t="shared" si="11"/>
        <v>7222.5983404255212</v>
      </c>
      <c r="O32" s="465">
        <f>SUMIF('Tab. 10'!$B$6:$B$38,B30,'Tab. 10'!$F$6:$F$38)</f>
        <v>141442.55083333314</v>
      </c>
      <c r="Q32" s="856">
        <f t="shared" si="10"/>
        <v>13106.64563706562</v>
      </c>
    </row>
    <row r="33" spans="2:17" s="3" customFormat="1" ht="16" x14ac:dyDescent="0.2">
      <c r="B33" s="438" t="s">
        <v>78</v>
      </c>
      <c r="C33" s="471">
        <f t="shared" si="11"/>
        <v>10833.897510638282</v>
      </c>
      <c r="D33" s="471">
        <f t="shared" si="11"/>
        <v>12037.663900709202</v>
      </c>
      <c r="E33" s="471">
        <f t="shared" si="11"/>
        <v>13843.313485815583</v>
      </c>
      <c r="F33" s="471">
        <f t="shared" si="11"/>
        <v>12639.547095744661</v>
      </c>
      <c r="G33" s="471">
        <f t="shared" si="11"/>
        <v>12639.547095744661</v>
      </c>
      <c r="H33" s="471">
        <f t="shared" si="11"/>
        <v>13241.430290780123</v>
      </c>
      <c r="I33" s="471">
        <f t="shared" si="11"/>
        <v>13241.430290780123</v>
      </c>
      <c r="J33" s="471">
        <f t="shared" si="11"/>
        <v>7222.5983404255212</v>
      </c>
      <c r="K33" s="471">
        <f t="shared" si="11"/>
        <v>13241.430290780123</v>
      </c>
      <c r="L33" s="471">
        <f t="shared" si="11"/>
        <v>12639.547095744661</v>
      </c>
      <c r="M33" s="471">
        <f t="shared" si="11"/>
        <v>12639.547095744661</v>
      </c>
      <c r="N33" s="471">
        <f t="shared" si="11"/>
        <v>7222.5983404255212</v>
      </c>
      <c r="O33" s="465">
        <f>SUMIF('Tab. 10'!$B$6:$B$38,B30,'Tab. 10'!$H$6:$H$38)</f>
        <v>141442.55083333314</v>
      </c>
      <c r="Q33" s="856">
        <f t="shared" si="10"/>
        <v>13106.64563706562</v>
      </c>
    </row>
    <row r="34" spans="2:17" s="3" customFormat="1" ht="16" x14ac:dyDescent="0.2">
      <c r="B34" s="438" t="s">
        <v>682</v>
      </c>
      <c r="C34" s="471">
        <f t="shared" si="11"/>
        <v>30954.611967395689</v>
      </c>
      <c r="D34" s="471">
        <f t="shared" si="11"/>
        <v>34394.013297106321</v>
      </c>
      <c r="E34" s="471">
        <f t="shared" si="11"/>
        <v>39553.115291672271</v>
      </c>
      <c r="F34" s="471">
        <f t="shared" si="11"/>
        <v>36113.713961961643</v>
      </c>
      <c r="G34" s="471">
        <f t="shared" si="11"/>
        <v>36113.713961961643</v>
      </c>
      <c r="H34" s="471">
        <f t="shared" si="11"/>
        <v>37833.414626816957</v>
      </c>
      <c r="I34" s="471">
        <f t="shared" si="11"/>
        <v>37833.414626816957</v>
      </c>
      <c r="J34" s="471">
        <f t="shared" si="11"/>
        <v>20636.407978263793</v>
      </c>
      <c r="K34" s="471">
        <f t="shared" si="11"/>
        <v>37833.414626816957</v>
      </c>
      <c r="L34" s="471">
        <f t="shared" si="11"/>
        <v>36113.713961961643</v>
      </c>
      <c r="M34" s="471">
        <f t="shared" si="11"/>
        <v>36113.713961961643</v>
      </c>
      <c r="N34" s="471">
        <f t="shared" si="11"/>
        <v>20636.407978263793</v>
      </c>
      <c r="O34" s="465">
        <f>SUMIF('Tab. 10'!$B$6:$B$38,B30,'Tab. 10'!$E$6:$E$38)</f>
        <v>404129.65624099929</v>
      </c>
      <c r="Q34" s="856">
        <f t="shared" si="10"/>
        <v>37448.307914223871</v>
      </c>
    </row>
    <row r="35" spans="2:17" s="3" customFormat="1" ht="16" x14ac:dyDescent="0.2">
      <c r="B35" s="438" t="s">
        <v>683</v>
      </c>
      <c r="C35" s="471">
        <f t="shared" si="11"/>
        <v>2579.5509972829809</v>
      </c>
      <c r="D35" s="471">
        <f t="shared" si="11"/>
        <v>2866.1677747588678</v>
      </c>
      <c r="E35" s="471">
        <f t="shared" si="11"/>
        <v>3296.0929409726982</v>
      </c>
      <c r="F35" s="471">
        <f t="shared" si="11"/>
        <v>3009.4761634968113</v>
      </c>
      <c r="G35" s="471">
        <f t="shared" si="11"/>
        <v>3009.4761634968113</v>
      </c>
      <c r="H35" s="471">
        <f t="shared" si="11"/>
        <v>3152.7845522347548</v>
      </c>
      <c r="I35" s="471">
        <f t="shared" si="11"/>
        <v>3152.7845522347548</v>
      </c>
      <c r="J35" s="471">
        <f t="shared" si="11"/>
        <v>1719.7006648553208</v>
      </c>
      <c r="K35" s="471">
        <f t="shared" si="11"/>
        <v>3152.7845522347548</v>
      </c>
      <c r="L35" s="471">
        <f t="shared" si="11"/>
        <v>3009.4761634968113</v>
      </c>
      <c r="M35" s="471">
        <f t="shared" si="11"/>
        <v>3009.4761634968113</v>
      </c>
      <c r="N35" s="471">
        <f t="shared" si="11"/>
        <v>1719.7006648553208</v>
      </c>
      <c r="O35" s="465">
        <f>SUMIF('Tab. 10'!$B$6:$B$38,B30,'Tab. 10'!$G$6:$G$38)</f>
        <v>33677.471353416702</v>
      </c>
      <c r="Q35" s="856">
        <f t="shared" si="10"/>
        <v>3120.6923261853312</v>
      </c>
    </row>
    <row r="36" spans="2:17" s="3" customFormat="1" ht="16" x14ac:dyDescent="0.2">
      <c r="B36" s="438" t="s">
        <v>684</v>
      </c>
      <c r="C36" s="471">
        <f t="shared" si="11"/>
        <v>2579.5509972829809</v>
      </c>
      <c r="D36" s="471">
        <f t="shared" si="11"/>
        <v>2866.1677747588678</v>
      </c>
      <c r="E36" s="471">
        <f t="shared" si="11"/>
        <v>3296.0929409726982</v>
      </c>
      <c r="F36" s="471">
        <f t="shared" si="11"/>
        <v>3009.4761634968113</v>
      </c>
      <c r="G36" s="471">
        <f t="shared" si="11"/>
        <v>3009.4761634968113</v>
      </c>
      <c r="H36" s="471">
        <f t="shared" si="11"/>
        <v>3152.7845522347548</v>
      </c>
      <c r="I36" s="471">
        <f t="shared" si="11"/>
        <v>3152.7845522347548</v>
      </c>
      <c r="J36" s="471">
        <f t="shared" si="11"/>
        <v>1719.7006648553208</v>
      </c>
      <c r="K36" s="471">
        <f t="shared" si="11"/>
        <v>3152.7845522347548</v>
      </c>
      <c r="L36" s="471">
        <f t="shared" si="11"/>
        <v>3009.4761634968113</v>
      </c>
      <c r="M36" s="471">
        <f t="shared" si="11"/>
        <v>3009.4761634968113</v>
      </c>
      <c r="N36" s="471">
        <f t="shared" si="11"/>
        <v>1719.7006648553208</v>
      </c>
      <c r="O36" s="465">
        <f>SUMIF('Tab. 10'!$B$6:$B$38,B30,'Tab. 10'!$I$6:$I$38)</f>
        <v>33677.471353416702</v>
      </c>
      <c r="Q36" s="856">
        <f t="shared" si="10"/>
        <v>3120.6923261853312</v>
      </c>
    </row>
    <row r="37" spans="2:17" s="3" customFormat="1" ht="17" thickBot="1" x14ac:dyDescent="0.25">
      <c r="B37" s="438" t="s">
        <v>81</v>
      </c>
      <c r="C37" s="471">
        <f t="shared" si="11"/>
        <v>9630.1311205674047</v>
      </c>
      <c r="D37" s="471">
        <f t="shared" si="11"/>
        <v>10700.145689519339</v>
      </c>
      <c r="E37" s="471">
        <f t="shared" si="11"/>
        <v>12305.16754294724</v>
      </c>
      <c r="F37" s="471">
        <f t="shared" si="11"/>
        <v>11235.152973995306</v>
      </c>
      <c r="G37" s="471">
        <f t="shared" si="11"/>
        <v>11235.152973995306</v>
      </c>
      <c r="H37" s="471">
        <f t="shared" si="11"/>
        <v>11770.160258471273</v>
      </c>
      <c r="I37" s="471">
        <f t="shared" si="11"/>
        <v>11770.160258471273</v>
      </c>
      <c r="J37" s="471">
        <f t="shared" si="11"/>
        <v>6420.0874137116034</v>
      </c>
      <c r="K37" s="471">
        <f t="shared" si="11"/>
        <v>11770.160258471273</v>
      </c>
      <c r="L37" s="471">
        <f t="shared" si="11"/>
        <v>11235.152973995306</v>
      </c>
      <c r="M37" s="471">
        <f t="shared" si="11"/>
        <v>11235.152973995306</v>
      </c>
      <c r="N37" s="471">
        <f t="shared" si="11"/>
        <v>6420.0874137116034</v>
      </c>
      <c r="O37" s="465">
        <f>SUMIF('Tab. 10'!$B$6:$B$38,B30,'Tab. 10'!$J$6:$J$38)</f>
        <v>125726.71185185225</v>
      </c>
      <c r="Q37" s="856">
        <f t="shared" si="10"/>
        <v>11650.351677391714</v>
      </c>
    </row>
    <row r="38" spans="2:17" s="3" customFormat="1" ht="17" thickBot="1" x14ac:dyDescent="0.25">
      <c r="B38" s="455" t="s">
        <v>3</v>
      </c>
      <c r="C38" s="404">
        <f t="shared" ref="C38:O38" si="12">SUM(C31:C37)</f>
        <v>197418.41023146547</v>
      </c>
      <c r="D38" s="404">
        <f t="shared" si="12"/>
        <v>219353.78914607267</v>
      </c>
      <c r="E38" s="404">
        <f t="shared" si="12"/>
        <v>252256.85751798365</v>
      </c>
      <c r="F38" s="404">
        <f t="shared" si="12"/>
        <v>230321.4786033764</v>
      </c>
      <c r="G38" s="404">
        <f t="shared" si="12"/>
        <v>230321.4786033764</v>
      </c>
      <c r="H38" s="404">
        <f t="shared" si="12"/>
        <v>241289.16806067998</v>
      </c>
      <c r="I38" s="404">
        <f t="shared" si="12"/>
        <v>241289.16806067998</v>
      </c>
      <c r="J38" s="404">
        <f t="shared" si="12"/>
        <v>131612.27348764363</v>
      </c>
      <c r="K38" s="404">
        <f t="shared" si="12"/>
        <v>241289.16806067998</v>
      </c>
      <c r="L38" s="404">
        <f t="shared" si="12"/>
        <v>230321.4786033764</v>
      </c>
      <c r="M38" s="404">
        <f t="shared" si="12"/>
        <v>230321.4786033764</v>
      </c>
      <c r="N38" s="404">
        <f t="shared" si="12"/>
        <v>131612.27348764363</v>
      </c>
      <c r="O38" s="466">
        <f t="shared" si="12"/>
        <v>2577407.022466355</v>
      </c>
      <c r="Q38" s="857">
        <f>SUM(Q31:Q37)</f>
        <v>238833.08316290539</v>
      </c>
    </row>
    <row r="39" spans="2:17" s="3" customFormat="1" ht="16" x14ac:dyDescent="0.2">
      <c r="B39" s="454" t="s">
        <v>401</v>
      </c>
      <c r="C39" s="471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465"/>
      <c r="Q39" s="856"/>
    </row>
    <row r="40" spans="2:17" s="3" customFormat="1" ht="16" x14ac:dyDescent="0.2">
      <c r="B40" s="438" t="s">
        <v>681</v>
      </c>
      <c r="C40" s="471">
        <f>+$O40/$O$10*C$10</f>
        <v>34641.157787234042</v>
      </c>
      <c r="D40" s="471">
        <f t="shared" ref="D40:N40" si="13">+$O40/$O$10*D$10</f>
        <v>38490.175319148933</v>
      </c>
      <c r="E40" s="471">
        <f t="shared" si="13"/>
        <v>44263.701617021274</v>
      </c>
      <c r="F40" s="471">
        <f t="shared" si="13"/>
        <v>40414.684085106383</v>
      </c>
      <c r="G40" s="471">
        <f t="shared" si="13"/>
        <v>40414.684085106383</v>
      </c>
      <c r="H40" s="471">
        <f t="shared" si="13"/>
        <v>42339.192851063832</v>
      </c>
      <c r="I40" s="471">
        <f t="shared" si="13"/>
        <v>42339.192851063832</v>
      </c>
      <c r="J40" s="471">
        <f t="shared" si="13"/>
        <v>23094.105191489361</v>
      </c>
      <c r="K40" s="471">
        <f t="shared" si="13"/>
        <v>42339.192851063832</v>
      </c>
      <c r="L40" s="471">
        <f t="shared" si="13"/>
        <v>40414.684085106383</v>
      </c>
      <c r="M40" s="471">
        <f t="shared" si="13"/>
        <v>40414.684085106383</v>
      </c>
      <c r="N40" s="471">
        <f t="shared" si="13"/>
        <v>23094.105191489361</v>
      </c>
      <c r="O40" s="465">
        <f>SUMIF('Tab. 10'!$B$6:$B$38,B39,'Tab. 10'!$D$6:$D$38)</f>
        <v>452259.56</v>
      </c>
      <c r="Q40" s="856">
        <f t="shared" ref="Q40:Q46" si="14">O40/$O$6*$O$7</f>
        <v>41908.221776061779</v>
      </c>
    </row>
    <row r="41" spans="2:17" s="3" customFormat="1" ht="16" x14ac:dyDescent="0.2">
      <c r="B41" s="438" t="s">
        <v>77</v>
      </c>
      <c r="C41" s="471">
        <f t="shared" ref="C41:N46" si="15">+$O41/$O$10*C$10</f>
        <v>2886.7631489361706</v>
      </c>
      <c r="D41" s="471">
        <f t="shared" si="15"/>
        <v>3207.5146099290787</v>
      </c>
      <c r="E41" s="471">
        <f t="shared" si="15"/>
        <v>3688.6418014184405</v>
      </c>
      <c r="F41" s="471">
        <f t="shared" si="15"/>
        <v>3367.8903404255325</v>
      </c>
      <c r="G41" s="471">
        <f t="shared" si="15"/>
        <v>3367.8903404255325</v>
      </c>
      <c r="H41" s="471">
        <f t="shared" si="15"/>
        <v>3528.2660709219863</v>
      </c>
      <c r="I41" s="471">
        <f t="shared" si="15"/>
        <v>3528.2660709219863</v>
      </c>
      <c r="J41" s="471">
        <f t="shared" si="15"/>
        <v>1924.5087659574472</v>
      </c>
      <c r="K41" s="471">
        <f t="shared" si="15"/>
        <v>3528.2660709219863</v>
      </c>
      <c r="L41" s="471">
        <f t="shared" si="15"/>
        <v>3367.8903404255325</v>
      </c>
      <c r="M41" s="471">
        <f t="shared" si="15"/>
        <v>3367.8903404255325</v>
      </c>
      <c r="N41" s="471">
        <f t="shared" si="15"/>
        <v>1924.5087659574472</v>
      </c>
      <c r="O41" s="465">
        <f>SUMIF('Tab. 10'!$B$6:$B$38,B39,'Tab. 10'!$F$6:$F$38)</f>
        <v>37688.296666666676</v>
      </c>
      <c r="Q41" s="856">
        <f t="shared" si="14"/>
        <v>3492.3518146718152</v>
      </c>
    </row>
    <row r="42" spans="2:17" s="3" customFormat="1" ht="16" x14ac:dyDescent="0.2">
      <c r="B42" s="438" t="s">
        <v>78</v>
      </c>
      <c r="C42" s="471">
        <f t="shared" si="15"/>
        <v>2886.7631489361706</v>
      </c>
      <c r="D42" s="471">
        <f t="shared" si="15"/>
        <v>3207.5146099290787</v>
      </c>
      <c r="E42" s="471">
        <f t="shared" si="15"/>
        <v>3688.6418014184405</v>
      </c>
      <c r="F42" s="471">
        <f t="shared" si="15"/>
        <v>3367.8903404255325</v>
      </c>
      <c r="G42" s="471">
        <f t="shared" si="15"/>
        <v>3367.8903404255325</v>
      </c>
      <c r="H42" s="471">
        <f t="shared" si="15"/>
        <v>3528.2660709219863</v>
      </c>
      <c r="I42" s="471">
        <f t="shared" si="15"/>
        <v>3528.2660709219863</v>
      </c>
      <c r="J42" s="471">
        <f t="shared" si="15"/>
        <v>1924.5087659574472</v>
      </c>
      <c r="K42" s="471">
        <f t="shared" si="15"/>
        <v>3528.2660709219863</v>
      </c>
      <c r="L42" s="471">
        <f t="shared" si="15"/>
        <v>3367.8903404255325</v>
      </c>
      <c r="M42" s="471">
        <f t="shared" si="15"/>
        <v>3367.8903404255325</v>
      </c>
      <c r="N42" s="471">
        <f t="shared" si="15"/>
        <v>1924.5087659574472</v>
      </c>
      <c r="O42" s="465">
        <f>SUMIF('Tab. 10'!$B$6:$B$38,B39,'Tab. 10'!$H$6:$H$38)</f>
        <v>37688.296666666676</v>
      </c>
      <c r="Q42" s="856">
        <f t="shared" si="14"/>
        <v>3492.3518146718152</v>
      </c>
    </row>
    <row r="43" spans="2:17" s="3" customFormat="1" ht="16" x14ac:dyDescent="0.2">
      <c r="B43" s="438" t="s">
        <v>682</v>
      </c>
      <c r="C43" s="471">
        <f t="shared" si="15"/>
        <v>8248.0596691404244</v>
      </c>
      <c r="D43" s="471">
        <f t="shared" si="15"/>
        <v>9164.5107434893616</v>
      </c>
      <c r="E43" s="471">
        <f t="shared" si="15"/>
        <v>10539.187355012766</v>
      </c>
      <c r="F43" s="471">
        <f t="shared" si="15"/>
        <v>9622.7362806638284</v>
      </c>
      <c r="G43" s="471">
        <f t="shared" si="15"/>
        <v>9622.7362806638284</v>
      </c>
      <c r="H43" s="471">
        <f t="shared" si="15"/>
        <v>10080.961817838297</v>
      </c>
      <c r="I43" s="471">
        <f t="shared" si="15"/>
        <v>10080.961817838297</v>
      </c>
      <c r="J43" s="471">
        <f t="shared" si="15"/>
        <v>5498.7064460936172</v>
      </c>
      <c r="K43" s="471">
        <f t="shared" si="15"/>
        <v>10080.961817838297</v>
      </c>
      <c r="L43" s="471">
        <f t="shared" si="15"/>
        <v>9622.7362806638284</v>
      </c>
      <c r="M43" s="471">
        <f t="shared" si="15"/>
        <v>9622.7362806638284</v>
      </c>
      <c r="N43" s="471">
        <f t="shared" si="15"/>
        <v>5498.7064460936172</v>
      </c>
      <c r="O43" s="465">
        <f>SUMIF('Tab. 10'!$B$6:$B$38,B39,'Tab. 10'!$E$6:$E$38)</f>
        <v>107683.001236</v>
      </c>
      <c r="Q43" s="856">
        <f t="shared" si="14"/>
        <v>9978.3476048803077</v>
      </c>
    </row>
    <row r="44" spans="2:17" s="3" customFormat="1" ht="16" x14ac:dyDescent="0.2">
      <c r="B44" s="438" t="s">
        <v>683</v>
      </c>
      <c r="C44" s="471">
        <f t="shared" si="15"/>
        <v>687.33830576170214</v>
      </c>
      <c r="D44" s="471">
        <f t="shared" si="15"/>
        <v>763.70922862411351</v>
      </c>
      <c r="E44" s="471">
        <f t="shared" si="15"/>
        <v>878.26561291773055</v>
      </c>
      <c r="F44" s="471">
        <f t="shared" si="15"/>
        <v>801.89469005531919</v>
      </c>
      <c r="G44" s="471">
        <f t="shared" si="15"/>
        <v>801.89469005531919</v>
      </c>
      <c r="H44" s="471">
        <f t="shared" si="15"/>
        <v>840.08015148652487</v>
      </c>
      <c r="I44" s="471">
        <f t="shared" si="15"/>
        <v>840.08015148652487</v>
      </c>
      <c r="J44" s="471">
        <f t="shared" si="15"/>
        <v>458.22553717446812</v>
      </c>
      <c r="K44" s="471">
        <f t="shared" si="15"/>
        <v>840.08015148652487</v>
      </c>
      <c r="L44" s="471">
        <f t="shared" si="15"/>
        <v>801.89469005531919</v>
      </c>
      <c r="M44" s="471">
        <f t="shared" si="15"/>
        <v>801.89469005531919</v>
      </c>
      <c r="N44" s="471">
        <f t="shared" si="15"/>
        <v>458.22553717446812</v>
      </c>
      <c r="O44" s="465">
        <f>SUMIF('Tab. 10'!$B$6:$B$38,B39,'Tab. 10'!$G$6:$G$38)</f>
        <v>8973.5834363333342</v>
      </c>
      <c r="Q44" s="856">
        <f t="shared" si="14"/>
        <v>831.52896707335913</v>
      </c>
    </row>
    <row r="45" spans="2:17" s="3" customFormat="1" ht="16" x14ac:dyDescent="0.2">
      <c r="B45" s="438" t="s">
        <v>684</v>
      </c>
      <c r="C45" s="471">
        <f t="shared" si="15"/>
        <v>687.33830576170214</v>
      </c>
      <c r="D45" s="471">
        <f t="shared" si="15"/>
        <v>763.70922862411351</v>
      </c>
      <c r="E45" s="471">
        <f t="shared" si="15"/>
        <v>878.26561291773055</v>
      </c>
      <c r="F45" s="471">
        <f t="shared" si="15"/>
        <v>801.89469005531919</v>
      </c>
      <c r="G45" s="471">
        <f t="shared" si="15"/>
        <v>801.89469005531919</v>
      </c>
      <c r="H45" s="471">
        <f t="shared" si="15"/>
        <v>840.08015148652487</v>
      </c>
      <c r="I45" s="471">
        <f t="shared" si="15"/>
        <v>840.08015148652487</v>
      </c>
      <c r="J45" s="471">
        <f t="shared" si="15"/>
        <v>458.22553717446812</v>
      </c>
      <c r="K45" s="471">
        <f t="shared" si="15"/>
        <v>840.08015148652487</v>
      </c>
      <c r="L45" s="471">
        <f t="shared" si="15"/>
        <v>801.89469005531919</v>
      </c>
      <c r="M45" s="471">
        <f t="shared" si="15"/>
        <v>801.89469005531919</v>
      </c>
      <c r="N45" s="471">
        <f t="shared" si="15"/>
        <v>458.22553717446812</v>
      </c>
      <c r="O45" s="465">
        <f>SUMIF('Tab. 10'!$B$6:$B$38,B39,'Tab. 10'!$I$6:$I$38)</f>
        <v>8973.5834363333342</v>
      </c>
      <c r="Q45" s="856">
        <f t="shared" si="14"/>
        <v>831.52896707335913</v>
      </c>
    </row>
    <row r="46" spans="2:17" s="3" customFormat="1" ht="17" thickBot="1" x14ac:dyDescent="0.25">
      <c r="B46" s="438" t="s">
        <v>81</v>
      </c>
      <c r="C46" s="471">
        <f t="shared" si="15"/>
        <v>2566.0116879432621</v>
      </c>
      <c r="D46" s="471">
        <f t="shared" si="15"/>
        <v>2851.1240977147359</v>
      </c>
      <c r="E46" s="471">
        <f t="shared" si="15"/>
        <v>3278.792712371946</v>
      </c>
      <c r="F46" s="471">
        <f t="shared" si="15"/>
        <v>2993.6803026004723</v>
      </c>
      <c r="G46" s="471">
        <f t="shared" si="15"/>
        <v>2993.6803026004723</v>
      </c>
      <c r="H46" s="471">
        <f t="shared" si="15"/>
        <v>3136.2365074862091</v>
      </c>
      <c r="I46" s="471">
        <f t="shared" si="15"/>
        <v>3136.2365074862091</v>
      </c>
      <c r="J46" s="471">
        <f t="shared" si="15"/>
        <v>1710.6744586288414</v>
      </c>
      <c r="K46" s="471">
        <f t="shared" si="15"/>
        <v>3136.2365074862091</v>
      </c>
      <c r="L46" s="471">
        <f t="shared" si="15"/>
        <v>2993.6803026004723</v>
      </c>
      <c r="M46" s="471">
        <f t="shared" si="15"/>
        <v>2993.6803026004723</v>
      </c>
      <c r="N46" s="471">
        <f t="shared" si="15"/>
        <v>1710.6744586288414</v>
      </c>
      <c r="O46" s="465">
        <f>SUMIF('Tab. 10'!$B$6:$B$38,B39,'Tab. 10'!$J$6:$J$38)</f>
        <v>33500.708148148144</v>
      </c>
      <c r="Q46" s="856">
        <f t="shared" si="14"/>
        <v>3104.3127241527241</v>
      </c>
    </row>
    <row r="47" spans="2:17" s="3" customFormat="1" ht="17" thickBot="1" x14ac:dyDescent="0.25">
      <c r="B47" s="455" t="s">
        <v>3</v>
      </c>
      <c r="C47" s="404">
        <f t="shared" ref="C47:O47" si="16">SUM(C40:C46)</f>
        <v>52603.432053713477</v>
      </c>
      <c r="D47" s="404">
        <f t="shared" si="16"/>
        <v>58448.25783745943</v>
      </c>
      <c r="E47" s="404">
        <f t="shared" si="16"/>
        <v>67215.496513078324</v>
      </c>
      <c r="F47" s="404">
        <f t="shared" si="16"/>
        <v>61370.670729332385</v>
      </c>
      <c r="G47" s="404">
        <f t="shared" si="16"/>
        <v>61370.670729332385</v>
      </c>
      <c r="H47" s="404">
        <f t="shared" si="16"/>
        <v>64293.083621205355</v>
      </c>
      <c r="I47" s="404">
        <f t="shared" si="16"/>
        <v>64293.083621205355</v>
      </c>
      <c r="J47" s="404">
        <f t="shared" si="16"/>
        <v>35068.954702475647</v>
      </c>
      <c r="K47" s="404">
        <f t="shared" si="16"/>
        <v>64293.083621205355</v>
      </c>
      <c r="L47" s="404">
        <f t="shared" si="16"/>
        <v>61370.670729332385</v>
      </c>
      <c r="M47" s="404">
        <f t="shared" si="16"/>
        <v>61370.670729332385</v>
      </c>
      <c r="N47" s="404">
        <f t="shared" si="16"/>
        <v>35068.954702475647</v>
      </c>
      <c r="O47" s="466">
        <f t="shared" si="16"/>
        <v>686767.02959014813</v>
      </c>
      <c r="Q47" s="857">
        <f>SUM(Q40:Q46)</f>
        <v>63638.643668585159</v>
      </c>
    </row>
    <row r="48" spans="2:17" s="3" customFormat="1" ht="16" x14ac:dyDescent="0.2">
      <c r="B48" s="454" t="s">
        <v>427</v>
      </c>
      <c r="C48" s="471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465"/>
      <c r="Q48" s="856"/>
    </row>
    <row r="49" spans="2:17" s="3" customFormat="1" ht="16" x14ac:dyDescent="0.2">
      <c r="B49" s="438" t="s">
        <v>681</v>
      </c>
      <c r="C49" s="471">
        <f>+$O49/$O$10*C$10</f>
        <v>56714.347148936133</v>
      </c>
      <c r="D49" s="471">
        <f t="shared" ref="D49:N49" si="17">+$O49/$O$10*D$10</f>
        <v>63015.941276595709</v>
      </c>
      <c r="E49" s="471">
        <f t="shared" si="17"/>
        <v>72468.332468085064</v>
      </c>
      <c r="F49" s="471">
        <f t="shared" si="17"/>
        <v>66166.738340425494</v>
      </c>
      <c r="G49" s="471">
        <f t="shared" si="17"/>
        <v>66166.738340425494</v>
      </c>
      <c r="H49" s="471">
        <f t="shared" si="17"/>
        <v>69317.535404255279</v>
      </c>
      <c r="I49" s="471">
        <f t="shared" si="17"/>
        <v>69317.535404255279</v>
      </c>
      <c r="J49" s="471">
        <f t="shared" si="17"/>
        <v>37809.564765957424</v>
      </c>
      <c r="K49" s="471">
        <f t="shared" si="17"/>
        <v>69317.535404255279</v>
      </c>
      <c r="L49" s="471">
        <f t="shared" si="17"/>
        <v>66166.738340425494</v>
      </c>
      <c r="M49" s="471">
        <f t="shared" si="17"/>
        <v>66166.738340425494</v>
      </c>
      <c r="N49" s="471">
        <f t="shared" si="17"/>
        <v>37809.564765957424</v>
      </c>
      <c r="O49" s="465">
        <f>SUMIF('Tab. 10'!$B$6:$B$38,B48,'Tab. 10'!$D$6:$D$38)</f>
        <v>740437.30999999959</v>
      </c>
      <c r="Q49" s="856">
        <f t="shared" ref="Q49:Q55" si="18">O49/$O$6*$O$7</f>
        <v>68611.951505791469</v>
      </c>
    </row>
    <row r="50" spans="2:17" s="3" customFormat="1" ht="16" x14ac:dyDescent="0.2">
      <c r="B50" s="438" t="s">
        <v>77</v>
      </c>
      <c r="C50" s="471">
        <f t="shared" ref="C50:N55" si="19">+$O50/$O$10*C$10</f>
        <v>4726.1955957446808</v>
      </c>
      <c r="D50" s="471">
        <f t="shared" si="19"/>
        <v>5251.3284397163125</v>
      </c>
      <c r="E50" s="471">
        <f t="shared" si="19"/>
        <v>6039.0277056737596</v>
      </c>
      <c r="F50" s="471">
        <f t="shared" si="19"/>
        <v>5513.8948617021279</v>
      </c>
      <c r="G50" s="471">
        <f t="shared" si="19"/>
        <v>5513.8948617021279</v>
      </c>
      <c r="H50" s="471">
        <f t="shared" si="19"/>
        <v>5776.4612836879442</v>
      </c>
      <c r="I50" s="471">
        <f t="shared" si="19"/>
        <v>5776.4612836879442</v>
      </c>
      <c r="J50" s="471">
        <f t="shared" si="19"/>
        <v>3150.7970638297875</v>
      </c>
      <c r="K50" s="471">
        <f t="shared" si="19"/>
        <v>5776.4612836879442</v>
      </c>
      <c r="L50" s="471">
        <f t="shared" si="19"/>
        <v>5513.8948617021279</v>
      </c>
      <c r="M50" s="471">
        <f t="shared" si="19"/>
        <v>5513.8948617021279</v>
      </c>
      <c r="N50" s="471">
        <f t="shared" si="19"/>
        <v>3150.7970638297875</v>
      </c>
      <c r="O50" s="465">
        <f>SUMIF('Tab. 10'!$B$6:$B$38,B48,'Tab. 10'!$F$6:$F$38)</f>
        <v>61703.109166666669</v>
      </c>
      <c r="Q50" s="856">
        <f t="shared" si="18"/>
        <v>5717.662625482626</v>
      </c>
    </row>
    <row r="51" spans="2:17" s="3" customFormat="1" ht="16" x14ac:dyDescent="0.2">
      <c r="B51" s="438" t="s">
        <v>78</v>
      </c>
      <c r="C51" s="471">
        <f t="shared" si="19"/>
        <v>4726.1955957446808</v>
      </c>
      <c r="D51" s="471">
        <f t="shared" si="19"/>
        <v>5251.3284397163125</v>
      </c>
      <c r="E51" s="471">
        <f t="shared" si="19"/>
        <v>6039.0277056737596</v>
      </c>
      <c r="F51" s="471">
        <f t="shared" si="19"/>
        <v>5513.8948617021279</v>
      </c>
      <c r="G51" s="471">
        <f t="shared" si="19"/>
        <v>5513.8948617021279</v>
      </c>
      <c r="H51" s="471">
        <f t="shared" si="19"/>
        <v>5776.4612836879442</v>
      </c>
      <c r="I51" s="471">
        <f t="shared" si="19"/>
        <v>5776.4612836879442</v>
      </c>
      <c r="J51" s="471">
        <f t="shared" si="19"/>
        <v>3150.7970638297875</v>
      </c>
      <c r="K51" s="471">
        <f t="shared" si="19"/>
        <v>5776.4612836879442</v>
      </c>
      <c r="L51" s="471">
        <f t="shared" si="19"/>
        <v>5513.8948617021279</v>
      </c>
      <c r="M51" s="471">
        <f t="shared" si="19"/>
        <v>5513.8948617021279</v>
      </c>
      <c r="N51" s="471">
        <f t="shared" si="19"/>
        <v>3150.7970638297875</v>
      </c>
      <c r="O51" s="465">
        <f>SUMIF('Tab. 10'!$B$6:$B$38,B48,'Tab. 10'!$H$6:$H$38)</f>
        <v>61703.109166666669</v>
      </c>
      <c r="Q51" s="856">
        <f t="shared" si="18"/>
        <v>5717.662625482626</v>
      </c>
    </row>
    <row r="52" spans="2:17" s="3" customFormat="1" ht="16" x14ac:dyDescent="0.2">
      <c r="B52" s="438" t="s">
        <v>682</v>
      </c>
      <c r="C52" s="471">
        <f t="shared" si="19"/>
        <v>13503.686056161701</v>
      </c>
      <c r="D52" s="471">
        <f t="shared" si="19"/>
        <v>15004.095617957448</v>
      </c>
      <c r="E52" s="471">
        <f t="shared" si="19"/>
        <v>17254.709960651064</v>
      </c>
      <c r="F52" s="471">
        <f t="shared" si="19"/>
        <v>15754.300398855319</v>
      </c>
      <c r="G52" s="471">
        <f t="shared" si="19"/>
        <v>15754.300398855319</v>
      </c>
      <c r="H52" s="471">
        <f t="shared" si="19"/>
        <v>16504.505179753192</v>
      </c>
      <c r="I52" s="471">
        <f t="shared" si="19"/>
        <v>16504.505179753192</v>
      </c>
      <c r="J52" s="471">
        <f t="shared" si="19"/>
        <v>9002.4573707744676</v>
      </c>
      <c r="K52" s="471">
        <f t="shared" si="19"/>
        <v>16504.505179753192</v>
      </c>
      <c r="L52" s="471">
        <f t="shared" si="19"/>
        <v>15754.300398855319</v>
      </c>
      <c r="M52" s="471">
        <f t="shared" si="19"/>
        <v>15754.300398855319</v>
      </c>
      <c r="N52" s="471">
        <f t="shared" si="19"/>
        <v>9002.4573707744676</v>
      </c>
      <c r="O52" s="465">
        <f>SUMIF('Tab. 10'!$B$6:$B$38,B48,'Tab. 10'!$E$6:$E$38)</f>
        <v>176298.12351100001</v>
      </c>
      <c r="Q52" s="856">
        <f t="shared" si="18"/>
        <v>16336.505653528959</v>
      </c>
    </row>
    <row r="53" spans="2:17" s="3" customFormat="1" ht="16" x14ac:dyDescent="0.2">
      <c r="B53" s="438" t="s">
        <v>683</v>
      </c>
      <c r="C53" s="471">
        <f t="shared" si="19"/>
        <v>1125.3071713468087</v>
      </c>
      <c r="D53" s="471">
        <f t="shared" si="19"/>
        <v>1250.341301496454</v>
      </c>
      <c r="E53" s="471">
        <f t="shared" si="19"/>
        <v>1437.8924967209221</v>
      </c>
      <c r="F53" s="471">
        <f t="shared" si="19"/>
        <v>1312.8583665712767</v>
      </c>
      <c r="G53" s="471">
        <f t="shared" si="19"/>
        <v>1312.8583665712767</v>
      </c>
      <c r="H53" s="471">
        <f t="shared" si="19"/>
        <v>1375.3754316460995</v>
      </c>
      <c r="I53" s="471">
        <f t="shared" si="19"/>
        <v>1375.3754316460995</v>
      </c>
      <c r="J53" s="471">
        <f t="shared" si="19"/>
        <v>750.20478089787241</v>
      </c>
      <c r="K53" s="471">
        <f t="shared" si="19"/>
        <v>1375.3754316460995</v>
      </c>
      <c r="L53" s="471">
        <f t="shared" si="19"/>
        <v>1312.8583665712767</v>
      </c>
      <c r="M53" s="471">
        <f t="shared" si="19"/>
        <v>1312.8583665712767</v>
      </c>
      <c r="N53" s="471">
        <f t="shared" si="19"/>
        <v>750.20478089787241</v>
      </c>
      <c r="O53" s="465">
        <f>SUMIF('Tab. 10'!$B$6:$B$38,B48,'Tab. 10'!$G$6:$G$38)</f>
        <v>14691.510292583334</v>
      </c>
      <c r="Q53" s="856">
        <f t="shared" si="18"/>
        <v>1361.3754711274132</v>
      </c>
    </row>
    <row r="54" spans="2:17" s="3" customFormat="1" ht="16" x14ac:dyDescent="0.2">
      <c r="B54" s="438" t="s">
        <v>684</v>
      </c>
      <c r="C54" s="471">
        <f t="shared" si="19"/>
        <v>1125.3071713468087</v>
      </c>
      <c r="D54" s="471">
        <f t="shared" si="19"/>
        <v>1250.341301496454</v>
      </c>
      <c r="E54" s="471">
        <f t="shared" si="19"/>
        <v>1437.8924967209221</v>
      </c>
      <c r="F54" s="471">
        <f t="shared" si="19"/>
        <v>1312.8583665712767</v>
      </c>
      <c r="G54" s="471">
        <f t="shared" si="19"/>
        <v>1312.8583665712767</v>
      </c>
      <c r="H54" s="471">
        <f t="shared" si="19"/>
        <v>1375.3754316460995</v>
      </c>
      <c r="I54" s="471">
        <f t="shared" si="19"/>
        <v>1375.3754316460995</v>
      </c>
      <c r="J54" s="471">
        <f t="shared" si="19"/>
        <v>750.20478089787241</v>
      </c>
      <c r="K54" s="471">
        <f t="shared" si="19"/>
        <v>1375.3754316460995</v>
      </c>
      <c r="L54" s="471">
        <f t="shared" si="19"/>
        <v>1312.8583665712767</v>
      </c>
      <c r="M54" s="471">
        <f t="shared" si="19"/>
        <v>1312.8583665712767</v>
      </c>
      <c r="N54" s="471">
        <f t="shared" si="19"/>
        <v>750.20478089787241</v>
      </c>
      <c r="O54" s="465">
        <f>SUMIF('Tab. 10'!$B$6:$B$38,B48,'Tab. 10'!$I$6:$I$38)</f>
        <v>14691.510292583334</v>
      </c>
      <c r="Q54" s="856">
        <f t="shared" si="18"/>
        <v>1361.3754711274132</v>
      </c>
    </row>
    <row r="55" spans="2:17" s="3" customFormat="1" ht="17" thickBot="1" x14ac:dyDescent="0.25">
      <c r="B55" s="438" t="s">
        <v>81</v>
      </c>
      <c r="C55" s="471">
        <f t="shared" si="19"/>
        <v>4201.0627517730509</v>
      </c>
      <c r="D55" s="471">
        <f t="shared" si="19"/>
        <v>4667.8475019700563</v>
      </c>
      <c r="E55" s="471">
        <f t="shared" si="19"/>
        <v>5368.024627265565</v>
      </c>
      <c r="F55" s="471">
        <f t="shared" si="19"/>
        <v>4901.2398770685595</v>
      </c>
      <c r="G55" s="471">
        <f t="shared" si="19"/>
        <v>4901.2398770685595</v>
      </c>
      <c r="H55" s="471">
        <f t="shared" si="19"/>
        <v>5134.6322521670627</v>
      </c>
      <c r="I55" s="471">
        <f t="shared" si="19"/>
        <v>5134.6322521670627</v>
      </c>
      <c r="J55" s="471">
        <f t="shared" si="19"/>
        <v>2800.7085011820341</v>
      </c>
      <c r="K55" s="471">
        <f t="shared" si="19"/>
        <v>5134.6322521670627</v>
      </c>
      <c r="L55" s="471">
        <f t="shared" si="19"/>
        <v>4901.2398770685595</v>
      </c>
      <c r="M55" s="471">
        <f t="shared" si="19"/>
        <v>4901.2398770685595</v>
      </c>
      <c r="N55" s="471">
        <f t="shared" si="19"/>
        <v>2800.7085011820341</v>
      </c>
      <c r="O55" s="465">
        <f>SUMIF('Tab. 10'!$B$6:$B$38,B48,'Tab. 10'!$J$6:$J$38)</f>
        <v>54847.208148148165</v>
      </c>
      <c r="Q55" s="856">
        <f t="shared" si="18"/>
        <v>5082.3667782067796</v>
      </c>
    </row>
    <row r="56" spans="2:17" s="3" customFormat="1" ht="17" thickBot="1" x14ac:dyDescent="0.25">
      <c r="B56" s="455" t="s">
        <v>3</v>
      </c>
      <c r="C56" s="404">
        <f t="shared" ref="C56:O56" si="20">SUM(C49:C55)</f>
        <v>86122.101491053865</v>
      </c>
      <c r="D56" s="404">
        <f t="shared" si="20"/>
        <v>95691.223878948746</v>
      </c>
      <c r="E56" s="404">
        <f t="shared" si="20"/>
        <v>110044.90746079103</v>
      </c>
      <c r="F56" s="404">
        <f t="shared" si="20"/>
        <v>100475.78507289618</v>
      </c>
      <c r="G56" s="404">
        <f t="shared" si="20"/>
        <v>100475.78507289618</v>
      </c>
      <c r="H56" s="404">
        <f t="shared" si="20"/>
        <v>105260.34626684361</v>
      </c>
      <c r="I56" s="404">
        <f t="shared" si="20"/>
        <v>105260.34626684361</v>
      </c>
      <c r="J56" s="404">
        <f t="shared" si="20"/>
        <v>57414.734327369239</v>
      </c>
      <c r="K56" s="404">
        <f t="shared" si="20"/>
        <v>105260.34626684361</v>
      </c>
      <c r="L56" s="404">
        <f t="shared" si="20"/>
        <v>100475.78507289618</v>
      </c>
      <c r="M56" s="404">
        <f t="shared" si="20"/>
        <v>100475.78507289618</v>
      </c>
      <c r="N56" s="404">
        <f t="shared" si="20"/>
        <v>57414.734327369239</v>
      </c>
      <c r="O56" s="466">
        <f t="shared" si="20"/>
        <v>1124371.8805776478</v>
      </c>
      <c r="Q56" s="857">
        <f>SUM(Q49:Q55)</f>
        <v>104188.90013074728</v>
      </c>
    </row>
    <row r="57" spans="2:17" s="3" customFormat="1" ht="16" x14ac:dyDescent="0.2">
      <c r="B57" s="454" t="s">
        <v>675</v>
      </c>
      <c r="C57" s="471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465"/>
      <c r="Q57" s="856"/>
    </row>
    <row r="58" spans="2:17" s="457" customFormat="1" ht="16" outlineLevel="1" x14ac:dyDescent="0.2">
      <c r="B58" s="456" t="s">
        <v>681</v>
      </c>
      <c r="C58" s="472">
        <f>+$O58/$O$10*C$10</f>
        <v>11230.796680851063</v>
      </c>
      <c r="D58" s="472">
        <f t="shared" ref="D58:N58" si="21">+$O58/$O$10*D$10</f>
        <v>12478.662978723403</v>
      </c>
      <c r="E58" s="472">
        <f t="shared" si="21"/>
        <v>14350.462425531914</v>
      </c>
      <c r="F58" s="472">
        <f t="shared" si="21"/>
        <v>13102.596127659574</v>
      </c>
      <c r="G58" s="472">
        <f t="shared" si="21"/>
        <v>13102.596127659574</v>
      </c>
      <c r="H58" s="472">
        <f t="shared" si="21"/>
        <v>13726.529276595744</v>
      </c>
      <c r="I58" s="472">
        <f t="shared" si="21"/>
        <v>13726.529276595744</v>
      </c>
      <c r="J58" s="472">
        <f t="shared" si="21"/>
        <v>7487.1977872340422</v>
      </c>
      <c r="K58" s="472">
        <f t="shared" si="21"/>
        <v>13726.529276595744</v>
      </c>
      <c r="L58" s="472">
        <f t="shared" si="21"/>
        <v>13102.596127659574</v>
      </c>
      <c r="M58" s="472">
        <f t="shared" si="21"/>
        <v>13102.596127659574</v>
      </c>
      <c r="N58" s="472">
        <f t="shared" si="21"/>
        <v>7487.1977872340422</v>
      </c>
      <c r="O58" s="467">
        <f>SUMIF('Tab. 10'!$B$6:$B$38,B57,'Tab. 10'!$D$6:$D$38)</f>
        <v>146624.28999999998</v>
      </c>
      <c r="Q58" s="858">
        <f t="shared" ref="Q58:Q64" si="22">O58/$O$6*$O$7</f>
        <v>13586.806795366792</v>
      </c>
    </row>
    <row r="59" spans="2:17" s="457" customFormat="1" ht="16" outlineLevel="1" x14ac:dyDescent="0.2">
      <c r="B59" s="456" t="s">
        <v>77</v>
      </c>
      <c r="C59" s="472">
        <f t="shared" ref="C59:N64" si="23">+$O59/$O$10*C$10</f>
        <v>935.89972340425527</v>
      </c>
      <c r="D59" s="472">
        <f t="shared" si="23"/>
        <v>1039.8885815602837</v>
      </c>
      <c r="E59" s="472">
        <f t="shared" si="23"/>
        <v>1195.8718687943262</v>
      </c>
      <c r="F59" s="472">
        <f t="shared" si="23"/>
        <v>1091.8830106382977</v>
      </c>
      <c r="G59" s="472">
        <f t="shared" si="23"/>
        <v>1091.8830106382977</v>
      </c>
      <c r="H59" s="472">
        <f t="shared" si="23"/>
        <v>1143.877439716312</v>
      </c>
      <c r="I59" s="472">
        <f t="shared" si="23"/>
        <v>1143.877439716312</v>
      </c>
      <c r="J59" s="472">
        <f t="shared" si="23"/>
        <v>623.93314893617014</v>
      </c>
      <c r="K59" s="472">
        <f t="shared" si="23"/>
        <v>1143.877439716312</v>
      </c>
      <c r="L59" s="472">
        <f t="shared" si="23"/>
        <v>1091.8830106382977</v>
      </c>
      <c r="M59" s="472">
        <f t="shared" si="23"/>
        <v>1091.8830106382977</v>
      </c>
      <c r="N59" s="472">
        <f t="shared" si="23"/>
        <v>623.93314893617014</v>
      </c>
      <c r="O59" s="467">
        <f>SUMIF('Tab. 10'!$B$6:$B$38,B57,'Tab. 10'!$F$6:$F$38)</f>
        <v>12218.690833333332</v>
      </c>
      <c r="Q59" s="858">
        <f t="shared" si="22"/>
        <v>1132.2338996138994</v>
      </c>
    </row>
    <row r="60" spans="2:17" s="457" customFormat="1" ht="16" outlineLevel="1" x14ac:dyDescent="0.2">
      <c r="B60" s="456" t="s">
        <v>78</v>
      </c>
      <c r="C60" s="472">
        <f t="shared" si="23"/>
        <v>935.89972340425527</v>
      </c>
      <c r="D60" s="472">
        <f t="shared" si="23"/>
        <v>1039.8885815602837</v>
      </c>
      <c r="E60" s="472">
        <f t="shared" si="23"/>
        <v>1195.8718687943262</v>
      </c>
      <c r="F60" s="472">
        <f t="shared" si="23"/>
        <v>1091.8830106382977</v>
      </c>
      <c r="G60" s="472">
        <f t="shared" si="23"/>
        <v>1091.8830106382977</v>
      </c>
      <c r="H60" s="472">
        <f t="shared" si="23"/>
        <v>1143.877439716312</v>
      </c>
      <c r="I60" s="472">
        <f t="shared" si="23"/>
        <v>1143.877439716312</v>
      </c>
      <c r="J60" s="472">
        <f t="shared" si="23"/>
        <v>623.93314893617014</v>
      </c>
      <c r="K60" s="472">
        <f t="shared" si="23"/>
        <v>1143.877439716312</v>
      </c>
      <c r="L60" s="472">
        <f t="shared" si="23"/>
        <v>1091.8830106382977</v>
      </c>
      <c r="M60" s="472">
        <f t="shared" si="23"/>
        <v>1091.8830106382977</v>
      </c>
      <c r="N60" s="472">
        <f t="shared" si="23"/>
        <v>623.93314893617014</v>
      </c>
      <c r="O60" s="467">
        <f>SUMIF('Tab. 10'!$B$6:$B$38,B57,'Tab. 10'!$H$6:$H$38)</f>
        <v>12218.690833333332</v>
      </c>
      <c r="Q60" s="858">
        <f t="shared" si="22"/>
        <v>1132.2338996138994</v>
      </c>
    </row>
    <row r="61" spans="2:17" s="457" customFormat="1" ht="16" outlineLevel="1" x14ac:dyDescent="0.2">
      <c r="B61" s="456" t="s">
        <v>682</v>
      </c>
      <c r="C61" s="472">
        <f t="shared" si="23"/>
        <v>2674.0526897106383</v>
      </c>
      <c r="D61" s="472">
        <f t="shared" si="23"/>
        <v>2971.1696552340422</v>
      </c>
      <c r="E61" s="472">
        <f t="shared" si="23"/>
        <v>3416.8451035191488</v>
      </c>
      <c r="F61" s="472">
        <f t="shared" si="23"/>
        <v>3119.7281379957444</v>
      </c>
      <c r="G61" s="472">
        <f t="shared" si="23"/>
        <v>3119.7281379957444</v>
      </c>
      <c r="H61" s="472">
        <f t="shared" si="23"/>
        <v>3268.2866207574466</v>
      </c>
      <c r="I61" s="472">
        <f t="shared" si="23"/>
        <v>3268.2866207574466</v>
      </c>
      <c r="J61" s="472">
        <f t="shared" si="23"/>
        <v>1782.7017931404255</v>
      </c>
      <c r="K61" s="472">
        <f t="shared" si="23"/>
        <v>3268.2866207574466</v>
      </c>
      <c r="L61" s="472">
        <f t="shared" si="23"/>
        <v>3119.7281379957444</v>
      </c>
      <c r="M61" s="472">
        <f t="shared" si="23"/>
        <v>3119.7281379957444</v>
      </c>
      <c r="N61" s="472">
        <f t="shared" si="23"/>
        <v>1782.7017931404255</v>
      </c>
      <c r="O61" s="467">
        <f>SUMIF('Tab. 10'!$B$6:$B$38,B57,'Tab. 10'!$E$6:$E$38)</f>
        <v>34911.243449000001</v>
      </c>
      <c r="Q61" s="858">
        <f t="shared" si="22"/>
        <v>3235.0186979768341</v>
      </c>
    </row>
    <row r="62" spans="2:17" s="457" customFormat="1" ht="16" outlineLevel="1" x14ac:dyDescent="0.2">
      <c r="B62" s="456" t="s">
        <v>683</v>
      </c>
      <c r="C62" s="472">
        <f t="shared" si="23"/>
        <v>222.83772414255321</v>
      </c>
      <c r="D62" s="472">
        <f t="shared" si="23"/>
        <v>247.59747126950359</v>
      </c>
      <c r="E62" s="472">
        <f t="shared" si="23"/>
        <v>284.7370919599291</v>
      </c>
      <c r="F62" s="472">
        <f t="shared" si="23"/>
        <v>259.97734483297876</v>
      </c>
      <c r="G62" s="472">
        <f t="shared" si="23"/>
        <v>259.97734483297876</v>
      </c>
      <c r="H62" s="472">
        <f t="shared" si="23"/>
        <v>272.35721839645396</v>
      </c>
      <c r="I62" s="472">
        <f t="shared" si="23"/>
        <v>272.35721839645396</v>
      </c>
      <c r="J62" s="472">
        <f t="shared" si="23"/>
        <v>148.55848276170215</v>
      </c>
      <c r="K62" s="472">
        <f t="shared" si="23"/>
        <v>272.35721839645396</v>
      </c>
      <c r="L62" s="472">
        <f t="shared" si="23"/>
        <v>259.97734483297876</v>
      </c>
      <c r="M62" s="472">
        <f t="shared" si="23"/>
        <v>259.97734483297876</v>
      </c>
      <c r="N62" s="472">
        <f t="shared" si="23"/>
        <v>148.55848276170215</v>
      </c>
      <c r="O62" s="467">
        <f>SUMIF('Tab. 10'!$B$6:$B$38,B57,'Tab. 10'!$G$6:$G$38)</f>
        <v>2909.2702874166671</v>
      </c>
      <c r="Q62" s="858">
        <f t="shared" si="22"/>
        <v>269.58489149806951</v>
      </c>
    </row>
    <row r="63" spans="2:17" s="457" customFormat="1" ht="16" outlineLevel="1" x14ac:dyDescent="0.2">
      <c r="B63" s="456" t="s">
        <v>684</v>
      </c>
      <c r="C63" s="472">
        <f t="shared" si="23"/>
        <v>222.83772414255321</v>
      </c>
      <c r="D63" s="472">
        <f t="shared" si="23"/>
        <v>247.59747126950359</v>
      </c>
      <c r="E63" s="472">
        <f t="shared" si="23"/>
        <v>284.7370919599291</v>
      </c>
      <c r="F63" s="472">
        <f t="shared" si="23"/>
        <v>259.97734483297876</v>
      </c>
      <c r="G63" s="472">
        <f t="shared" si="23"/>
        <v>259.97734483297876</v>
      </c>
      <c r="H63" s="472">
        <f t="shared" si="23"/>
        <v>272.35721839645396</v>
      </c>
      <c r="I63" s="472">
        <f t="shared" si="23"/>
        <v>272.35721839645396</v>
      </c>
      <c r="J63" s="472">
        <f t="shared" si="23"/>
        <v>148.55848276170215</v>
      </c>
      <c r="K63" s="472">
        <f t="shared" si="23"/>
        <v>272.35721839645396</v>
      </c>
      <c r="L63" s="472">
        <f t="shared" si="23"/>
        <v>259.97734483297876</v>
      </c>
      <c r="M63" s="472">
        <f t="shared" si="23"/>
        <v>259.97734483297876</v>
      </c>
      <c r="N63" s="472">
        <f t="shared" si="23"/>
        <v>148.55848276170215</v>
      </c>
      <c r="O63" s="467">
        <f>SUMIF('Tab. 10'!$B$6:$B$38,B57,'Tab. 10'!$I$6:$I$38)</f>
        <v>2909.2702874166671</v>
      </c>
      <c r="Q63" s="858">
        <f t="shared" si="22"/>
        <v>269.58489149806951</v>
      </c>
    </row>
    <row r="64" spans="2:17" s="457" customFormat="1" ht="17" outlineLevel="1" thickBot="1" x14ac:dyDescent="0.25">
      <c r="B64" s="456" t="s">
        <v>81</v>
      </c>
      <c r="C64" s="472">
        <f t="shared" si="23"/>
        <v>831.91086524822697</v>
      </c>
      <c r="D64" s="472">
        <f t="shared" si="23"/>
        <v>924.34540583136322</v>
      </c>
      <c r="E64" s="472">
        <f t="shared" si="23"/>
        <v>1062.9972167060678</v>
      </c>
      <c r="F64" s="472">
        <f t="shared" si="23"/>
        <v>970.56267612293141</v>
      </c>
      <c r="G64" s="472">
        <f t="shared" si="23"/>
        <v>970.56267612293141</v>
      </c>
      <c r="H64" s="472">
        <f t="shared" si="23"/>
        <v>1016.7799464144996</v>
      </c>
      <c r="I64" s="472">
        <f t="shared" si="23"/>
        <v>1016.7799464144996</v>
      </c>
      <c r="J64" s="472">
        <f t="shared" si="23"/>
        <v>554.60724349881798</v>
      </c>
      <c r="K64" s="472">
        <f t="shared" si="23"/>
        <v>1016.7799464144996</v>
      </c>
      <c r="L64" s="472">
        <f t="shared" si="23"/>
        <v>970.56267612293141</v>
      </c>
      <c r="M64" s="472">
        <f t="shared" si="23"/>
        <v>970.56267612293141</v>
      </c>
      <c r="N64" s="472">
        <f t="shared" si="23"/>
        <v>554.60724349881798</v>
      </c>
      <c r="O64" s="467">
        <f>SUMIF('Tab. 10'!$B$6:$B$38,B57,'Tab. 10'!$J$6:$J$38)</f>
        <v>10861.058518518519</v>
      </c>
      <c r="Q64" s="858">
        <f t="shared" si="22"/>
        <v>1006.430132990133</v>
      </c>
    </row>
    <row r="65" spans="2:17" s="457" customFormat="1" ht="17" outlineLevel="1" thickBot="1" x14ac:dyDescent="0.25">
      <c r="B65" s="458" t="s">
        <v>686</v>
      </c>
      <c r="C65" s="459">
        <f t="shared" ref="C65:O65" si="24">SUM(C58:C64)</f>
        <v>17054.235130903544</v>
      </c>
      <c r="D65" s="459">
        <f t="shared" si="24"/>
        <v>18949.15014544838</v>
      </c>
      <c r="E65" s="459">
        <f t="shared" si="24"/>
        <v>21791.522667265643</v>
      </c>
      <c r="F65" s="459">
        <f t="shared" si="24"/>
        <v>19896.607652720806</v>
      </c>
      <c r="G65" s="459">
        <f t="shared" si="24"/>
        <v>19896.607652720806</v>
      </c>
      <c r="H65" s="459">
        <f t="shared" si="24"/>
        <v>20844.065159993221</v>
      </c>
      <c r="I65" s="459">
        <f t="shared" si="24"/>
        <v>20844.065159993221</v>
      </c>
      <c r="J65" s="459">
        <f t="shared" si="24"/>
        <v>11369.49008726903</v>
      </c>
      <c r="K65" s="459">
        <f t="shared" si="24"/>
        <v>20844.065159993221</v>
      </c>
      <c r="L65" s="459">
        <f t="shared" si="24"/>
        <v>19896.607652720806</v>
      </c>
      <c r="M65" s="459">
        <f t="shared" si="24"/>
        <v>19896.607652720806</v>
      </c>
      <c r="N65" s="459">
        <f t="shared" si="24"/>
        <v>11369.49008726903</v>
      </c>
      <c r="O65" s="468">
        <f t="shared" si="24"/>
        <v>222652.5142090185</v>
      </c>
      <c r="Q65" s="859">
        <f>SUM(Q58:Q64)</f>
        <v>20631.893208557696</v>
      </c>
    </row>
    <row r="66" spans="2:17" s="457" customFormat="1" ht="16" outlineLevel="1" x14ac:dyDescent="0.2">
      <c r="B66" s="456" t="s">
        <v>681</v>
      </c>
      <c r="C66" s="472">
        <v>0</v>
      </c>
      <c r="D66" s="472">
        <v>0</v>
      </c>
      <c r="E66" s="472">
        <f>$O66/SUM($E$10:$N$10)*E$10</f>
        <v>1957.4468085106384</v>
      </c>
      <c r="F66" s="472">
        <f t="shared" ref="F66:N66" si="25">$O66/SUM($E$10:$N$10)*F$10</f>
        <v>1787.2340425531916</v>
      </c>
      <c r="G66" s="472">
        <f t="shared" si="25"/>
        <v>1787.2340425531916</v>
      </c>
      <c r="H66" s="472">
        <f t="shared" si="25"/>
        <v>1872.3404255319149</v>
      </c>
      <c r="I66" s="472">
        <f t="shared" si="25"/>
        <v>1872.3404255319149</v>
      </c>
      <c r="J66" s="472">
        <f t="shared" si="25"/>
        <v>1021.2765957446809</v>
      </c>
      <c r="K66" s="472">
        <f t="shared" si="25"/>
        <v>1872.3404255319149</v>
      </c>
      <c r="L66" s="472">
        <f t="shared" si="25"/>
        <v>1787.2340425531916</v>
      </c>
      <c r="M66" s="472">
        <f t="shared" si="25"/>
        <v>1787.2340425531916</v>
      </c>
      <c r="N66" s="472">
        <f t="shared" si="25"/>
        <v>1021.2765957446809</v>
      </c>
      <c r="O66" s="467">
        <f>'Tab. 10'!$E$45/$O$10*SUM($E$10:$N$10)</f>
        <v>16765.957446808512</v>
      </c>
      <c r="Q66" s="858">
        <f>O66/$O$6*SUM($E$7:$N$7)</f>
        <v>1424.1353815821901</v>
      </c>
    </row>
    <row r="67" spans="2:17" s="457" customFormat="1" ht="16" outlineLevel="1" x14ac:dyDescent="0.2">
      <c r="B67" s="456" t="s">
        <v>77</v>
      </c>
      <c r="C67" s="472">
        <v>0</v>
      </c>
      <c r="D67" s="472">
        <v>0</v>
      </c>
      <c r="E67" s="472">
        <f t="shared" ref="E67:N72" si="26">$O67/SUM($E$10:$N$10)*E$10</f>
        <v>163.12056737588651</v>
      </c>
      <c r="F67" s="472">
        <f t="shared" si="26"/>
        <v>148.93617021276594</v>
      </c>
      <c r="G67" s="472">
        <f t="shared" si="26"/>
        <v>148.93617021276594</v>
      </c>
      <c r="H67" s="472">
        <f t="shared" si="26"/>
        <v>156.02836879432624</v>
      </c>
      <c r="I67" s="472">
        <f t="shared" si="26"/>
        <v>156.02836879432624</v>
      </c>
      <c r="J67" s="472">
        <f t="shared" si="26"/>
        <v>85.106382978723403</v>
      </c>
      <c r="K67" s="472">
        <f t="shared" si="26"/>
        <v>156.02836879432624</v>
      </c>
      <c r="L67" s="472">
        <f t="shared" si="26"/>
        <v>148.93617021276594</v>
      </c>
      <c r="M67" s="472">
        <f t="shared" si="26"/>
        <v>148.93617021276594</v>
      </c>
      <c r="N67" s="472">
        <f t="shared" si="26"/>
        <v>85.106382978723403</v>
      </c>
      <c r="O67" s="467">
        <f>'Tab. 10'!$G$45/$O$10*SUM($E$10:$N$10)</f>
        <v>1397.1631205673759</v>
      </c>
      <c r="Q67" s="858">
        <f t="shared" ref="Q67:Q72" si="27">O67/$O$6*SUM($E$7:$N$7)</f>
        <v>118.67794846518251</v>
      </c>
    </row>
    <row r="68" spans="2:17" s="457" customFormat="1" ht="16" outlineLevel="1" x14ac:dyDescent="0.2">
      <c r="B68" s="456" t="s">
        <v>78</v>
      </c>
      <c r="C68" s="472">
        <v>0</v>
      </c>
      <c r="D68" s="472">
        <v>0</v>
      </c>
      <c r="E68" s="472">
        <f t="shared" si="26"/>
        <v>163.12056737588651</v>
      </c>
      <c r="F68" s="472">
        <f t="shared" si="26"/>
        <v>148.93617021276594</v>
      </c>
      <c r="G68" s="472">
        <f t="shared" si="26"/>
        <v>148.93617021276594</v>
      </c>
      <c r="H68" s="472">
        <f t="shared" si="26"/>
        <v>156.02836879432624</v>
      </c>
      <c r="I68" s="472">
        <f t="shared" si="26"/>
        <v>156.02836879432624</v>
      </c>
      <c r="J68" s="472">
        <f t="shared" si="26"/>
        <v>85.106382978723403</v>
      </c>
      <c r="K68" s="472">
        <f t="shared" si="26"/>
        <v>156.02836879432624</v>
      </c>
      <c r="L68" s="472">
        <f t="shared" si="26"/>
        <v>148.93617021276594</v>
      </c>
      <c r="M68" s="472">
        <f t="shared" si="26"/>
        <v>148.93617021276594</v>
      </c>
      <c r="N68" s="472">
        <f t="shared" si="26"/>
        <v>85.106382978723403</v>
      </c>
      <c r="O68" s="467">
        <f>'Tab. 10'!$I$45/$O$10*SUM($E$10:$N$10)</f>
        <v>1397.1631205673759</v>
      </c>
      <c r="Q68" s="858">
        <f t="shared" si="27"/>
        <v>118.67794846518251</v>
      </c>
    </row>
    <row r="69" spans="2:17" s="457" customFormat="1" ht="16" outlineLevel="1" x14ac:dyDescent="0.2">
      <c r="B69" s="456" t="s">
        <v>682</v>
      </c>
      <c r="C69" s="472">
        <v>0</v>
      </c>
      <c r="D69" s="472">
        <v>0</v>
      </c>
      <c r="E69" s="472">
        <f t="shared" si="26"/>
        <v>466.06808510638302</v>
      </c>
      <c r="F69" s="472">
        <f t="shared" si="26"/>
        <v>425.54042553191493</v>
      </c>
      <c r="G69" s="472">
        <f t="shared" si="26"/>
        <v>425.54042553191493</v>
      </c>
      <c r="H69" s="472">
        <f t="shared" si="26"/>
        <v>445.80425531914898</v>
      </c>
      <c r="I69" s="472">
        <f t="shared" si="26"/>
        <v>445.80425531914898</v>
      </c>
      <c r="J69" s="472">
        <f t="shared" si="26"/>
        <v>243.16595744680853</v>
      </c>
      <c r="K69" s="472">
        <f t="shared" si="26"/>
        <v>445.80425531914898</v>
      </c>
      <c r="L69" s="472">
        <f t="shared" si="26"/>
        <v>425.54042553191493</v>
      </c>
      <c r="M69" s="472">
        <f t="shared" si="26"/>
        <v>425.54042553191493</v>
      </c>
      <c r="N69" s="472">
        <f t="shared" si="26"/>
        <v>243.16595744680853</v>
      </c>
      <c r="O69" s="467">
        <f>'Tab. 10'!$F$45/$O$10*SUM($E$10:$N$10)</f>
        <v>3991.9744680851068</v>
      </c>
      <c r="Q69" s="858">
        <f t="shared" si="27"/>
        <v>339.08663435471948</v>
      </c>
    </row>
    <row r="70" spans="2:17" s="457" customFormat="1" ht="16" outlineLevel="1" x14ac:dyDescent="0.2">
      <c r="B70" s="456" t="s">
        <v>683</v>
      </c>
      <c r="C70" s="472">
        <v>0</v>
      </c>
      <c r="D70" s="472">
        <v>0</v>
      </c>
      <c r="E70" s="472">
        <f t="shared" si="26"/>
        <v>38.839007092198585</v>
      </c>
      <c r="F70" s="472">
        <f t="shared" si="26"/>
        <v>35.461702127659578</v>
      </c>
      <c r="G70" s="472">
        <f t="shared" si="26"/>
        <v>35.461702127659578</v>
      </c>
      <c r="H70" s="472">
        <f t="shared" si="26"/>
        <v>37.150354609929082</v>
      </c>
      <c r="I70" s="472">
        <f t="shared" si="26"/>
        <v>37.150354609929082</v>
      </c>
      <c r="J70" s="472">
        <f t="shared" si="26"/>
        <v>20.263829787234044</v>
      </c>
      <c r="K70" s="472">
        <f t="shared" si="26"/>
        <v>37.150354609929082</v>
      </c>
      <c r="L70" s="472">
        <f t="shared" si="26"/>
        <v>35.461702127659578</v>
      </c>
      <c r="M70" s="472">
        <f t="shared" si="26"/>
        <v>35.461702127659578</v>
      </c>
      <c r="N70" s="472">
        <f t="shared" si="26"/>
        <v>20.263829787234044</v>
      </c>
      <c r="O70" s="467">
        <f>'Tab. 10'!$H$45/$O$10*SUM($E$10:$N$10)</f>
        <v>332.66453900709223</v>
      </c>
      <c r="Q70" s="858">
        <f t="shared" si="27"/>
        <v>28.257219529559961</v>
      </c>
    </row>
    <row r="71" spans="2:17" s="457" customFormat="1" ht="16" outlineLevel="1" x14ac:dyDescent="0.2">
      <c r="B71" s="456" t="s">
        <v>684</v>
      </c>
      <c r="C71" s="472">
        <v>0</v>
      </c>
      <c r="D71" s="472">
        <v>0</v>
      </c>
      <c r="E71" s="472">
        <f t="shared" si="26"/>
        <v>38.839007092198585</v>
      </c>
      <c r="F71" s="472">
        <f t="shared" si="26"/>
        <v>35.461702127659578</v>
      </c>
      <c r="G71" s="472">
        <f t="shared" si="26"/>
        <v>35.461702127659578</v>
      </c>
      <c r="H71" s="472">
        <f t="shared" si="26"/>
        <v>37.150354609929082</v>
      </c>
      <c r="I71" s="472">
        <f t="shared" si="26"/>
        <v>37.150354609929082</v>
      </c>
      <c r="J71" s="472">
        <f t="shared" si="26"/>
        <v>20.263829787234044</v>
      </c>
      <c r="K71" s="472">
        <f t="shared" si="26"/>
        <v>37.150354609929082</v>
      </c>
      <c r="L71" s="472">
        <f t="shared" si="26"/>
        <v>35.461702127659578</v>
      </c>
      <c r="M71" s="472">
        <f t="shared" si="26"/>
        <v>35.461702127659578</v>
      </c>
      <c r="N71" s="472">
        <f t="shared" si="26"/>
        <v>20.263829787234044</v>
      </c>
      <c r="O71" s="467">
        <f>'Tab. 10'!$J$45/$O$10*SUM($E$10:$N$10)</f>
        <v>332.66453900709223</v>
      </c>
      <c r="Q71" s="858">
        <f t="shared" si="27"/>
        <v>28.257219529559961</v>
      </c>
    </row>
    <row r="72" spans="2:17" s="457" customFormat="1" ht="17" outlineLevel="1" thickBot="1" x14ac:dyDescent="0.25">
      <c r="B72" s="456" t="s">
        <v>81</v>
      </c>
      <c r="C72" s="472">
        <v>0</v>
      </c>
      <c r="D72" s="472">
        <v>0</v>
      </c>
      <c r="E72" s="472">
        <f t="shared" si="26"/>
        <v>144.9960598896769</v>
      </c>
      <c r="F72" s="472">
        <f t="shared" si="26"/>
        <v>132.38770685579195</v>
      </c>
      <c r="G72" s="472">
        <f t="shared" si="26"/>
        <v>132.38770685579195</v>
      </c>
      <c r="H72" s="472">
        <f t="shared" si="26"/>
        <v>138.69188337273442</v>
      </c>
      <c r="I72" s="472">
        <f t="shared" si="26"/>
        <v>138.69188337273442</v>
      </c>
      <c r="J72" s="472">
        <f t="shared" si="26"/>
        <v>75.650118203309688</v>
      </c>
      <c r="K72" s="472">
        <f t="shared" si="26"/>
        <v>138.69188337273442</v>
      </c>
      <c r="L72" s="472">
        <f t="shared" si="26"/>
        <v>132.38770685579195</v>
      </c>
      <c r="M72" s="472">
        <f t="shared" si="26"/>
        <v>132.38770685579195</v>
      </c>
      <c r="N72" s="472">
        <f t="shared" si="26"/>
        <v>75.650118203309688</v>
      </c>
      <c r="O72" s="467">
        <f>'Tab. 10'!$K$45/$O$10*SUM($E$10:$N$10)</f>
        <v>1241.9227738376674</v>
      </c>
      <c r="Q72" s="858">
        <f t="shared" si="27"/>
        <v>105.49150974682888</v>
      </c>
    </row>
    <row r="73" spans="2:17" s="457" customFormat="1" ht="17" outlineLevel="1" thickBot="1" x14ac:dyDescent="0.25">
      <c r="B73" s="458" t="s">
        <v>687</v>
      </c>
      <c r="C73" s="459">
        <f t="shared" ref="C73:O73" si="28">SUM(C66:C72)</f>
        <v>0</v>
      </c>
      <c r="D73" s="459">
        <f t="shared" si="28"/>
        <v>0</v>
      </c>
      <c r="E73" s="459">
        <f t="shared" si="28"/>
        <v>2972.4301024428687</v>
      </c>
      <c r="F73" s="459">
        <f t="shared" si="28"/>
        <v>2713.9579196217492</v>
      </c>
      <c r="G73" s="459">
        <f t="shared" si="28"/>
        <v>2713.9579196217492</v>
      </c>
      <c r="H73" s="459">
        <f t="shared" si="28"/>
        <v>2843.1940110323089</v>
      </c>
      <c r="I73" s="459">
        <f t="shared" si="28"/>
        <v>2843.1940110323089</v>
      </c>
      <c r="J73" s="459">
        <f t="shared" si="28"/>
        <v>1550.8330969267138</v>
      </c>
      <c r="K73" s="459">
        <f t="shared" si="28"/>
        <v>2843.1940110323089</v>
      </c>
      <c r="L73" s="459">
        <f t="shared" si="28"/>
        <v>2713.9579196217492</v>
      </c>
      <c r="M73" s="459">
        <f t="shared" si="28"/>
        <v>2713.9579196217492</v>
      </c>
      <c r="N73" s="459">
        <f t="shared" si="28"/>
        <v>1550.8330969267138</v>
      </c>
      <c r="O73" s="468">
        <f t="shared" si="28"/>
        <v>25459.510007880224</v>
      </c>
      <c r="Q73" s="859">
        <f>SUM(Q66:Q72)</f>
        <v>2162.5838616732231</v>
      </c>
    </row>
    <row r="74" spans="2:17" s="3" customFormat="1" ht="16" x14ac:dyDescent="0.2">
      <c r="B74" s="438" t="s">
        <v>681</v>
      </c>
      <c r="C74" s="471">
        <f>+C58+C66</f>
        <v>11230.796680851063</v>
      </c>
      <c r="D74" s="471">
        <f t="shared" ref="D74:N74" si="29">+D58+D66</f>
        <v>12478.662978723403</v>
      </c>
      <c r="E74" s="471">
        <f t="shared" si="29"/>
        <v>16307.909234042552</v>
      </c>
      <c r="F74" s="471">
        <f t="shared" si="29"/>
        <v>14889.830170212765</v>
      </c>
      <c r="G74" s="471">
        <f t="shared" si="29"/>
        <v>14889.830170212765</v>
      </c>
      <c r="H74" s="471">
        <f t="shared" si="29"/>
        <v>15598.869702127658</v>
      </c>
      <c r="I74" s="471">
        <f t="shared" si="29"/>
        <v>15598.869702127658</v>
      </c>
      <c r="J74" s="471">
        <f t="shared" si="29"/>
        <v>8508.4743829787221</v>
      </c>
      <c r="K74" s="471">
        <f t="shared" si="29"/>
        <v>15598.869702127658</v>
      </c>
      <c r="L74" s="471">
        <f t="shared" si="29"/>
        <v>14889.830170212765</v>
      </c>
      <c r="M74" s="471">
        <f t="shared" si="29"/>
        <v>14889.830170212765</v>
      </c>
      <c r="N74" s="471">
        <f t="shared" si="29"/>
        <v>8508.4743829787221</v>
      </c>
      <c r="O74" s="465">
        <f>SUM(C74:N74)</f>
        <v>163390.24744680853</v>
      </c>
      <c r="Q74" s="856">
        <f t="shared" ref="Q74:Q80" si="30">O74/$O$6*$O$7</f>
        <v>15140.409029820097</v>
      </c>
    </row>
    <row r="75" spans="2:17" s="3" customFormat="1" ht="16" x14ac:dyDescent="0.2">
      <c r="B75" s="438" t="s">
        <v>77</v>
      </c>
      <c r="C75" s="471">
        <f t="shared" ref="C75:C80" si="31">+C59+C67</f>
        <v>935.89972340425527</v>
      </c>
      <c r="D75" s="471">
        <f t="shared" ref="D75:N75" si="32">+D59+D67</f>
        <v>1039.8885815602837</v>
      </c>
      <c r="E75" s="471">
        <f t="shared" si="32"/>
        <v>1358.9924361702128</v>
      </c>
      <c r="F75" s="471">
        <f t="shared" si="32"/>
        <v>1240.8191808510637</v>
      </c>
      <c r="G75" s="471">
        <f t="shared" si="32"/>
        <v>1240.8191808510637</v>
      </c>
      <c r="H75" s="471">
        <f t="shared" si="32"/>
        <v>1299.9058085106383</v>
      </c>
      <c r="I75" s="471">
        <f t="shared" si="32"/>
        <v>1299.9058085106383</v>
      </c>
      <c r="J75" s="471">
        <f t="shared" si="32"/>
        <v>709.03953191489359</v>
      </c>
      <c r="K75" s="471">
        <f t="shared" si="32"/>
        <v>1299.9058085106383</v>
      </c>
      <c r="L75" s="471">
        <f t="shared" si="32"/>
        <v>1240.8191808510637</v>
      </c>
      <c r="M75" s="471">
        <f t="shared" si="32"/>
        <v>1240.8191808510637</v>
      </c>
      <c r="N75" s="471">
        <f t="shared" si="32"/>
        <v>709.03953191489359</v>
      </c>
      <c r="O75" s="465">
        <f t="shared" ref="O75:O80" si="33">SUM(C75:N75)</f>
        <v>13615.853953900709</v>
      </c>
      <c r="Q75" s="856">
        <f t="shared" si="30"/>
        <v>1261.7007524850078</v>
      </c>
    </row>
    <row r="76" spans="2:17" s="3" customFormat="1" ht="16" x14ac:dyDescent="0.2">
      <c r="B76" s="438" t="s">
        <v>78</v>
      </c>
      <c r="C76" s="471">
        <f t="shared" si="31"/>
        <v>935.89972340425527</v>
      </c>
      <c r="D76" s="471">
        <f t="shared" ref="D76:N76" si="34">+D60+D68</f>
        <v>1039.8885815602837</v>
      </c>
      <c r="E76" s="471">
        <f t="shared" si="34"/>
        <v>1358.9924361702128</v>
      </c>
      <c r="F76" s="471">
        <f t="shared" si="34"/>
        <v>1240.8191808510637</v>
      </c>
      <c r="G76" s="471">
        <f t="shared" si="34"/>
        <v>1240.8191808510637</v>
      </c>
      <c r="H76" s="471">
        <f t="shared" si="34"/>
        <v>1299.9058085106383</v>
      </c>
      <c r="I76" s="471">
        <f t="shared" si="34"/>
        <v>1299.9058085106383</v>
      </c>
      <c r="J76" s="471">
        <f t="shared" si="34"/>
        <v>709.03953191489359</v>
      </c>
      <c r="K76" s="471">
        <f t="shared" si="34"/>
        <v>1299.9058085106383</v>
      </c>
      <c r="L76" s="471">
        <f t="shared" si="34"/>
        <v>1240.8191808510637</v>
      </c>
      <c r="M76" s="471">
        <f t="shared" si="34"/>
        <v>1240.8191808510637</v>
      </c>
      <c r="N76" s="471">
        <f t="shared" si="34"/>
        <v>709.03953191489359</v>
      </c>
      <c r="O76" s="465">
        <f t="shared" si="33"/>
        <v>13615.853953900709</v>
      </c>
      <c r="Q76" s="856">
        <f t="shared" si="30"/>
        <v>1261.7007524850078</v>
      </c>
    </row>
    <row r="77" spans="2:17" s="3" customFormat="1" ht="16" x14ac:dyDescent="0.2">
      <c r="B77" s="438" t="s">
        <v>682</v>
      </c>
      <c r="C77" s="471">
        <f t="shared" si="31"/>
        <v>2674.0526897106383</v>
      </c>
      <c r="D77" s="471">
        <f t="shared" ref="D77:N77" si="35">+D61+D69</f>
        <v>2971.1696552340422</v>
      </c>
      <c r="E77" s="471">
        <f t="shared" si="35"/>
        <v>3882.9131886255318</v>
      </c>
      <c r="F77" s="471">
        <f t="shared" si="35"/>
        <v>3545.2685635276594</v>
      </c>
      <c r="G77" s="471">
        <f t="shared" si="35"/>
        <v>3545.2685635276594</v>
      </c>
      <c r="H77" s="471">
        <f t="shared" si="35"/>
        <v>3714.0908760765956</v>
      </c>
      <c r="I77" s="471">
        <f t="shared" si="35"/>
        <v>3714.0908760765956</v>
      </c>
      <c r="J77" s="471">
        <f t="shared" si="35"/>
        <v>2025.867750587234</v>
      </c>
      <c r="K77" s="471">
        <f t="shared" si="35"/>
        <v>3714.0908760765956</v>
      </c>
      <c r="L77" s="471">
        <f t="shared" si="35"/>
        <v>3545.2685635276594</v>
      </c>
      <c r="M77" s="471">
        <f t="shared" si="35"/>
        <v>3545.2685635276594</v>
      </c>
      <c r="N77" s="471">
        <f t="shared" si="35"/>
        <v>2025.867750587234</v>
      </c>
      <c r="O77" s="465">
        <f t="shared" si="33"/>
        <v>38903.217917085101</v>
      </c>
      <c r="Q77" s="856">
        <f t="shared" si="30"/>
        <v>3604.9313900001639</v>
      </c>
    </row>
    <row r="78" spans="2:17" s="3" customFormat="1" ht="16" x14ac:dyDescent="0.2">
      <c r="B78" s="438" t="s">
        <v>683</v>
      </c>
      <c r="C78" s="471">
        <f t="shared" si="31"/>
        <v>222.83772414255321</v>
      </c>
      <c r="D78" s="471">
        <f t="shared" ref="D78:N78" si="36">+D62+D70</f>
        <v>247.59747126950359</v>
      </c>
      <c r="E78" s="471">
        <f t="shared" si="36"/>
        <v>323.57609905212769</v>
      </c>
      <c r="F78" s="471">
        <f t="shared" si="36"/>
        <v>295.43904696063834</v>
      </c>
      <c r="G78" s="471">
        <f t="shared" si="36"/>
        <v>295.43904696063834</v>
      </c>
      <c r="H78" s="471">
        <f t="shared" si="36"/>
        <v>309.50757300638304</v>
      </c>
      <c r="I78" s="471">
        <f t="shared" si="36"/>
        <v>309.50757300638304</v>
      </c>
      <c r="J78" s="471">
        <f t="shared" si="36"/>
        <v>168.8223125489362</v>
      </c>
      <c r="K78" s="471">
        <f t="shared" si="36"/>
        <v>309.50757300638304</v>
      </c>
      <c r="L78" s="471">
        <f t="shared" si="36"/>
        <v>295.43904696063834</v>
      </c>
      <c r="M78" s="471">
        <f t="shared" si="36"/>
        <v>295.43904696063834</v>
      </c>
      <c r="N78" s="471">
        <f t="shared" si="36"/>
        <v>168.8223125489362</v>
      </c>
      <c r="O78" s="465">
        <f t="shared" si="33"/>
        <v>3241.9348264237597</v>
      </c>
      <c r="Q78" s="856">
        <f t="shared" si="30"/>
        <v>300.41094916668044</v>
      </c>
    </row>
    <row r="79" spans="2:17" s="3" customFormat="1" ht="16" x14ac:dyDescent="0.2">
      <c r="B79" s="438" t="s">
        <v>684</v>
      </c>
      <c r="C79" s="471">
        <f t="shared" si="31"/>
        <v>222.83772414255321</v>
      </c>
      <c r="D79" s="471">
        <f t="shared" ref="D79:N79" si="37">+D63+D71</f>
        <v>247.59747126950359</v>
      </c>
      <c r="E79" s="471">
        <f t="shared" si="37"/>
        <v>323.57609905212769</v>
      </c>
      <c r="F79" s="471">
        <f t="shared" si="37"/>
        <v>295.43904696063834</v>
      </c>
      <c r="G79" s="471">
        <f t="shared" si="37"/>
        <v>295.43904696063834</v>
      </c>
      <c r="H79" s="471">
        <f t="shared" si="37"/>
        <v>309.50757300638304</v>
      </c>
      <c r="I79" s="471">
        <f t="shared" si="37"/>
        <v>309.50757300638304</v>
      </c>
      <c r="J79" s="471">
        <f t="shared" si="37"/>
        <v>168.8223125489362</v>
      </c>
      <c r="K79" s="471">
        <f t="shared" si="37"/>
        <v>309.50757300638304</v>
      </c>
      <c r="L79" s="471">
        <f t="shared" si="37"/>
        <v>295.43904696063834</v>
      </c>
      <c r="M79" s="471">
        <f t="shared" si="37"/>
        <v>295.43904696063834</v>
      </c>
      <c r="N79" s="471">
        <f t="shared" si="37"/>
        <v>168.8223125489362</v>
      </c>
      <c r="O79" s="465">
        <f t="shared" si="33"/>
        <v>3241.9348264237597</v>
      </c>
      <c r="Q79" s="856">
        <f t="shared" si="30"/>
        <v>300.41094916668044</v>
      </c>
    </row>
    <row r="80" spans="2:17" s="3" customFormat="1" ht="17" thickBot="1" x14ac:dyDescent="0.25">
      <c r="B80" s="438" t="s">
        <v>81</v>
      </c>
      <c r="C80" s="471">
        <f t="shared" si="31"/>
        <v>831.91086524822697</v>
      </c>
      <c r="D80" s="471">
        <f t="shared" ref="D80:N80" si="38">+D64+D72</f>
        <v>924.34540583136322</v>
      </c>
      <c r="E80" s="471">
        <f t="shared" si="38"/>
        <v>1207.9932765957446</v>
      </c>
      <c r="F80" s="471">
        <f t="shared" si="38"/>
        <v>1102.9503829787234</v>
      </c>
      <c r="G80" s="471">
        <f t="shared" si="38"/>
        <v>1102.9503829787234</v>
      </c>
      <c r="H80" s="471">
        <f t="shared" si="38"/>
        <v>1155.4718297872341</v>
      </c>
      <c r="I80" s="471">
        <f t="shared" si="38"/>
        <v>1155.4718297872341</v>
      </c>
      <c r="J80" s="471">
        <f t="shared" si="38"/>
        <v>630.2573617021277</v>
      </c>
      <c r="K80" s="471">
        <f t="shared" si="38"/>
        <v>1155.4718297872341</v>
      </c>
      <c r="L80" s="471">
        <f t="shared" si="38"/>
        <v>1102.9503829787234</v>
      </c>
      <c r="M80" s="471">
        <f t="shared" si="38"/>
        <v>1102.9503829787234</v>
      </c>
      <c r="N80" s="471">
        <f t="shared" si="38"/>
        <v>630.2573617021277</v>
      </c>
      <c r="O80" s="465">
        <f t="shared" si="33"/>
        <v>12102.981292356186</v>
      </c>
      <c r="Q80" s="856">
        <f t="shared" si="30"/>
        <v>1121.5117799866737</v>
      </c>
    </row>
    <row r="81" spans="2:17" s="3" customFormat="1" ht="17" thickBot="1" x14ac:dyDescent="0.25">
      <c r="B81" s="455" t="s">
        <v>3</v>
      </c>
      <c r="C81" s="404">
        <f t="shared" ref="C81:O81" si="39">SUM(C74:C80)</f>
        <v>17054.235130903544</v>
      </c>
      <c r="D81" s="404">
        <f t="shared" si="39"/>
        <v>18949.15014544838</v>
      </c>
      <c r="E81" s="404">
        <f t="shared" si="39"/>
        <v>24763.95276970851</v>
      </c>
      <c r="F81" s="404">
        <f t="shared" si="39"/>
        <v>22610.565572342548</v>
      </c>
      <c r="G81" s="404">
        <f t="shared" si="39"/>
        <v>22610.565572342548</v>
      </c>
      <c r="H81" s="404">
        <f t="shared" si="39"/>
        <v>23687.259171025533</v>
      </c>
      <c r="I81" s="404">
        <f t="shared" si="39"/>
        <v>23687.259171025533</v>
      </c>
      <c r="J81" s="404">
        <f t="shared" si="39"/>
        <v>12920.323184195746</v>
      </c>
      <c r="K81" s="404">
        <f t="shared" si="39"/>
        <v>23687.259171025533</v>
      </c>
      <c r="L81" s="404">
        <f t="shared" si="39"/>
        <v>22610.565572342548</v>
      </c>
      <c r="M81" s="404">
        <f t="shared" si="39"/>
        <v>22610.565572342548</v>
      </c>
      <c r="N81" s="404">
        <f t="shared" si="39"/>
        <v>12920.323184195746</v>
      </c>
      <c r="O81" s="466">
        <f t="shared" si="39"/>
        <v>248112.02421689878</v>
      </c>
      <c r="Q81" s="857">
        <f>SUM(Q74:Q80)</f>
        <v>22991.075603110319</v>
      </c>
    </row>
    <row r="82" spans="2:17" s="3" customFormat="1" ht="16" x14ac:dyDescent="0.2">
      <c r="B82" s="438" t="s">
        <v>681</v>
      </c>
      <c r="C82" s="471">
        <f>'Mens costi industriali DIR'!C$35/(1+'All. 4'!$E$4)+'Mens costi industriali IND'!C$35/(1+'All. 4'!$E$4)</f>
        <v>0</v>
      </c>
      <c r="D82" s="471">
        <f>'Mens costi industriali DIR'!D$35/(1+'All. 4'!$E$4)+'Mens costi industriali IND'!D$35/(1+'All. 4'!$E$4)</f>
        <v>3483.4890633551486</v>
      </c>
      <c r="E82" s="471">
        <f>'Mens costi industriali DIR'!E$35/(1+'All. 4'!$E$4)+'Mens costi industriali IND'!E$35/(1+'All. 4'!$E$4)</f>
        <v>0</v>
      </c>
      <c r="F82" s="471">
        <f>'Mens costi industriali DIR'!F$35/(1+'All. 4'!$E$4)+'Mens costi industriali IND'!F$35/(1+'All. 4'!$E$4)</f>
        <v>0</v>
      </c>
      <c r="G82" s="471">
        <f>'Mens costi industriali DIR'!G$35/(1+'All. 4'!$E$4)+'Mens costi industriali IND'!G$35/(1+'All. 4'!$E$4)</f>
        <v>0</v>
      </c>
      <c r="H82" s="471">
        <f>'Mens costi industriali DIR'!H$35/(1+'All. 4'!$E$4)+'Mens costi industriali IND'!H$35/(1+'All. 4'!$E$4)</f>
        <v>0</v>
      </c>
      <c r="I82" s="471">
        <f>'Mens costi industriali DIR'!I$35/(1+'All. 4'!$E$4)+'Mens costi industriali IND'!I$35/(1+'All. 4'!$E$4)</f>
        <v>0</v>
      </c>
      <c r="J82" s="471">
        <f>'Mens costi industriali DIR'!J$35/(1+'All. 4'!$E$4)+'Mens costi industriali IND'!J$35/(1+'All. 4'!$E$4)</f>
        <v>0</v>
      </c>
      <c r="K82" s="471">
        <f>'Mens costi industriali DIR'!K$35/(1+'All. 4'!$E$4)+'Mens costi industriali IND'!K$35/(1+'All. 4'!$E$4)</f>
        <v>0</v>
      </c>
      <c r="L82" s="471">
        <f>'Mens costi industriali DIR'!L$35/(1+'All. 4'!$E$4)+'Mens costi industriali IND'!L$35/(1+'All. 4'!$E$4)</f>
        <v>0</v>
      </c>
      <c r="M82" s="471">
        <f>'Mens costi industriali DIR'!M$35/(1+'All. 4'!$E$4)+'Mens costi industriali IND'!M$35/(1+'All. 4'!$E$4)</f>
        <v>0</v>
      </c>
      <c r="N82" s="471">
        <f>'Mens costi industriali DIR'!N$35/(1+'All. 4'!$E$4)+'Mens costi industriali IND'!N$35/(1+'All. 4'!$E$4)</f>
        <v>0</v>
      </c>
      <c r="O82" s="465">
        <f>SUM(C82:N82)</f>
        <v>3483.4890633551486</v>
      </c>
      <c r="Q82" s="856">
        <f t="shared" ref="Q82:Q88" si="40">O82/$O$6*$O$7</f>
        <v>322.79435336109486</v>
      </c>
    </row>
    <row r="83" spans="2:17" s="3" customFormat="1" ht="16" x14ac:dyDescent="0.2">
      <c r="B83" s="438" t="s">
        <v>77</v>
      </c>
      <c r="C83" s="471"/>
      <c r="D83" s="471"/>
      <c r="E83" s="471"/>
      <c r="F83" s="471"/>
      <c r="G83" s="471"/>
      <c r="H83" s="471"/>
      <c r="I83" s="471"/>
      <c r="J83" s="471"/>
      <c r="K83" s="471"/>
      <c r="L83" s="471"/>
      <c r="M83" s="471"/>
      <c r="N83" s="471"/>
      <c r="O83" s="465">
        <f t="shared" ref="O83:O88" si="41">SUM(C83:N83)</f>
        <v>0</v>
      </c>
      <c r="Q83" s="856">
        <f t="shared" si="40"/>
        <v>0</v>
      </c>
    </row>
    <row r="84" spans="2:17" s="3" customFormat="1" ht="16" x14ac:dyDescent="0.2">
      <c r="B84" s="438" t="s">
        <v>78</v>
      </c>
      <c r="C84" s="471"/>
      <c r="D84" s="471"/>
      <c r="E84" s="471"/>
      <c r="F84" s="471"/>
      <c r="G84" s="471"/>
      <c r="H84" s="471"/>
      <c r="I84" s="471"/>
      <c r="J84" s="471"/>
      <c r="K84" s="471"/>
      <c r="L84" s="471"/>
      <c r="M84" s="471"/>
      <c r="N84" s="471"/>
      <c r="O84" s="465">
        <f t="shared" si="41"/>
        <v>0</v>
      </c>
      <c r="Q84" s="856">
        <f t="shared" si="40"/>
        <v>0</v>
      </c>
    </row>
    <row r="85" spans="2:17" s="3" customFormat="1" ht="16" x14ac:dyDescent="0.2">
      <c r="B85" s="438" t="s">
        <v>682</v>
      </c>
      <c r="C85" s="471">
        <f>'Mens costi industriali DIR'!C$35*+'All. 4'!$E$4+'Mens costi industriali IND'!C$35*'All. 4'!$E$4</f>
        <v>0</v>
      </c>
      <c r="D85" s="471">
        <f>'Mens costi industriali DIR'!D$35*+'All. 4'!$E$4+'Mens costi industriali IND'!D$35*'All. 4'!$E$4</f>
        <v>1026.9033494038563</v>
      </c>
      <c r="E85" s="471">
        <f>'Mens costi industriali DIR'!E$35*+'All. 4'!$E$4+'Mens costi industriali IND'!E$35*'All. 4'!$E$4</f>
        <v>0</v>
      </c>
      <c r="F85" s="471">
        <f>'Mens costi industriali DIR'!F$35*+'All. 4'!$E$4+'Mens costi industriali IND'!F$35*'All. 4'!$E$4</f>
        <v>0</v>
      </c>
      <c r="G85" s="471">
        <f>'Mens costi industriali DIR'!G$35*+'All. 4'!$E$4+'Mens costi industriali IND'!G$35*'All. 4'!$E$4</f>
        <v>0</v>
      </c>
      <c r="H85" s="471">
        <f>'Mens costi industriali DIR'!H$35*+'All. 4'!$E$4+'Mens costi industriali IND'!H$35*'All. 4'!$E$4</f>
        <v>0</v>
      </c>
      <c r="I85" s="471">
        <f>'Mens costi industriali DIR'!I$35*+'All. 4'!$E$4+'Mens costi industriali IND'!I$35*'All. 4'!$E$4</f>
        <v>0</v>
      </c>
      <c r="J85" s="471">
        <f>'Mens costi industriali DIR'!J$35*+'All. 4'!$E$4+'Mens costi industriali IND'!J$35*'All. 4'!$E$4</f>
        <v>0</v>
      </c>
      <c r="K85" s="471">
        <f>'Mens costi industriali DIR'!K$35*+'All. 4'!$E$4+'Mens costi industriali IND'!K$35*'All. 4'!$E$4</f>
        <v>0</v>
      </c>
      <c r="L85" s="471">
        <f>'Mens costi industriali DIR'!L$35*+'All. 4'!$E$4+'Mens costi industriali IND'!L$35*'All. 4'!$E$4</f>
        <v>0</v>
      </c>
      <c r="M85" s="471">
        <f>'Mens costi industriali DIR'!M$35*+'All. 4'!$E$4+'Mens costi industriali IND'!M$35*'All. 4'!$E$4</f>
        <v>0</v>
      </c>
      <c r="N85" s="471">
        <f>'Mens costi industriali DIR'!N$35*+'All. 4'!$E$4+'Mens costi industriali IND'!N$35*'All. 4'!$E$4</f>
        <v>0</v>
      </c>
      <c r="O85" s="465">
        <f t="shared" si="41"/>
        <v>1026.9033494038563</v>
      </c>
      <c r="Q85" s="856">
        <f t="shared" si="40"/>
        <v>95.157067126226067</v>
      </c>
    </row>
    <row r="86" spans="2:17" s="3" customFormat="1" ht="16" x14ac:dyDescent="0.2">
      <c r="B86" s="438" t="s">
        <v>683</v>
      </c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65">
        <f t="shared" si="41"/>
        <v>0</v>
      </c>
      <c r="Q86" s="856">
        <f t="shared" si="40"/>
        <v>0</v>
      </c>
    </row>
    <row r="87" spans="2:17" s="3" customFormat="1" ht="16" x14ac:dyDescent="0.2">
      <c r="B87" s="438" t="s">
        <v>684</v>
      </c>
      <c r="C87" s="471"/>
      <c r="D87" s="471"/>
      <c r="E87" s="471"/>
      <c r="F87" s="471"/>
      <c r="G87" s="471"/>
      <c r="H87" s="471"/>
      <c r="I87" s="471"/>
      <c r="J87" s="471"/>
      <c r="K87" s="471"/>
      <c r="L87" s="471"/>
      <c r="M87" s="471"/>
      <c r="N87" s="471"/>
      <c r="O87" s="465">
        <f t="shared" si="41"/>
        <v>0</v>
      </c>
      <c r="Q87" s="856">
        <f t="shared" si="40"/>
        <v>0</v>
      </c>
    </row>
    <row r="88" spans="2:17" s="3" customFormat="1" ht="17" thickBot="1" x14ac:dyDescent="0.25">
      <c r="B88" s="438" t="s">
        <v>81</v>
      </c>
      <c r="C88" s="471"/>
      <c r="D88" s="471"/>
      <c r="E88" s="471"/>
      <c r="F88" s="471"/>
      <c r="G88" s="471"/>
      <c r="H88" s="471"/>
      <c r="I88" s="471"/>
      <c r="J88" s="471"/>
      <c r="K88" s="471"/>
      <c r="L88" s="471"/>
      <c r="M88" s="471"/>
      <c r="N88" s="471"/>
      <c r="O88" s="465">
        <f t="shared" si="41"/>
        <v>0</v>
      </c>
      <c r="Q88" s="856">
        <f t="shared" si="40"/>
        <v>0</v>
      </c>
    </row>
    <row r="89" spans="2:17" s="3" customFormat="1" ht="17" thickBot="1" x14ac:dyDescent="0.25">
      <c r="B89" s="455" t="s">
        <v>1366</v>
      </c>
      <c r="C89" s="404">
        <f t="shared" ref="C89:O89" si="42">SUM(C82:C88)</f>
        <v>0</v>
      </c>
      <c r="D89" s="404">
        <f t="shared" si="42"/>
        <v>4510.3924127590053</v>
      </c>
      <c r="E89" s="404">
        <f t="shared" si="42"/>
        <v>0</v>
      </c>
      <c r="F89" s="404">
        <f t="shared" si="42"/>
        <v>0</v>
      </c>
      <c r="G89" s="404">
        <f t="shared" si="42"/>
        <v>0</v>
      </c>
      <c r="H89" s="404">
        <f t="shared" si="42"/>
        <v>0</v>
      </c>
      <c r="I89" s="404">
        <f t="shared" si="42"/>
        <v>0</v>
      </c>
      <c r="J89" s="404">
        <f t="shared" si="42"/>
        <v>0</v>
      </c>
      <c r="K89" s="404">
        <f t="shared" si="42"/>
        <v>0</v>
      </c>
      <c r="L89" s="404">
        <f t="shared" si="42"/>
        <v>0</v>
      </c>
      <c r="M89" s="404">
        <f t="shared" si="42"/>
        <v>0</v>
      </c>
      <c r="N89" s="404">
        <f t="shared" si="42"/>
        <v>0</v>
      </c>
      <c r="O89" s="466">
        <f t="shared" si="42"/>
        <v>4510.3924127590053</v>
      </c>
      <c r="Q89" s="857">
        <f>SUM(Q82:Q88)</f>
        <v>417.95142048732095</v>
      </c>
    </row>
    <row r="90" spans="2:17" s="3" customFormat="1" ht="16" x14ac:dyDescent="0.2">
      <c r="B90" s="460"/>
      <c r="C90" s="473"/>
      <c r="D90" s="474"/>
      <c r="E90" s="474"/>
      <c r="F90" s="474"/>
      <c r="G90" s="474"/>
      <c r="H90" s="474"/>
      <c r="I90" s="474"/>
      <c r="J90" s="474"/>
      <c r="K90" s="474"/>
      <c r="L90" s="474"/>
      <c r="M90" s="474"/>
      <c r="N90" s="474"/>
      <c r="O90" s="465"/>
      <c r="Q90" s="856"/>
    </row>
    <row r="91" spans="2:17" ht="16" x14ac:dyDescent="0.2">
      <c r="B91" s="461" t="s">
        <v>681</v>
      </c>
      <c r="C91" s="473">
        <f>C13+C22+C40+C49+C74+C31+C82</f>
        <v>249622.16017021297</v>
      </c>
      <c r="D91" s="473">
        <f>D13+D22+D40+D49+D74+D31+D82</f>
        <v>280841.44480803621</v>
      </c>
      <c r="E91" s="473">
        <f t="shared" ref="E91:N91" si="43">E13+E22+E40+E49+E74+E31+E82</f>
        <v>320919.0959148939</v>
      </c>
      <c r="F91" s="473">
        <f t="shared" si="43"/>
        <v>293013.08757446834</v>
      </c>
      <c r="G91" s="473">
        <f t="shared" si="43"/>
        <v>293013.08757446834</v>
      </c>
      <c r="H91" s="473">
        <f t="shared" si="43"/>
        <v>306966.09174468112</v>
      </c>
      <c r="I91" s="473">
        <f t="shared" si="43"/>
        <v>306966.09174468112</v>
      </c>
      <c r="J91" s="473">
        <f t="shared" si="43"/>
        <v>167436.05004255334</v>
      </c>
      <c r="K91" s="473">
        <f t="shared" si="43"/>
        <v>306966.09174468112</v>
      </c>
      <c r="L91" s="473">
        <f t="shared" si="43"/>
        <v>293013.08757446834</v>
      </c>
      <c r="M91" s="473">
        <f t="shared" si="43"/>
        <v>293013.08757446834</v>
      </c>
      <c r="N91" s="473">
        <f t="shared" si="43"/>
        <v>167436.05004255334</v>
      </c>
      <c r="O91" s="465">
        <f>SUM(C91:N91)</f>
        <v>3279205.4265101668</v>
      </c>
      <c r="Q91" s="860">
        <f t="shared" ref="Q91:Q97" si="44">Q13+Q22+Q40+Q49+Q74+Q31</f>
        <v>303541.80115337251</v>
      </c>
    </row>
    <row r="92" spans="2:17" ht="16" x14ac:dyDescent="0.2">
      <c r="B92" s="461" t="s">
        <v>77</v>
      </c>
      <c r="C92" s="473">
        <f t="shared" ref="C92:N97" si="45">C14+C23+C41+C50+C75+C32+C83</f>
        <v>20801.846680851049</v>
      </c>
      <c r="D92" s="473">
        <f t="shared" si="45"/>
        <v>23113.162978723387</v>
      </c>
      <c r="E92" s="473">
        <f t="shared" si="45"/>
        <v>26743.257992907784</v>
      </c>
      <c r="F92" s="473">
        <f t="shared" si="45"/>
        <v>24417.757297872318</v>
      </c>
      <c r="G92" s="473">
        <f t="shared" si="45"/>
        <v>24417.757297872318</v>
      </c>
      <c r="H92" s="473">
        <f t="shared" si="45"/>
        <v>25580.507645390055</v>
      </c>
      <c r="I92" s="473">
        <f t="shared" si="45"/>
        <v>25580.507645390055</v>
      </c>
      <c r="J92" s="473">
        <f t="shared" si="45"/>
        <v>13953.004170212756</v>
      </c>
      <c r="K92" s="473">
        <f t="shared" si="45"/>
        <v>25580.507645390055</v>
      </c>
      <c r="L92" s="473">
        <f t="shared" si="45"/>
        <v>24417.757297872318</v>
      </c>
      <c r="M92" s="473">
        <f t="shared" si="45"/>
        <v>24417.757297872318</v>
      </c>
      <c r="N92" s="473">
        <f t="shared" si="45"/>
        <v>13953.004170212756</v>
      </c>
      <c r="O92" s="465">
        <f t="shared" ref="O92:O97" si="46">SUM(C92:N92)</f>
        <v>272976.8281205672</v>
      </c>
      <c r="Q92" s="860">
        <f t="shared" si="44"/>
        <v>25295.150096114336</v>
      </c>
    </row>
    <row r="93" spans="2:17" ht="16" x14ac:dyDescent="0.2">
      <c r="B93" s="461" t="s">
        <v>78</v>
      </c>
      <c r="C93" s="473">
        <f t="shared" si="45"/>
        <v>20801.846680851049</v>
      </c>
      <c r="D93" s="473">
        <f t="shared" si="45"/>
        <v>23113.162978723387</v>
      </c>
      <c r="E93" s="473">
        <f t="shared" si="45"/>
        <v>26743.257992907784</v>
      </c>
      <c r="F93" s="473">
        <f t="shared" si="45"/>
        <v>24417.757297872318</v>
      </c>
      <c r="G93" s="473">
        <f t="shared" si="45"/>
        <v>24417.757297872318</v>
      </c>
      <c r="H93" s="473">
        <f t="shared" si="45"/>
        <v>25580.507645390055</v>
      </c>
      <c r="I93" s="473">
        <f t="shared" si="45"/>
        <v>25580.507645390055</v>
      </c>
      <c r="J93" s="473">
        <f t="shared" si="45"/>
        <v>13953.004170212756</v>
      </c>
      <c r="K93" s="473">
        <f t="shared" si="45"/>
        <v>25580.507645390055</v>
      </c>
      <c r="L93" s="473">
        <f t="shared" si="45"/>
        <v>24417.757297872318</v>
      </c>
      <c r="M93" s="473">
        <f t="shared" si="45"/>
        <v>24417.757297872318</v>
      </c>
      <c r="N93" s="473">
        <f t="shared" si="45"/>
        <v>13953.004170212756</v>
      </c>
      <c r="O93" s="465">
        <f t="shared" si="46"/>
        <v>272976.8281205672</v>
      </c>
      <c r="Q93" s="860">
        <f t="shared" si="44"/>
        <v>25295.150096114336</v>
      </c>
    </row>
    <row r="94" spans="2:17" ht="16" x14ac:dyDescent="0.2">
      <c r="B94" s="461" t="s">
        <v>682</v>
      </c>
      <c r="C94" s="473">
        <f t="shared" si="45"/>
        <v>59435.036336527599</v>
      </c>
      <c r="D94" s="473">
        <f>D16+D25+D43+D52+D77+D34+D85</f>
        <v>67065.832612212311</v>
      </c>
      <c r="E94" s="473">
        <f t="shared" si="45"/>
        <v>76410.836737336096</v>
      </c>
      <c r="F94" s="473">
        <f t="shared" si="45"/>
        <v>69766.416151480778</v>
      </c>
      <c r="G94" s="473">
        <f t="shared" si="45"/>
        <v>69766.416151480778</v>
      </c>
      <c r="H94" s="473">
        <f t="shared" si="45"/>
        <v>73088.626444408437</v>
      </c>
      <c r="I94" s="473">
        <f t="shared" si="45"/>
        <v>73088.626444408437</v>
      </c>
      <c r="J94" s="473">
        <f t="shared" si="45"/>
        <v>39866.523515131878</v>
      </c>
      <c r="K94" s="473">
        <f t="shared" si="45"/>
        <v>73088.626444408437</v>
      </c>
      <c r="L94" s="473">
        <f t="shared" si="45"/>
        <v>69766.416151480778</v>
      </c>
      <c r="M94" s="473">
        <f t="shared" si="45"/>
        <v>69766.416151480778</v>
      </c>
      <c r="N94" s="473">
        <f t="shared" si="45"/>
        <v>39866.523515131878</v>
      </c>
      <c r="O94" s="465">
        <f t="shared" si="46"/>
        <v>780976.2966554882</v>
      </c>
      <c r="Q94" s="860">
        <f t="shared" si="44"/>
        <v>72273.302854617854</v>
      </c>
    </row>
    <row r="95" spans="2:17" ht="16" x14ac:dyDescent="0.2">
      <c r="B95" s="461" t="s">
        <v>683</v>
      </c>
      <c r="C95" s="473">
        <f t="shared" si="45"/>
        <v>4952.9196947106411</v>
      </c>
      <c r="D95" s="473">
        <f t="shared" si="45"/>
        <v>5503.2441052340455</v>
      </c>
      <c r="E95" s="473">
        <f t="shared" si="45"/>
        <v>6367.5697281113507</v>
      </c>
      <c r="F95" s="473">
        <f t="shared" si="45"/>
        <v>5813.8680126234067</v>
      </c>
      <c r="G95" s="473">
        <f t="shared" si="45"/>
        <v>5813.8680126234067</v>
      </c>
      <c r="H95" s="473">
        <f t="shared" si="45"/>
        <v>6090.7188703673792</v>
      </c>
      <c r="I95" s="473">
        <f t="shared" si="45"/>
        <v>6090.7188703673792</v>
      </c>
      <c r="J95" s="473">
        <f t="shared" si="45"/>
        <v>3322.2102929276616</v>
      </c>
      <c r="K95" s="473">
        <f t="shared" si="45"/>
        <v>6090.7188703673792</v>
      </c>
      <c r="L95" s="473">
        <f t="shared" si="45"/>
        <v>5813.8680126234067</v>
      </c>
      <c r="M95" s="473">
        <f t="shared" si="45"/>
        <v>5813.8680126234067</v>
      </c>
      <c r="N95" s="473">
        <f t="shared" si="45"/>
        <v>3322.2102929276616</v>
      </c>
      <c r="O95" s="465">
        <f t="shared" si="46"/>
        <v>64995.782775507134</v>
      </c>
      <c r="Q95" s="860">
        <f t="shared" si="44"/>
        <v>6022.7752378848309</v>
      </c>
    </row>
    <row r="96" spans="2:17" ht="16" x14ac:dyDescent="0.2">
      <c r="B96" s="461" t="s">
        <v>684</v>
      </c>
      <c r="C96" s="473">
        <f t="shared" si="45"/>
        <v>4952.9196947106411</v>
      </c>
      <c r="D96" s="473">
        <f t="shared" si="45"/>
        <v>5503.2441052340455</v>
      </c>
      <c r="E96" s="473">
        <f t="shared" si="45"/>
        <v>6367.5697281113507</v>
      </c>
      <c r="F96" s="473">
        <f t="shared" si="45"/>
        <v>5813.8680126234067</v>
      </c>
      <c r="G96" s="473">
        <f t="shared" si="45"/>
        <v>5813.8680126234067</v>
      </c>
      <c r="H96" s="473">
        <f t="shared" si="45"/>
        <v>6090.7188703673792</v>
      </c>
      <c r="I96" s="473">
        <f t="shared" si="45"/>
        <v>6090.7188703673792</v>
      </c>
      <c r="J96" s="473">
        <f t="shared" si="45"/>
        <v>3322.2102929276616</v>
      </c>
      <c r="K96" s="473">
        <f t="shared" si="45"/>
        <v>6090.7188703673792</v>
      </c>
      <c r="L96" s="473">
        <f t="shared" si="45"/>
        <v>5813.8680126234067</v>
      </c>
      <c r="M96" s="473">
        <f t="shared" si="45"/>
        <v>5813.8680126234067</v>
      </c>
      <c r="N96" s="473">
        <f t="shared" si="45"/>
        <v>3322.2102929276616</v>
      </c>
      <c r="O96" s="465">
        <f t="shared" si="46"/>
        <v>64995.782775507134</v>
      </c>
      <c r="Q96" s="860">
        <f t="shared" si="44"/>
        <v>6022.7752378848309</v>
      </c>
    </row>
    <row r="97" spans="2:17" ht="17" thickBot="1" x14ac:dyDescent="0.25">
      <c r="B97" s="461" t="s">
        <v>81</v>
      </c>
      <c r="C97" s="473">
        <f t="shared" si="45"/>
        <v>18490.530382978752</v>
      </c>
      <c r="D97" s="473">
        <f t="shared" si="45"/>
        <v>20545.033758865284</v>
      </c>
      <c r="E97" s="473">
        <f t="shared" si="45"/>
        <v>23771.784882584754</v>
      </c>
      <c r="F97" s="473">
        <f t="shared" si="45"/>
        <v>21704.673153664335</v>
      </c>
      <c r="G97" s="473">
        <f t="shared" si="45"/>
        <v>21704.673153664335</v>
      </c>
      <c r="H97" s="473">
        <f t="shared" si="45"/>
        <v>22738.229018124548</v>
      </c>
      <c r="I97" s="473">
        <f t="shared" si="45"/>
        <v>22738.229018124548</v>
      </c>
      <c r="J97" s="473">
        <f t="shared" si="45"/>
        <v>12402.67037352248</v>
      </c>
      <c r="K97" s="473">
        <f t="shared" si="45"/>
        <v>22738.229018124548</v>
      </c>
      <c r="L97" s="473">
        <f t="shared" si="45"/>
        <v>21704.673153664335</v>
      </c>
      <c r="M97" s="473">
        <f t="shared" si="45"/>
        <v>21704.673153664335</v>
      </c>
      <c r="N97" s="473">
        <f t="shared" si="45"/>
        <v>12402.67037352248</v>
      </c>
      <c r="O97" s="465">
        <f t="shared" si="46"/>
        <v>242646.06944050471</v>
      </c>
      <c r="Q97" s="860">
        <f t="shared" si="44"/>
        <v>22484.577863212795</v>
      </c>
    </row>
    <row r="98" spans="2:17" ht="17" thickBot="1" x14ac:dyDescent="0.2">
      <c r="B98" s="462" t="s">
        <v>676</v>
      </c>
      <c r="C98" s="413">
        <f t="shared" ref="C98:O98" si="47">SUM(C91:C97)</f>
        <v>379057.25964084273</v>
      </c>
      <c r="D98" s="413">
        <f t="shared" si="47"/>
        <v>425685.12534702866</v>
      </c>
      <c r="E98" s="413">
        <f t="shared" si="47"/>
        <v>487323.37297685299</v>
      </c>
      <c r="F98" s="413">
        <f t="shared" si="47"/>
        <v>444947.42750060488</v>
      </c>
      <c r="G98" s="413">
        <f t="shared" si="47"/>
        <v>444947.42750060488</v>
      </c>
      <c r="H98" s="413">
        <f t="shared" si="47"/>
        <v>466135.40023872897</v>
      </c>
      <c r="I98" s="413">
        <f t="shared" si="47"/>
        <v>466135.40023872897</v>
      </c>
      <c r="J98" s="413">
        <f t="shared" si="47"/>
        <v>254255.67285748851</v>
      </c>
      <c r="K98" s="413">
        <f t="shared" si="47"/>
        <v>466135.40023872897</v>
      </c>
      <c r="L98" s="413">
        <f t="shared" si="47"/>
        <v>444947.42750060488</v>
      </c>
      <c r="M98" s="413">
        <f t="shared" si="47"/>
        <v>444947.42750060488</v>
      </c>
      <c r="N98" s="413">
        <f t="shared" si="47"/>
        <v>254255.67285748851</v>
      </c>
      <c r="O98" s="466">
        <f t="shared" si="47"/>
        <v>4978773.0143983085</v>
      </c>
      <c r="Q98" s="857">
        <f>SUM(Q91:Q97)</f>
        <v>460935.53253920143</v>
      </c>
    </row>
    <row r="101" spans="2:17" x14ac:dyDescent="0.15">
      <c r="N101" s="432" t="s">
        <v>68</v>
      </c>
      <c r="O101" s="463">
        <f>O98-'Tab. 10'!K38-'Tab. 10'!L45/O10*SUM(E10:N10)-O89</f>
        <v>-1.6552803572267294E-10</v>
      </c>
    </row>
  </sheetData>
  <mergeCells count="1">
    <mergeCell ref="C4:O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0AA91-6D35-A844-86C4-AFF4B80D1D80}">
  <sheetPr codeName="Foglio19">
    <tabColor theme="0" tint="-0.499984740745262"/>
  </sheetPr>
  <dimension ref="B2:E47"/>
  <sheetViews>
    <sheetView showGridLines="0" topLeftCell="A16" zoomScale="170" zoomScaleNormal="170" workbookViewId="0">
      <selection activeCell="C41" sqref="C40:C41"/>
    </sheetView>
  </sheetViews>
  <sheetFormatPr baseColWidth="10" defaultRowHeight="14" x14ac:dyDescent="0.2"/>
  <cols>
    <col min="1" max="1" width="10.83203125" style="2"/>
    <col min="2" max="2" width="21.6640625" style="2" bestFit="1" customWidth="1"/>
    <col min="3" max="3" width="13.33203125" style="475" bestFit="1" customWidth="1"/>
    <col min="4" max="16384" width="10.83203125" style="2"/>
  </cols>
  <sheetData>
    <row r="2" spans="2:5" x14ac:dyDescent="0.2">
      <c r="B2" s="2" t="s">
        <v>691</v>
      </c>
    </row>
    <row r="3" spans="2:5" ht="15" thickBot="1" x14ac:dyDescent="0.25"/>
    <row r="4" spans="2:5" x14ac:dyDescent="0.2">
      <c r="B4" s="476"/>
      <c r="C4" s="477" t="s">
        <v>196</v>
      </c>
    </row>
    <row r="5" spans="2:5" x14ac:dyDescent="0.2">
      <c r="B5" s="478" t="s">
        <v>692</v>
      </c>
      <c r="C5" s="479">
        <v>125000</v>
      </c>
    </row>
    <row r="6" spans="2:5" x14ac:dyDescent="0.2">
      <c r="B6" s="478" t="s">
        <v>693</v>
      </c>
      <c r="C6" s="479">
        <v>150000</v>
      </c>
    </row>
    <row r="7" spans="2:5" x14ac:dyDescent="0.2">
      <c r="B7" s="478" t="s">
        <v>694</v>
      </c>
      <c r="C7" s="479">
        <v>860000</v>
      </c>
    </row>
    <row r="8" spans="2:5" x14ac:dyDescent="0.2">
      <c r="B8" s="478" t="s">
        <v>695</v>
      </c>
      <c r="C8" s="479">
        <v>1151250</v>
      </c>
      <c r="E8" s="499"/>
    </row>
    <row r="9" spans="2:5" x14ac:dyDescent="0.2">
      <c r="B9" s="478" t="s">
        <v>696</v>
      </c>
      <c r="C9" s="479">
        <v>72500</v>
      </c>
    </row>
    <row r="10" spans="2:5" x14ac:dyDescent="0.2">
      <c r="B10" s="478" t="s">
        <v>697</v>
      </c>
      <c r="C10" s="479">
        <v>484830</v>
      </c>
      <c r="E10" s="499"/>
    </row>
    <row r="11" spans="2:5" x14ac:dyDescent="0.2">
      <c r="B11" s="478" t="s">
        <v>698</v>
      </c>
      <c r="C11" s="479"/>
    </row>
    <row r="12" spans="2:5" ht="15" thickBot="1" x14ac:dyDescent="0.25">
      <c r="B12" s="478" t="s">
        <v>699</v>
      </c>
      <c r="C12" s="479">
        <v>48000</v>
      </c>
    </row>
    <row r="13" spans="2:5" ht="15" thickBot="1" x14ac:dyDescent="0.25">
      <c r="B13" s="480" t="s">
        <v>700</v>
      </c>
      <c r="C13" s="481">
        <f>SUM(C5:C12)</f>
        <v>2891580</v>
      </c>
      <c r="D13" s="427"/>
    </row>
    <row r="14" spans="2:5" x14ac:dyDescent="0.2">
      <c r="B14" s="476"/>
      <c r="C14" s="482"/>
    </row>
    <row r="15" spans="2:5" x14ac:dyDescent="0.2">
      <c r="B15" s="483" t="s">
        <v>701</v>
      </c>
      <c r="C15" s="479"/>
    </row>
    <row r="16" spans="2:5" x14ac:dyDescent="0.2">
      <c r="B16" s="483"/>
      <c r="C16" s="479"/>
    </row>
    <row r="17" spans="2:5" x14ac:dyDescent="0.2">
      <c r="B17" s="478" t="s">
        <v>702</v>
      </c>
      <c r="C17" s="479"/>
    </row>
    <row r="18" spans="2:5" x14ac:dyDescent="0.2">
      <c r="B18" s="478" t="s">
        <v>693</v>
      </c>
      <c r="C18" s="479"/>
    </row>
    <row r="19" spans="2:5" x14ac:dyDescent="0.2">
      <c r="B19" s="478" t="s">
        <v>703</v>
      </c>
      <c r="C19" s="479"/>
    </row>
    <row r="20" spans="2:5" x14ac:dyDescent="0.2">
      <c r="B20" s="478" t="s">
        <v>704</v>
      </c>
      <c r="C20" s="479">
        <v>525100</v>
      </c>
    </row>
    <row r="21" spans="2:5" x14ac:dyDescent="0.2">
      <c r="B21" s="478" t="s">
        <v>705</v>
      </c>
      <c r="C21" s="479">
        <v>55000</v>
      </c>
    </row>
    <row r="22" spans="2:5" x14ac:dyDescent="0.2">
      <c r="B22" s="478" t="s">
        <v>706</v>
      </c>
      <c r="C22" s="479">
        <v>80000</v>
      </c>
    </row>
    <row r="23" spans="2:5" x14ac:dyDescent="0.2">
      <c r="B23" s="478" t="s">
        <v>707</v>
      </c>
      <c r="C23" s="479">
        <v>90000</v>
      </c>
    </row>
    <row r="24" spans="2:5" x14ac:dyDescent="0.2">
      <c r="B24" s="478" t="s">
        <v>708</v>
      </c>
      <c r="C24" s="479">
        <v>540000</v>
      </c>
    </row>
    <row r="25" spans="2:5" x14ac:dyDescent="0.2">
      <c r="B25" s="478" t="s">
        <v>709</v>
      </c>
      <c r="C25" s="479">
        <v>152000</v>
      </c>
      <c r="E25" s="499"/>
    </row>
    <row r="26" spans="2:5" x14ac:dyDescent="0.2">
      <c r="B26" s="478" t="s">
        <v>710</v>
      </c>
      <c r="C26" s="479">
        <v>46000</v>
      </c>
    </row>
    <row r="27" spans="2:5" x14ac:dyDescent="0.2">
      <c r="B27" s="478" t="s">
        <v>711</v>
      </c>
      <c r="C27" s="479">
        <v>58000</v>
      </c>
      <c r="E27" s="499"/>
    </row>
    <row r="28" spans="2:5" ht="15" thickBot="1" x14ac:dyDescent="0.25">
      <c r="B28" s="478" t="s">
        <v>712</v>
      </c>
      <c r="C28" s="479">
        <v>35000</v>
      </c>
    </row>
    <row r="29" spans="2:5" ht="15" thickBot="1" x14ac:dyDescent="0.25">
      <c r="B29" s="480" t="s">
        <v>713</v>
      </c>
      <c r="C29" s="481">
        <f>SUM(C17:C28)</f>
        <v>1581100</v>
      </c>
    </row>
    <row r="30" spans="2:5" x14ac:dyDescent="0.2">
      <c r="C30" s="484"/>
    </row>
    <row r="31" spans="2:5" x14ac:dyDescent="0.2">
      <c r="B31" s="485" t="s">
        <v>714</v>
      </c>
      <c r="C31" s="484"/>
    </row>
    <row r="32" spans="2:5" x14ac:dyDescent="0.2">
      <c r="C32" s="484"/>
    </row>
    <row r="33" spans="2:4" x14ac:dyDescent="0.2">
      <c r="B33" s="2" t="s">
        <v>85</v>
      </c>
      <c r="C33" s="484">
        <v>369600</v>
      </c>
      <c r="D33" s="2" t="s">
        <v>859</v>
      </c>
    </row>
    <row r="34" spans="2:4" x14ac:dyDescent="0.2">
      <c r="B34" s="2" t="s">
        <v>715</v>
      </c>
      <c r="C34" s="484">
        <v>35000</v>
      </c>
      <c r="D34" s="2" t="s">
        <v>1052</v>
      </c>
    </row>
    <row r="35" spans="2:4" x14ac:dyDescent="0.2">
      <c r="B35" s="2" t="s">
        <v>716</v>
      </c>
      <c r="C35" s="484">
        <v>55500</v>
      </c>
      <c r="D35" s="2" t="s">
        <v>1052</v>
      </c>
    </row>
    <row r="36" spans="2:4" x14ac:dyDescent="0.2">
      <c r="B36" s="2" t="s">
        <v>717</v>
      </c>
      <c r="C36" s="484">
        <v>65000</v>
      </c>
      <c r="D36" s="2" t="s">
        <v>1052</v>
      </c>
    </row>
    <row r="37" spans="2:4" x14ac:dyDescent="0.2">
      <c r="B37" s="427" t="s">
        <v>718</v>
      </c>
      <c r="C37" s="486">
        <f>SUM(C33:C36)</f>
        <v>525100</v>
      </c>
    </row>
    <row r="38" spans="2:4" x14ac:dyDescent="0.2">
      <c r="C38" s="484"/>
    </row>
    <row r="39" spans="2:4" x14ac:dyDescent="0.2">
      <c r="C39" s="484"/>
    </row>
    <row r="40" spans="2:4" x14ac:dyDescent="0.2">
      <c r="B40" s="2" t="s">
        <v>719</v>
      </c>
      <c r="C40" s="484">
        <v>5000</v>
      </c>
      <c r="D40" s="2" t="s">
        <v>725</v>
      </c>
    </row>
    <row r="41" spans="2:4" x14ac:dyDescent="0.2">
      <c r="B41" s="2" t="s">
        <v>720</v>
      </c>
      <c r="C41" s="484">
        <v>120000</v>
      </c>
      <c r="D41" s="2" t="s">
        <v>725</v>
      </c>
    </row>
    <row r="42" spans="2:4" x14ac:dyDescent="0.2">
      <c r="B42" s="2" t="s">
        <v>721</v>
      </c>
      <c r="C42" s="484">
        <v>359830</v>
      </c>
      <c r="D42" s="2" t="s">
        <v>859</v>
      </c>
    </row>
    <row r="43" spans="2:4" x14ac:dyDescent="0.2">
      <c r="B43" s="2" t="s">
        <v>722</v>
      </c>
      <c r="C43" s="484">
        <v>37000</v>
      </c>
      <c r="D43" s="2" t="s">
        <v>211</v>
      </c>
    </row>
    <row r="44" spans="2:4" x14ac:dyDescent="0.2">
      <c r="B44" s="2" t="s">
        <v>723</v>
      </c>
      <c r="C44" s="484">
        <v>9000</v>
      </c>
      <c r="D44" s="2" t="s">
        <v>211</v>
      </c>
    </row>
    <row r="45" spans="2:4" x14ac:dyDescent="0.2">
      <c r="B45" s="427" t="s">
        <v>724</v>
      </c>
      <c r="C45" s="486">
        <f>SUM(C40:C44)</f>
        <v>530830</v>
      </c>
    </row>
    <row r="47" spans="2:4" x14ac:dyDescent="0.2">
      <c r="D47" s="49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 codeName="Foglio2">
    <pageSetUpPr fitToPage="1"/>
  </sheetPr>
  <dimension ref="B1:T24"/>
  <sheetViews>
    <sheetView showGridLines="0" zoomScale="180" zoomScaleNormal="180" workbookViewId="0">
      <selection activeCell="G11" sqref="G11"/>
    </sheetView>
  </sheetViews>
  <sheetFormatPr baseColWidth="10" defaultRowHeight="16" x14ac:dyDescent="0.15"/>
  <cols>
    <col min="1" max="1" width="1.83203125" style="91" customWidth="1"/>
    <col min="2" max="2" width="28.33203125" style="91" bestFit="1" customWidth="1"/>
    <col min="3" max="3" width="12.33203125" style="91" customWidth="1"/>
    <col min="4" max="4" width="14.83203125" style="91" customWidth="1"/>
    <col min="5" max="5" width="13.33203125" style="91" customWidth="1"/>
    <col min="6" max="6" width="13.5" style="91" customWidth="1"/>
    <col min="7" max="9" width="14.1640625" style="91" customWidth="1"/>
    <col min="10" max="10" width="14.33203125" style="91" customWidth="1"/>
    <col min="11" max="11" width="2" style="91" customWidth="1"/>
    <col min="12" max="14" width="7.6640625" style="91" customWidth="1"/>
    <col min="15" max="15" width="8.33203125" style="91" customWidth="1"/>
    <col min="16" max="16" width="2.83203125" style="91" customWidth="1"/>
    <col min="17" max="20" width="14.1640625" style="91" customWidth="1"/>
    <col min="21" max="16384" width="10.83203125" style="91"/>
  </cols>
  <sheetData>
    <row r="1" spans="2:20" x14ac:dyDescent="0.15">
      <c r="B1" s="91" t="s">
        <v>227</v>
      </c>
    </row>
    <row r="2" spans="2:20" ht="17" thickBot="1" x14ac:dyDescent="0.2"/>
    <row r="3" spans="2:20" x14ac:dyDescent="0.15">
      <c r="C3" s="1027" t="s">
        <v>170</v>
      </c>
      <c r="D3" s="1028"/>
      <c r="E3" s="1028"/>
      <c r="F3" s="1029"/>
      <c r="G3" s="1033" t="s">
        <v>183</v>
      </c>
      <c r="H3" s="1034"/>
      <c r="I3" s="1034"/>
      <c r="J3" s="1035"/>
      <c r="L3" s="1033" t="s">
        <v>186</v>
      </c>
      <c r="M3" s="1034"/>
      <c r="N3" s="1034"/>
      <c r="O3" s="1035"/>
      <c r="Q3" s="1038" t="s">
        <v>239</v>
      </c>
      <c r="R3" s="1039"/>
      <c r="S3" s="1039"/>
      <c r="T3" s="1040"/>
    </row>
    <row r="4" spans="2:20" x14ac:dyDescent="0.15">
      <c r="C4" s="1030" t="s">
        <v>150</v>
      </c>
      <c r="D4" s="1018"/>
      <c r="E4" s="1019"/>
      <c r="F4" s="1031" t="s">
        <v>3</v>
      </c>
      <c r="G4" s="1030" t="s">
        <v>150</v>
      </c>
      <c r="H4" s="1018"/>
      <c r="I4" s="1019"/>
      <c r="J4" s="1036" t="s">
        <v>3</v>
      </c>
      <c r="L4" s="1030" t="s">
        <v>150</v>
      </c>
      <c r="M4" s="1018"/>
      <c r="N4" s="1019"/>
      <c r="O4" s="1036" t="s">
        <v>3</v>
      </c>
      <c r="Q4" s="1030" t="s">
        <v>150</v>
      </c>
      <c r="R4" s="1018"/>
      <c r="S4" s="1019"/>
      <c r="T4" s="1041" t="s">
        <v>3</v>
      </c>
    </row>
    <row r="5" spans="2:20" x14ac:dyDescent="0.15">
      <c r="C5" s="217" t="s">
        <v>166</v>
      </c>
      <c r="D5" s="192" t="s">
        <v>167</v>
      </c>
      <c r="E5" s="190" t="s">
        <v>168</v>
      </c>
      <c r="F5" s="1032"/>
      <c r="G5" s="217" t="s">
        <v>166</v>
      </c>
      <c r="H5" s="192" t="s">
        <v>167</v>
      </c>
      <c r="I5" s="190" t="s">
        <v>168</v>
      </c>
      <c r="J5" s="1037"/>
      <c r="L5" s="217" t="s">
        <v>187</v>
      </c>
      <c r="M5" s="192" t="s">
        <v>188</v>
      </c>
      <c r="N5" s="190" t="s">
        <v>168</v>
      </c>
      <c r="O5" s="1037"/>
      <c r="Q5" s="217" t="s">
        <v>166</v>
      </c>
      <c r="R5" s="192" t="s">
        <v>167</v>
      </c>
      <c r="S5" s="190" t="s">
        <v>168</v>
      </c>
      <c r="T5" s="1042"/>
    </row>
    <row r="6" spans="2:20" ht="17" thickBot="1" x14ac:dyDescent="0.2">
      <c r="C6" s="218"/>
      <c r="D6" s="179"/>
      <c r="E6" s="179"/>
      <c r="F6" s="219"/>
      <c r="G6" s="218"/>
      <c r="H6" s="179"/>
      <c r="I6" s="179"/>
      <c r="J6" s="245"/>
      <c r="L6" s="218"/>
      <c r="M6" s="179"/>
      <c r="N6" s="179"/>
      <c r="O6" s="245"/>
      <c r="Q6" s="218"/>
      <c r="R6" s="179"/>
      <c r="S6" s="179"/>
      <c r="T6" s="351"/>
    </row>
    <row r="7" spans="2:20" x14ac:dyDescent="0.15">
      <c r="B7" s="237" t="s">
        <v>151</v>
      </c>
      <c r="C7" s="220">
        <f>+'Tab 0'!B20</f>
        <v>128140000</v>
      </c>
      <c r="D7" s="186">
        <f>+'Tab 0'!C20</f>
        <v>123000000</v>
      </c>
      <c r="E7" s="186">
        <f>+'Tab 0'!D20</f>
        <v>77900000</v>
      </c>
      <c r="F7" s="221">
        <f>SUM(C7:E7)</f>
        <v>329040000</v>
      </c>
      <c r="G7" s="220">
        <f>C7*(1+'Tab 0'!B$10)</f>
        <v>129421400</v>
      </c>
      <c r="H7" s="186">
        <f>D7*(1+'Tab 0'!C$10)</f>
        <v>120540000</v>
      </c>
      <c r="I7" s="186">
        <f>E7*(1+'Tab 0'!D$10)</f>
        <v>81795000</v>
      </c>
      <c r="J7" s="246">
        <f>SUM(G7:I7)</f>
        <v>331756400</v>
      </c>
      <c r="L7" s="270">
        <f t="shared" ref="L7:L16" si="0">IFERROR((G7-C7)/C7,0)</f>
        <v>0.01</v>
      </c>
      <c r="M7" s="268">
        <f t="shared" ref="M7:M16" si="1">IFERROR((H7-D7)/D7,0)</f>
        <v>-0.02</v>
      </c>
      <c r="N7" s="268">
        <f t="shared" ref="N7:N16" si="2">IFERROR((I7-E7)/E7,0)</f>
        <v>0.05</v>
      </c>
      <c r="O7" s="269">
        <f t="shared" ref="O7:O16" si="3">IFERROR((J7-F7)/F7,0)</f>
        <v>8.25553124240214E-3</v>
      </c>
      <c r="Q7" s="220">
        <f>G7*(1+'Tab 0'!B11)</f>
        <v>132009828</v>
      </c>
      <c r="R7" s="186">
        <f>H7*(1+'Tab 0'!C11)</f>
        <v>115718400</v>
      </c>
      <c r="S7" s="186">
        <f>I7*(1+'Tab 0'!D11)</f>
        <v>88338600</v>
      </c>
      <c r="T7" s="352">
        <f>SUM(Q7:S7)</f>
        <v>336066828</v>
      </c>
    </row>
    <row r="8" spans="2:20" x14ac:dyDescent="0.15">
      <c r="B8" s="238" t="s">
        <v>152</v>
      </c>
      <c r="C8" s="222">
        <f>+'Tab 0'!B22</f>
        <v>22111</v>
      </c>
      <c r="D8" s="204">
        <f>+'Tab 0'!C22</f>
        <v>683333.33333333337</v>
      </c>
      <c r="E8" s="204">
        <f>+'Tab 0'!D22</f>
        <v>3158</v>
      </c>
      <c r="F8" s="223">
        <f>SUM(C8:E8)</f>
        <v>708602.33333333337</v>
      </c>
      <c r="G8" s="255">
        <f>C8</f>
        <v>22111</v>
      </c>
      <c r="H8" s="204">
        <f>H7/180</f>
        <v>669666.66666666663</v>
      </c>
      <c r="I8" s="209">
        <f t="shared" ref="I8" si="4">E8</f>
        <v>3158</v>
      </c>
      <c r="J8" s="247">
        <f>SUM(G8:I8)</f>
        <v>694935.66666666663</v>
      </c>
      <c r="L8" s="270">
        <f t="shared" si="0"/>
        <v>0</v>
      </c>
      <c r="M8" s="268">
        <f t="shared" si="1"/>
        <v>-2.0000000000000111E-2</v>
      </c>
      <c r="N8" s="268">
        <f t="shared" si="2"/>
        <v>0</v>
      </c>
      <c r="O8" s="269">
        <f t="shared" si="3"/>
        <v>-1.928679320371051E-2</v>
      </c>
      <c r="Q8" s="222">
        <f>+G8</f>
        <v>22111</v>
      </c>
      <c r="R8" s="204">
        <f>R7/180</f>
        <v>642880</v>
      </c>
      <c r="S8" s="204">
        <f t="shared" ref="S8" si="5">O8</f>
        <v>-1.928679320371051E-2</v>
      </c>
      <c r="T8" s="353">
        <f>SUM(Q8:S8)</f>
        <v>664990.98071320681</v>
      </c>
    </row>
    <row r="9" spans="2:20" x14ac:dyDescent="0.15">
      <c r="B9" s="238" t="s">
        <v>156</v>
      </c>
      <c r="C9" s="224">
        <f>C7/C8</f>
        <v>5795.3055040477593</v>
      </c>
      <c r="D9" s="183">
        <f t="shared" ref="D9:F9" si="6">D7/D8</f>
        <v>180</v>
      </c>
      <c r="E9" s="183">
        <f t="shared" si="6"/>
        <v>24667.511082963902</v>
      </c>
      <c r="F9" s="225">
        <f t="shared" si="6"/>
        <v>464.35071481089295</v>
      </c>
      <c r="G9" s="224">
        <f>G7/G8</f>
        <v>5853.2585590882363</v>
      </c>
      <c r="H9" s="183">
        <f t="shared" ref="H9" si="7">H7/H8</f>
        <v>180</v>
      </c>
      <c r="I9" s="183">
        <f t="shared" ref="I9" si="8">I7/I8</f>
        <v>25900.886637112097</v>
      </c>
      <c r="J9" s="248">
        <f t="shared" ref="J9" si="9">J7/J8</f>
        <v>477.39152832852159</v>
      </c>
      <c r="L9" s="270">
        <f t="shared" si="0"/>
        <v>9.9999999999998996E-3</v>
      </c>
      <c r="M9" s="271">
        <f t="shared" si="1"/>
        <v>0</v>
      </c>
      <c r="N9" s="271">
        <f t="shared" si="2"/>
        <v>0.05</v>
      </c>
      <c r="O9" s="269">
        <f t="shared" si="3"/>
        <v>2.8083974249807093E-2</v>
      </c>
      <c r="Q9" s="357">
        <f>Q7/Q8</f>
        <v>5970.3237302700018</v>
      </c>
      <c r="R9" s="358">
        <f t="shared" ref="R9:T9" si="10">R7/R8</f>
        <v>180</v>
      </c>
      <c r="S9" s="358">
        <f t="shared" si="10"/>
        <v>-4580263762.1999741</v>
      </c>
      <c r="T9" s="354">
        <f t="shared" si="10"/>
        <v>505.3705053857517</v>
      </c>
    </row>
    <row r="10" spans="2:20" ht="17" thickBot="1" x14ac:dyDescent="0.2">
      <c r="B10" s="238"/>
      <c r="C10" s="224"/>
      <c r="D10" s="183"/>
      <c r="E10" s="183"/>
      <c r="F10" s="225"/>
      <c r="G10" s="224"/>
      <c r="H10" s="183"/>
      <c r="I10" s="183"/>
      <c r="J10" s="248"/>
      <c r="L10" s="224"/>
      <c r="M10" s="183"/>
      <c r="N10" s="183"/>
      <c r="O10" s="248"/>
      <c r="Q10" s="357"/>
      <c r="R10" s="358"/>
      <c r="S10" s="358"/>
      <c r="T10" s="354"/>
    </row>
    <row r="11" spans="2:20" ht="17" thickBot="1" x14ac:dyDescent="0.2">
      <c r="B11" s="241" t="s">
        <v>154</v>
      </c>
      <c r="C11" s="242">
        <f>'Tab 0'!B24</f>
        <v>38442000</v>
      </c>
      <c r="D11" s="243">
        <f>'Tab 0'!C24</f>
        <v>79446800</v>
      </c>
      <c r="E11" s="243">
        <f>'Tab 0'!D24</f>
        <v>10251200</v>
      </c>
      <c r="F11" s="244">
        <f>SUM(C11:E11)</f>
        <v>128140000</v>
      </c>
      <c r="G11" s="242">
        <f>+G14*G15</f>
        <v>52151533.258064516</v>
      </c>
      <c r="H11" s="243">
        <f>+H12*H7</f>
        <v>77857864</v>
      </c>
      <c r="I11" s="243">
        <f>+I14*I15</f>
        <v>13800000</v>
      </c>
      <c r="J11" s="249">
        <f>SUM(G11:I11)</f>
        <v>143809397.25806451</v>
      </c>
      <c r="L11" s="272">
        <f t="shared" si="0"/>
        <v>0.35662903225806453</v>
      </c>
      <c r="M11" s="273">
        <f t="shared" si="1"/>
        <v>-0.02</v>
      </c>
      <c r="N11" s="273">
        <f t="shared" si="2"/>
        <v>0.34618386140159202</v>
      </c>
      <c r="O11" s="274">
        <f t="shared" si="3"/>
        <v>0.12228341858954665</v>
      </c>
      <c r="Q11" s="242">
        <f>Q12*Q7</f>
        <v>53194563.923225805</v>
      </c>
      <c r="R11" s="243">
        <f t="shared" ref="R11:S11" si="11">R12*R7</f>
        <v>74743549.439999998</v>
      </c>
      <c r="S11" s="243">
        <f t="shared" si="11"/>
        <v>14904000</v>
      </c>
      <c r="T11" s="355">
        <f>SUM(Q11:S11)</f>
        <v>142842113.36322582</v>
      </c>
    </row>
    <row r="12" spans="2:20" s="200" customFormat="1" ht="17" thickBot="1" x14ac:dyDescent="0.2">
      <c r="B12" s="239" t="s">
        <v>153</v>
      </c>
      <c r="C12" s="257">
        <f>'Tab 0'!B26</f>
        <v>0.3</v>
      </c>
      <c r="D12" s="258">
        <f>'Tab 0'!C26</f>
        <v>0.64590894308943092</v>
      </c>
      <c r="E12" s="258">
        <f>'Tab 0'!D26</f>
        <v>0.13159435173299103</v>
      </c>
      <c r="F12" s="259">
        <f>'Tab 0'!E26</f>
        <v>0.31253658536585366</v>
      </c>
      <c r="G12" s="257">
        <f>+G11/G7</f>
        <v>0.40295911849249438</v>
      </c>
      <c r="H12" s="260">
        <f>+D12</f>
        <v>0.64590894308943092</v>
      </c>
      <c r="I12" s="258">
        <f>+I11/I7</f>
        <v>0.16871446909957821</v>
      </c>
      <c r="J12" s="261">
        <f>+J11/J7</f>
        <v>0.433478893724626</v>
      </c>
      <c r="L12" s="272">
        <f t="shared" si="0"/>
        <v>0.34319706164164798</v>
      </c>
      <c r="M12" s="273">
        <f t="shared" si="1"/>
        <v>0</v>
      </c>
      <c r="N12" s="273">
        <f t="shared" si="2"/>
        <v>0.28207986800151608</v>
      </c>
      <c r="O12" s="274">
        <f t="shared" si="3"/>
        <v>0.38697008293348417</v>
      </c>
      <c r="Q12" s="349">
        <f>G12</f>
        <v>0.40295911849249438</v>
      </c>
      <c r="R12" s="350">
        <f t="shared" ref="R12:S12" si="12">H12</f>
        <v>0.64590894308943092</v>
      </c>
      <c r="S12" s="350">
        <f t="shared" si="12"/>
        <v>0.16871446909957821</v>
      </c>
      <c r="T12" s="356">
        <f>+T11/T7</f>
        <v>0.42504079981147624</v>
      </c>
    </row>
    <row r="13" spans="2:20" x14ac:dyDescent="0.15">
      <c r="B13" s="238"/>
      <c r="C13" s="226"/>
      <c r="D13" s="205"/>
      <c r="E13" s="205"/>
      <c r="F13" s="227"/>
      <c r="G13" s="226"/>
      <c r="H13" s="205"/>
      <c r="I13" s="205"/>
      <c r="J13" s="250"/>
      <c r="L13" s="226"/>
      <c r="M13" s="205"/>
      <c r="N13" s="205"/>
      <c r="O13" s="250"/>
    </row>
    <row r="14" spans="2:20" x14ac:dyDescent="0.15">
      <c r="B14" s="238" t="s">
        <v>155</v>
      </c>
      <c r="C14" s="222">
        <f>'Tab 0'!B28</f>
        <v>6200</v>
      </c>
      <c r="D14" s="204">
        <f>'Tab 0'!C28</f>
        <v>441371.11111111112</v>
      </c>
      <c r="E14" s="204">
        <f>'Tab 0'!D28</f>
        <v>600</v>
      </c>
      <c r="F14" s="223">
        <f>SUM(C14:E14)</f>
        <v>448171.11111111112</v>
      </c>
      <c r="G14" s="222">
        <f>G8*G16</f>
        <v>8411.1</v>
      </c>
      <c r="H14" s="204">
        <f>H11/180</f>
        <v>432543.68888888886</v>
      </c>
      <c r="I14" s="209">
        <f>+E14</f>
        <v>600</v>
      </c>
      <c r="J14" s="247">
        <f>SUM(G14:I14)</f>
        <v>441554.78888888884</v>
      </c>
      <c r="L14" s="270">
        <f t="shared" si="0"/>
        <v>0.35662903225806458</v>
      </c>
      <c r="M14" s="271">
        <f t="shared" si="1"/>
        <v>-2.0000000000000084E-2</v>
      </c>
      <c r="N14" s="271">
        <f t="shared" si="2"/>
        <v>0</v>
      </c>
      <c r="O14" s="269">
        <f t="shared" si="3"/>
        <v>-1.4762937766825307E-2</v>
      </c>
    </row>
    <row r="15" spans="2:20" x14ac:dyDescent="0.15">
      <c r="B15" s="238" t="s">
        <v>156</v>
      </c>
      <c r="C15" s="228">
        <f>+C11/C14</f>
        <v>6200.322580645161</v>
      </c>
      <c r="D15" s="206">
        <f t="shared" ref="D15:F15" si="13">+D11/D14</f>
        <v>180</v>
      </c>
      <c r="E15" s="206">
        <f t="shared" si="13"/>
        <v>17085.333333333332</v>
      </c>
      <c r="F15" s="229">
        <f t="shared" si="13"/>
        <v>285.91758108262218</v>
      </c>
      <c r="G15" s="228">
        <f>+C15</f>
        <v>6200.322580645161</v>
      </c>
      <c r="H15" s="206">
        <f t="shared" ref="H15" si="14">+H11/H14</f>
        <v>180</v>
      </c>
      <c r="I15" s="216">
        <v>23000</v>
      </c>
      <c r="J15" s="251">
        <f t="shared" ref="J15" si="15">+J11/J14</f>
        <v>325.68868207712308</v>
      </c>
      <c r="L15" s="270">
        <f t="shared" si="0"/>
        <v>0</v>
      </c>
      <c r="M15" s="271">
        <f t="shared" si="1"/>
        <v>0</v>
      </c>
      <c r="N15" s="271">
        <f t="shared" si="2"/>
        <v>0.34618386140159213</v>
      </c>
      <c r="O15" s="269">
        <f t="shared" si="3"/>
        <v>0.13909987921661998</v>
      </c>
    </row>
    <row r="16" spans="2:20" s="200" customFormat="1" x14ac:dyDescent="0.15">
      <c r="B16" s="239" t="s">
        <v>157</v>
      </c>
      <c r="C16" s="262">
        <f>C14/C8</f>
        <v>0.28040341911265887</v>
      </c>
      <c r="D16" s="263">
        <f t="shared" ref="D16:F16" si="16">D14/D8</f>
        <v>0.64590894308943092</v>
      </c>
      <c r="E16" s="263">
        <f t="shared" si="16"/>
        <v>0.18999366687777075</v>
      </c>
      <c r="F16" s="264">
        <f t="shared" si="16"/>
        <v>0.63247196633247205</v>
      </c>
      <c r="G16" s="265">
        <f>+C16+10%</f>
        <v>0.38040341911265885</v>
      </c>
      <c r="H16" s="263">
        <f t="shared" ref="H16:J16" si="17">H14/H8</f>
        <v>0.64590894308943092</v>
      </c>
      <c r="I16" s="263">
        <f t="shared" si="17"/>
        <v>0.18999366687777075</v>
      </c>
      <c r="J16" s="266">
        <f t="shared" si="17"/>
        <v>0.63538944692082611</v>
      </c>
      <c r="L16" s="272">
        <f t="shared" si="0"/>
        <v>0.35662903225806442</v>
      </c>
      <c r="M16" s="273">
        <f t="shared" si="1"/>
        <v>0</v>
      </c>
      <c r="N16" s="273">
        <f t="shared" si="2"/>
        <v>0</v>
      </c>
      <c r="O16" s="274">
        <f t="shared" si="3"/>
        <v>4.6128219805088178E-3</v>
      </c>
    </row>
    <row r="17" spans="2:15" x14ac:dyDescent="0.15">
      <c r="B17" s="238"/>
      <c r="C17" s="226"/>
      <c r="D17" s="205"/>
      <c r="E17" s="205"/>
      <c r="F17" s="227"/>
      <c r="G17" s="226"/>
      <c r="H17" s="205"/>
      <c r="I17" s="205"/>
      <c r="J17" s="250"/>
      <c r="L17" s="226"/>
      <c r="M17" s="205"/>
      <c r="N17" s="205"/>
      <c r="O17" s="250"/>
    </row>
    <row r="18" spans="2:15" x14ac:dyDescent="0.15">
      <c r="B18" s="238" t="s">
        <v>175</v>
      </c>
      <c r="C18" s="230"/>
      <c r="D18" s="180"/>
      <c r="E18" s="180"/>
      <c r="F18" s="231"/>
      <c r="G18" s="230"/>
      <c r="H18" s="180"/>
      <c r="I18" s="180"/>
      <c r="J18" s="252"/>
      <c r="L18" s="230"/>
      <c r="M18" s="180"/>
      <c r="N18" s="180"/>
      <c r="O18" s="252"/>
    </row>
    <row r="19" spans="2:15" x14ac:dyDescent="0.15">
      <c r="B19" s="238" t="s">
        <v>176</v>
      </c>
      <c r="C19" s="230">
        <f>+'Tab 0'!B52</f>
        <v>50</v>
      </c>
      <c r="D19" s="180">
        <f>+'Tab 0'!C52</f>
        <v>0</v>
      </c>
      <c r="E19" s="180">
        <f>+'Tab 0'!D52</f>
        <v>7</v>
      </c>
      <c r="F19" s="231">
        <f t="shared" ref="F19:F22" si="18">SUM(C19:E19)</f>
        <v>57</v>
      </c>
      <c r="G19" s="267">
        <f>+C19+2</f>
        <v>52</v>
      </c>
      <c r="H19" s="180">
        <f>+D19</f>
        <v>0</v>
      </c>
      <c r="I19" s="180">
        <f>+E19</f>
        <v>7</v>
      </c>
      <c r="J19" s="252">
        <f t="shared" ref="J19:J22" si="19">SUM(G19:I19)</f>
        <v>59</v>
      </c>
      <c r="L19" s="270">
        <f>IFERROR((G19-C19)/C19,0)</f>
        <v>0.04</v>
      </c>
      <c r="M19" s="271">
        <f>IFERROR((H19-D19)/D19,0)</f>
        <v>0</v>
      </c>
      <c r="N19" s="271">
        <f t="shared" ref="N19:O22" si="20">IFERROR((I19-E19)/E19,0)</f>
        <v>0</v>
      </c>
      <c r="O19" s="269">
        <f t="shared" si="20"/>
        <v>3.5087719298245612E-2</v>
      </c>
    </row>
    <row r="20" spans="2:15" x14ac:dyDescent="0.15">
      <c r="B20" s="238" t="s">
        <v>177</v>
      </c>
      <c r="C20" s="230">
        <f>+'Tab 0'!B53</f>
        <v>40</v>
      </c>
      <c r="D20" s="180">
        <f>+'Tab 0'!C53</f>
        <v>0</v>
      </c>
      <c r="E20" s="180">
        <f>+'Tab 0'!D53</f>
        <v>2</v>
      </c>
      <c r="F20" s="231">
        <f t="shared" si="18"/>
        <v>42</v>
      </c>
      <c r="G20" s="267">
        <f>+C20+1</f>
        <v>41</v>
      </c>
      <c r="H20" s="180">
        <f t="shared" ref="H20:I21" si="21">+D20</f>
        <v>0</v>
      </c>
      <c r="I20" s="180">
        <f t="shared" si="21"/>
        <v>2</v>
      </c>
      <c r="J20" s="252">
        <f t="shared" si="19"/>
        <v>43</v>
      </c>
      <c r="L20" s="270">
        <f t="shared" ref="L20:M24" si="22">IFERROR((G20-C20)/C20,0)</f>
        <v>2.5000000000000001E-2</v>
      </c>
      <c r="M20" s="271">
        <f t="shared" si="22"/>
        <v>0</v>
      </c>
      <c r="N20" s="271">
        <f t="shared" si="20"/>
        <v>0</v>
      </c>
      <c r="O20" s="269">
        <f t="shared" si="20"/>
        <v>2.3809523809523808E-2</v>
      </c>
    </row>
    <row r="21" spans="2:15" x14ac:dyDescent="0.15">
      <c r="B21" s="238" t="s">
        <v>178</v>
      </c>
      <c r="C21" s="230">
        <f>+'Tab 0'!B54</f>
        <v>25</v>
      </c>
      <c r="D21" s="180">
        <f>+'Tab 0'!C54</f>
        <v>0</v>
      </c>
      <c r="E21" s="180">
        <f>+'Tab 0'!D54</f>
        <v>3</v>
      </c>
      <c r="F21" s="231">
        <f t="shared" si="18"/>
        <v>28</v>
      </c>
      <c r="G21" s="267">
        <f>+C21+4</f>
        <v>29</v>
      </c>
      <c r="H21" s="180">
        <f t="shared" si="21"/>
        <v>0</v>
      </c>
      <c r="I21" s="180">
        <f t="shared" si="21"/>
        <v>3</v>
      </c>
      <c r="J21" s="252">
        <f t="shared" si="19"/>
        <v>32</v>
      </c>
      <c r="L21" s="270">
        <f t="shared" si="22"/>
        <v>0.16</v>
      </c>
      <c r="M21" s="271">
        <f t="shared" si="22"/>
        <v>0</v>
      </c>
      <c r="N21" s="271">
        <f t="shared" si="20"/>
        <v>0</v>
      </c>
      <c r="O21" s="269">
        <f t="shared" si="20"/>
        <v>0.14285714285714285</v>
      </c>
    </row>
    <row r="22" spans="2:15" x14ac:dyDescent="0.15">
      <c r="B22" s="239" t="s">
        <v>179</v>
      </c>
      <c r="C22" s="232">
        <f>SUM(C19:C21)</f>
        <v>115</v>
      </c>
      <c r="D22" s="207">
        <f t="shared" ref="D22:E22" si="23">SUM(D19:D21)</f>
        <v>0</v>
      </c>
      <c r="E22" s="207">
        <f t="shared" si="23"/>
        <v>12</v>
      </c>
      <c r="F22" s="233">
        <f t="shared" si="18"/>
        <v>127</v>
      </c>
      <c r="G22" s="232">
        <f>SUM(G19:G21)</f>
        <v>122</v>
      </c>
      <c r="H22" s="207">
        <f t="shared" ref="H22" si="24">SUM(H19:H21)</f>
        <v>0</v>
      </c>
      <c r="I22" s="207">
        <f t="shared" ref="I22" si="25">SUM(I19:I21)</f>
        <v>12</v>
      </c>
      <c r="J22" s="253">
        <f t="shared" si="19"/>
        <v>134</v>
      </c>
      <c r="L22" s="272">
        <f t="shared" si="22"/>
        <v>6.0869565217391307E-2</v>
      </c>
      <c r="M22" s="273">
        <f t="shared" si="22"/>
        <v>0</v>
      </c>
      <c r="N22" s="273">
        <f t="shared" si="20"/>
        <v>0</v>
      </c>
      <c r="O22" s="274">
        <f t="shared" si="20"/>
        <v>5.5118110236220472E-2</v>
      </c>
    </row>
    <row r="23" spans="2:15" ht="5" customHeight="1" x14ac:dyDescent="0.15">
      <c r="B23" s="238"/>
      <c r="C23" s="230"/>
      <c r="D23" s="180"/>
      <c r="E23" s="180"/>
      <c r="F23" s="231"/>
      <c r="G23" s="230"/>
      <c r="H23" s="180"/>
      <c r="I23" s="180"/>
      <c r="J23" s="252"/>
      <c r="L23" s="230"/>
      <c r="M23" s="180"/>
      <c r="N23" s="180"/>
      <c r="O23" s="252"/>
    </row>
    <row r="24" spans="2:15" ht="17" thickBot="1" x14ac:dyDescent="0.2">
      <c r="B24" s="240" t="s">
        <v>158</v>
      </c>
      <c r="C24" s="234">
        <f t="shared" ref="C24:J24" si="26">IFERROR(C11/C22,0)</f>
        <v>334278.26086956525</v>
      </c>
      <c r="D24" s="235">
        <f t="shared" si="26"/>
        <v>0</v>
      </c>
      <c r="E24" s="235">
        <f t="shared" si="26"/>
        <v>854266.66666666663</v>
      </c>
      <c r="F24" s="236">
        <f t="shared" si="26"/>
        <v>1008976.3779527559</v>
      </c>
      <c r="G24" s="234">
        <f t="shared" si="26"/>
        <v>427471.584082496</v>
      </c>
      <c r="H24" s="235">
        <f t="shared" si="26"/>
        <v>0</v>
      </c>
      <c r="I24" s="235">
        <f t="shared" si="26"/>
        <v>1150000</v>
      </c>
      <c r="J24" s="254">
        <f t="shared" si="26"/>
        <v>1073204.4571497352</v>
      </c>
      <c r="L24" s="275">
        <f t="shared" si="22"/>
        <v>0.27878966155473273</v>
      </c>
      <c r="M24" s="276">
        <f t="shared" si="22"/>
        <v>0</v>
      </c>
      <c r="N24" s="276">
        <f t="shared" ref="N24" si="27">IFERROR((I24-E24)/E24,0)</f>
        <v>0.34618386140159207</v>
      </c>
      <c r="O24" s="277">
        <f t="shared" ref="O24" si="28">IFERROR((J24-F24)/F24,0)</f>
        <v>6.3656672842331591E-2</v>
      </c>
    </row>
  </sheetData>
  <mergeCells count="12">
    <mergeCell ref="Q3:T3"/>
    <mergeCell ref="Q4:S4"/>
    <mergeCell ref="T4:T5"/>
    <mergeCell ref="L3:O3"/>
    <mergeCell ref="L4:N4"/>
    <mergeCell ref="O4:O5"/>
    <mergeCell ref="C3:F3"/>
    <mergeCell ref="C4:E4"/>
    <mergeCell ref="F4:F5"/>
    <mergeCell ref="G3:J3"/>
    <mergeCell ref="G4:I4"/>
    <mergeCell ref="J4:J5"/>
  </mergeCells>
  <pageMargins left="0.25" right="0.25" top="0.75" bottom="0.75" header="0.3" footer="0.3"/>
  <pageSetup paperSize="9" scale="67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120C-AA0B-E84F-BA5A-9B6219C35D27}">
  <sheetPr codeName="Foglio20">
    <tabColor theme="0" tint="-0.499984740745262"/>
  </sheetPr>
  <dimension ref="B2:N41"/>
  <sheetViews>
    <sheetView showGridLines="0" zoomScale="190" zoomScaleNormal="190" workbookViewId="0">
      <selection activeCell="J41" sqref="J41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475" bestFit="1" customWidth="1"/>
    <col min="4" max="11" width="10.83203125" style="2"/>
    <col min="12" max="12" width="4.6640625" style="2" customWidth="1"/>
    <col min="13" max="16384" width="10.83203125" style="2"/>
  </cols>
  <sheetData>
    <row r="2" spans="2:14" x14ac:dyDescent="0.2">
      <c r="B2" s="2" t="s">
        <v>726</v>
      </c>
    </row>
    <row r="3" spans="2:14" ht="15" thickBot="1" x14ac:dyDescent="0.25"/>
    <row r="4" spans="2:14" x14ac:dyDescent="0.2">
      <c r="B4" s="1097" t="s">
        <v>752</v>
      </c>
      <c r="C4" s="1094" t="s">
        <v>751</v>
      </c>
      <c r="D4" s="1095"/>
      <c r="E4" s="1095"/>
      <c r="F4" s="1095"/>
      <c r="G4" s="1095"/>
      <c r="H4" s="1095"/>
      <c r="I4" s="1095"/>
      <c r="J4" s="1095"/>
      <c r="K4" s="1096"/>
      <c r="M4" s="1099" t="s">
        <v>753</v>
      </c>
      <c r="N4" s="1100"/>
    </row>
    <row r="5" spans="2:14" s="487" customFormat="1" x14ac:dyDescent="0.2">
      <c r="B5" s="1098"/>
      <c r="C5" s="488" t="s">
        <v>727</v>
      </c>
      <c r="D5" s="489" t="s">
        <v>728</v>
      </c>
      <c r="E5" s="489" t="s">
        <v>729</v>
      </c>
      <c r="F5" s="490" t="s">
        <v>730</v>
      </c>
      <c r="G5" s="495" t="s">
        <v>750</v>
      </c>
      <c r="H5" s="498" t="s">
        <v>731</v>
      </c>
      <c r="I5" s="489" t="s">
        <v>732</v>
      </c>
      <c r="J5" s="489" t="s">
        <v>729</v>
      </c>
      <c r="K5" s="500" t="s">
        <v>733</v>
      </c>
      <c r="M5" s="498" t="s">
        <v>734</v>
      </c>
      <c r="N5" s="490" t="s">
        <v>735</v>
      </c>
    </row>
    <row r="6" spans="2:14" x14ac:dyDescent="0.2">
      <c r="B6" s="501" t="s">
        <v>736</v>
      </c>
      <c r="C6" s="491">
        <v>150000</v>
      </c>
      <c r="D6" s="484"/>
      <c r="E6" s="484"/>
      <c r="F6" s="494">
        <f>+C6+D6-E6</f>
        <v>150000</v>
      </c>
      <c r="G6" s="496">
        <v>0.15</v>
      </c>
      <c r="H6" s="491">
        <v>50000</v>
      </c>
      <c r="I6" s="499">
        <v>22500</v>
      </c>
      <c r="K6" s="502">
        <f>+H6+I6-J6</f>
        <v>72500</v>
      </c>
      <c r="M6" s="518">
        <f>+I6</f>
        <v>22500</v>
      </c>
      <c r="N6" s="493"/>
    </row>
    <row r="7" spans="2:14" x14ac:dyDescent="0.2">
      <c r="B7" s="503" t="s">
        <v>737</v>
      </c>
      <c r="C7" s="491">
        <v>1500000</v>
      </c>
      <c r="D7" s="484"/>
      <c r="E7" s="484"/>
      <c r="F7" s="494">
        <f t="shared" ref="F7:F16" si="0">+C7+D7-E7</f>
        <v>1500000</v>
      </c>
      <c r="G7" s="496">
        <v>0.2</v>
      </c>
      <c r="H7" s="491">
        <v>450000</v>
      </c>
      <c r="I7" s="499">
        <v>300000</v>
      </c>
      <c r="K7" s="502">
        <f t="shared" ref="K7:K16" si="1">+H7+I7-J7</f>
        <v>750000</v>
      </c>
      <c r="M7" s="518">
        <f t="shared" ref="M7:M8" si="2">+I7</f>
        <v>300000</v>
      </c>
      <c r="N7" s="493"/>
    </row>
    <row r="8" spans="2:14" x14ac:dyDescent="0.2">
      <c r="B8" s="503" t="s">
        <v>738</v>
      </c>
      <c r="C8" s="491">
        <v>5600000</v>
      </c>
      <c r="D8" s="484">
        <v>75000</v>
      </c>
      <c r="E8" s="484"/>
      <c r="F8" s="494">
        <f t="shared" si="0"/>
        <v>5675000</v>
      </c>
      <c r="G8" s="496">
        <v>0.15</v>
      </c>
      <c r="H8" s="491">
        <v>1200000</v>
      </c>
      <c r="I8" s="499">
        <v>845630</v>
      </c>
      <c r="K8" s="502">
        <f t="shared" si="1"/>
        <v>2045630</v>
      </c>
      <c r="M8" s="518">
        <f t="shared" si="2"/>
        <v>845630</v>
      </c>
      <c r="N8" s="493"/>
    </row>
    <row r="9" spans="2:14" x14ac:dyDescent="0.2">
      <c r="B9" s="503" t="s">
        <v>739</v>
      </c>
      <c r="C9" s="491">
        <v>400000</v>
      </c>
      <c r="D9" s="484">
        <v>26000</v>
      </c>
      <c r="E9" s="484"/>
      <c r="F9" s="494">
        <f t="shared" si="0"/>
        <v>426000</v>
      </c>
      <c r="G9" s="496">
        <v>0.15</v>
      </c>
      <c r="H9" s="491">
        <v>120000</v>
      </c>
      <c r="I9" s="499">
        <v>61950</v>
      </c>
      <c r="K9" s="502">
        <f t="shared" si="1"/>
        <v>181950</v>
      </c>
      <c r="M9" s="519"/>
      <c r="N9" s="492">
        <f>+I9</f>
        <v>61950</v>
      </c>
    </row>
    <row r="10" spans="2:14" x14ac:dyDescent="0.2">
      <c r="B10" s="503" t="s">
        <v>740</v>
      </c>
      <c r="C10" s="491">
        <v>110000</v>
      </c>
      <c r="D10" s="484">
        <v>10000</v>
      </c>
      <c r="E10" s="484"/>
      <c r="F10" s="494">
        <f t="shared" si="0"/>
        <v>120000</v>
      </c>
      <c r="G10" s="496">
        <v>0.2</v>
      </c>
      <c r="H10" s="491">
        <v>42560</v>
      </c>
      <c r="I10" s="499">
        <v>23000</v>
      </c>
      <c r="K10" s="502">
        <f t="shared" si="1"/>
        <v>65560</v>
      </c>
      <c r="M10" s="519"/>
      <c r="N10" s="492">
        <f>+I10</f>
        <v>23000</v>
      </c>
    </row>
    <row r="11" spans="2:14" x14ac:dyDescent="0.2">
      <c r="B11" s="503" t="s">
        <v>741</v>
      </c>
      <c r="C11" s="491">
        <v>250000</v>
      </c>
      <c r="D11" s="484"/>
      <c r="E11" s="484"/>
      <c r="F11" s="494">
        <f t="shared" si="0"/>
        <v>250000</v>
      </c>
      <c r="G11" s="496">
        <v>0.2</v>
      </c>
      <c r="H11" s="491">
        <v>75000</v>
      </c>
      <c r="I11" s="499">
        <v>50000</v>
      </c>
      <c r="K11" s="502">
        <f t="shared" si="1"/>
        <v>125000</v>
      </c>
      <c r="M11" s="518">
        <f>+I11</f>
        <v>50000</v>
      </c>
      <c r="N11" s="493"/>
    </row>
    <row r="12" spans="2:14" x14ac:dyDescent="0.2">
      <c r="B12" s="503" t="s">
        <v>742</v>
      </c>
      <c r="C12" s="491">
        <v>67000</v>
      </c>
      <c r="D12" s="484"/>
      <c r="E12" s="484"/>
      <c r="F12" s="494">
        <f t="shared" si="0"/>
        <v>67000</v>
      </c>
      <c r="G12" s="496">
        <v>1</v>
      </c>
      <c r="H12" s="491">
        <v>67000</v>
      </c>
      <c r="I12" s="499">
        <v>0</v>
      </c>
      <c r="K12" s="502">
        <f t="shared" si="1"/>
        <v>67000</v>
      </c>
      <c r="M12" s="519"/>
      <c r="N12" s="492">
        <f>+I12</f>
        <v>0</v>
      </c>
    </row>
    <row r="13" spans="2:14" x14ac:dyDescent="0.2">
      <c r="B13" s="503" t="s">
        <v>743</v>
      </c>
      <c r="C13" s="491">
        <v>550000</v>
      </c>
      <c r="D13" s="484"/>
      <c r="E13" s="484"/>
      <c r="F13" s="494">
        <f t="shared" si="0"/>
        <v>550000</v>
      </c>
      <c r="G13" s="496">
        <v>0.2</v>
      </c>
      <c r="H13" s="491">
        <v>164980</v>
      </c>
      <c r="I13" s="499">
        <v>110000</v>
      </c>
      <c r="K13" s="502">
        <f t="shared" si="1"/>
        <v>274980</v>
      </c>
      <c r="M13" s="519"/>
      <c r="N13" s="492">
        <f t="shared" ref="N13:N16" si="3">+I13</f>
        <v>110000</v>
      </c>
    </row>
    <row r="14" spans="2:14" x14ac:dyDescent="0.2">
      <c r="B14" s="503" t="s">
        <v>744</v>
      </c>
      <c r="C14" s="491">
        <v>3500000</v>
      </c>
      <c r="D14" s="484">
        <v>500000</v>
      </c>
      <c r="E14" s="484"/>
      <c r="F14" s="494">
        <f t="shared" si="0"/>
        <v>4000000</v>
      </c>
      <c r="G14" s="496">
        <v>0.1</v>
      </c>
      <c r="H14" s="491">
        <v>13950</v>
      </c>
      <c r="I14" s="499">
        <v>400000</v>
      </c>
      <c r="K14" s="502">
        <f t="shared" si="1"/>
        <v>413950</v>
      </c>
      <c r="M14" s="519"/>
      <c r="N14" s="492">
        <f t="shared" si="3"/>
        <v>400000</v>
      </c>
    </row>
    <row r="15" spans="2:14" x14ac:dyDescent="0.2">
      <c r="B15" s="503" t="s">
        <v>745</v>
      </c>
      <c r="C15" s="491">
        <v>4000000</v>
      </c>
      <c r="D15" s="484"/>
      <c r="E15" s="484"/>
      <c r="F15" s="494">
        <f t="shared" si="0"/>
        <v>4000000</v>
      </c>
      <c r="G15" s="496">
        <v>0.2</v>
      </c>
      <c r="H15" s="491">
        <v>145770</v>
      </c>
      <c r="I15" s="499">
        <v>800000</v>
      </c>
      <c r="K15" s="502">
        <f t="shared" si="1"/>
        <v>945770</v>
      </c>
      <c r="M15" s="519"/>
      <c r="N15" s="492">
        <f t="shared" si="3"/>
        <v>800000</v>
      </c>
    </row>
    <row r="16" spans="2:14" ht="15" thickBot="1" x14ac:dyDescent="0.25">
      <c r="B16" s="503" t="s">
        <v>746</v>
      </c>
      <c r="C16" s="491">
        <v>330000</v>
      </c>
      <c r="D16" s="484"/>
      <c r="E16" s="484"/>
      <c r="F16" s="494">
        <f t="shared" si="0"/>
        <v>330000</v>
      </c>
      <c r="G16" s="496">
        <v>0.2</v>
      </c>
      <c r="H16" s="491">
        <v>26550</v>
      </c>
      <c r="I16" s="499">
        <v>66000</v>
      </c>
      <c r="K16" s="502">
        <f t="shared" si="1"/>
        <v>92550</v>
      </c>
      <c r="M16" s="519"/>
      <c r="N16" s="492">
        <f t="shared" si="3"/>
        <v>66000</v>
      </c>
    </row>
    <row r="17" spans="2:14" s="427" customFormat="1" ht="15" thickBot="1" x14ac:dyDescent="0.25">
      <c r="B17" s="514" t="s">
        <v>3</v>
      </c>
      <c r="C17" s="515">
        <f>SUM(C6:C16)</f>
        <v>16457000</v>
      </c>
      <c r="D17" s="516">
        <f t="shared" ref="D17:H17" si="4">SUM(D6:D16)</f>
        <v>611000</v>
      </c>
      <c r="E17" s="516">
        <f t="shared" si="4"/>
        <v>0</v>
      </c>
      <c r="F17" s="481">
        <f t="shared" si="4"/>
        <v>17068000</v>
      </c>
      <c r="H17" s="517">
        <f t="shared" si="4"/>
        <v>2355810</v>
      </c>
      <c r="I17" s="516">
        <f t="shared" ref="I17" si="5">SUM(I6:I16)</f>
        <v>2679080</v>
      </c>
      <c r="J17" s="516">
        <f t="shared" ref="J17" si="6">SUM(J6:J16)</f>
        <v>0</v>
      </c>
      <c r="K17" s="481">
        <f t="shared" ref="K17" si="7">SUM(K6:K16)</f>
        <v>5034890</v>
      </c>
      <c r="M17" s="520">
        <f t="shared" ref="M17" si="8">SUM(M6:M16)</f>
        <v>1218130</v>
      </c>
      <c r="N17" s="521">
        <f t="shared" ref="N17" si="9">SUM(N6:N16)</f>
        <v>1460950</v>
      </c>
    </row>
    <row r="18" spans="2:14" x14ac:dyDescent="0.2">
      <c r="B18" s="505" t="s">
        <v>747</v>
      </c>
      <c r="C18" s="491"/>
      <c r="F18" s="493"/>
      <c r="G18" s="497"/>
      <c r="H18" s="491"/>
      <c r="K18" s="506"/>
    </row>
    <row r="19" spans="2:14" x14ac:dyDescent="0.2">
      <c r="B19" s="507" t="s">
        <v>748</v>
      </c>
      <c r="C19" s="491">
        <f>SUM(C6:C12)</f>
        <v>8077000</v>
      </c>
      <c r="D19" s="484">
        <f t="shared" ref="D19:F19" si="10">SUM(D6:D12)</f>
        <v>111000</v>
      </c>
      <c r="E19" s="484">
        <f t="shared" si="10"/>
        <v>0</v>
      </c>
      <c r="F19" s="494">
        <f t="shared" si="10"/>
        <v>8188000</v>
      </c>
      <c r="G19" s="497"/>
      <c r="H19" s="491">
        <f>SUM(H6:H12)</f>
        <v>2004560</v>
      </c>
      <c r="I19" s="484">
        <f t="shared" ref="I19:K19" si="11">SUM(I6:I12)</f>
        <v>1303080</v>
      </c>
      <c r="J19" s="484">
        <f t="shared" si="11"/>
        <v>0</v>
      </c>
      <c r="K19" s="479">
        <f t="shared" si="11"/>
        <v>3307640</v>
      </c>
    </row>
    <row r="20" spans="2:14" ht="15" thickBot="1" x14ac:dyDescent="0.25">
      <c r="B20" s="508" t="s">
        <v>749</v>
      </c>
      <c r="C20" s="509">
        <f>SUM(C13:C16)</f>
        <v>8380000</v>
      </c>
      <c r="D20" s="510">
        <f t="shared" ref="D20:F20" si="12">SUM(D13:D16)</f>
        <v>500000</v>
      </c>
      <c r="E20" s="510">
        <f t="shared" si="12"/>
        <v>0</v>
      </c>
      <c r="F20" s="511">
        <f t="shared" si="12"/>
        <v>8880000</v>
      </c>
      <c r="G20" s="512"/>
      <c r="H20" s="509">
        <f>SUM(H13:H16)</f>
        <v>351250</v>
      </c>
      <c r="I20" s="510">
        <f t="shared" ref="I20:K20" si="13">SUM(I13:I16)</f>
        <v>1376000</v>
      </c>
      <c r="J20" s="510">
        <f t="shared" si="13"/>
        <v>0</v>
      </c>
      <c r="K20" s="513">
        <f t="shared" si="13"/>
        <v>1727250</v>
      </c>
    </row>
    <row r="22" spans="2:14" ht="15" thickBot="1" x14ac:dyDescent="0.25"/>
    <row r="23" spans="2:14" x14ac:dyDescent="0.2">
      <c r="B23" s="1097" t="s">
        <v>752</v>
      </c>
      <c r="C23" s="1101" t="s">
        <v>196</v>
      </c>
      <c r="D23" s="1102"/>
      <c r="E23" s="1102"/>
      <c r="F23" s="1102"/>
      <c r="G23" s="1102"/>
      <c r="H23" s="1102"/>
      <c r="I23" s="1102"/>
      <c r="J23" s="1102"/>
      <c r="K23" s="1103"/>
      <c r="M23" s="1099" t="s">
        <v>753</v>
      </c>
      <c r="N23" s="1100"/>
    </row>
    <row r="24" spans="2:14" x14ac:dyDescent="0.2">
      <c r="B24" s="1098"/>
      <c r="C24" s="488" t="s">
        <v>754</v>
      </c>
      <c r="D24" s="489" t="s">
        <v>755</v>
      </c>
      <c r="E24" s="489" t="s">
        <v>756</v>
      </c>
      <c r="F24" s="490" t="s">
        <v>757</v>
      </c>
      <c r="G24" s="495" t="s">
        <v>750</v>
      </c>
      <c r="H24" s="498" t="s">
        <v>733</v>
      </c>
      <c r="I24" s="489" t="s">
        <v>758</v>
      </c>
      <c r="J24" s="489" t="s">
        <v>756</v>
      </c>
      <c r="K24" s="500" t="s">
        <v>759</v>
      </c>
      <c r="L24" s="487"/>
      <c r="M24" s="498" t="s">
        <v>734</v>
      </c>
      <c r="N24" s="490" t="s">
        <v>735</v>
      </c>
    </row>
    <row r="25" spans="2:14" x14ac:dyDescent="0.2">
      <c r="B25" s="501" t="s">
        <v>736</v>
      </c>
      <c r="C25" s="491">
        <f>+F6</f>
        <v>150000</v>
      </c>
      <c r="D25" s="484"/>
      <c r="E25" s="484"/>
      <c r="F25" s="494">
        <f>+C25+D25-E25</f>
        <v>150000</v>
      </c>
      <c r="G25" s="496">
        <v>0.15</v>
      </c>
      <c r="H25" s="491">
        <f>+K6</f>
        <v>72500</v>
      </c>
      <c r="I25" s="499">
        <v>22500</v>
      </c>
      <c r="K25" s="502">
        <f>+H25+I25-J25</f>
        <v>95000</v>
      </c>
      <c r="M25" s="518">
        <f>+I25</f>
        <v>22500</v>
      </c>
      <c r="N25" s="493"/>
    </row>
    <row r="26" spans="2:14" x14ac:dyDescent="0.2">
      <c r="B26" s="503" t="s">
        <v>737</v>
      </c>
      <c r="C26" s="491">
        <f t="shared" ref="C26:C35" si="14">+F7</f>
        <v>1500000</v>
      </c>
      <c r="D26" s="484"/>
      <c r="E26" s="484"/>
      <c r="F26" s="494">
        <f t="shared" ref="F26:F35" si="15">+C26+D26-E26</f>
        <v>1500000</v>
      </c>
      <c r="G26" s="496">
        <v>0.2</v>
      </c>
      <c r="H26" s="491">
        <f t="shared" ref="H26:H35" si="16">+K7</f>
        <v>750000</v>
      </c>
      <c r="I26" s="499">
        <v>300000</v>
      </c>
      <c r="K26" s="502">
        <f t="shared" ref="K26:K35" si="17">+H26+I26-J26</f>
        <v>1050000</v>
      </c>
      <c r="M26" s="518">
        <f t="shared" ref="M26:M27" si="18">+I26</f>
        <v>300000</v>
      </c>
      <c r="N26" s="493"/>
    </row>
    <row r="27" spans="2:14" x14ac:dyDescent="0.2">
      <c r="B27" s="503" t="s">
        <v>738</v>
      </c>
      <c r="C27" s="491">
        <f t="shared" si="14"/>
        <v>5675000</v>
      </c>
      <c r="D27" s="484"/>
      <c r="E27" s="484"/>
      <c r="F27" s="494">
        <f t="shared" si="15"/>
        <v>5675000</v>
      </c>
      <c r="G27" s="496">
        <v>0.15</v>
      </c>
      <c r="H27" s="491">
        <f t="shared" si="16"/>
        <v>2045630</v>
      </c>
      <c r="I27" s="499">
        <v>851250</v>
      </c>
      <c r="K27" s="502">
        <f t="shared" si="17"/>
        <v>2896880</v>
      </c>
      <c r="M27" s="518">
        <f t="shared" si="18"/>
        <v>851250</v>
      </c>
      <c r="N27" s="493"/>
    </row>
    <row r="28" spans="2:14" x14ac:dyDescent="0.2">
      <c r="B28" s="503" t="s">
        <v>739</v>
      </c>
      <c r="C28" s="491">
        <f t="shared" si="14"/>
        <v>426000</v>
      </c>
      <c r="D28" s="484"/>
      <c r="E28" s="484"/>
      <c r="F28" s="494">
        <f t="shared" si="15"/>
        <v>426000</v>
      </c>
      <c r="G28" s="496">
        <v>0.15</v>
      </c>
      <c r="H28" s="491">
        <f t="shared" si="16"/>
        <v>181950</v>
      </c>
      <c r="I28" s="499">
        <v>63900</v>
      </c>
      <c r="K28" s="502">
        <f t="shared" si="17"/>
        <v>245850</v>
      </c>
      <c r="M28" s="519"/>
      <c r="N28" s="492">
        <f>+I28</f>
        <v>63900</v>
      </c>
    </row>
    <row r="29" spans="2:14" x14ac:dyDescent="0.2">
      <c r="B29" s="503" t="s">
        <v>740</v>
      </c>
      <c r="C29" s="491">
        <f t="shared" si="14"/>
        <v>120000</v>
      </c>
      <c r="D29" s="484"/>
      <c r="E29" s="484"/>
      <c r="F29" s="494">
        <f t="shared" si="15"/>
        <v>120000</v>
      </c>
      <c r="G29" s="496">
        <v>0.2</v>
      </c>
      <c r="H29" s="491">
        <f t="shared" si="16"/>
        <v>65560</v>
      </c>
      <c r="I29" s="499">
        <v>24000</v>
      </c>
      <c r="K29" s="502">
        <f t="shared" si="17"/>
        <v>89560</v>
      </c>
      <c r="M29" s="519"/>
      <c r="N29" s="492">
        <f>+I29</f>
        <v>24000</v>
      </c>
    </row>
    <row r="30" spans="2:14" x14ac:dyDescent="0.2">
      <c r="B30" s="503" t="s">
        <v>741</v>
      </c>
      <c r="C30" s="491">
        <f t="shared" si="14"/>
        <v>250000</v>
      </c>
      <c r="D30" s="484"/>
      <c r="E30" s="484"/>
      <c r="F30" s="494">
        <f t="shared" si="15"/>
        <v>250000</v>
      </c>
      <c r="G30" s="496">
        <v>0.2</v>
      </c>
      <c r="H30" s="491">
        <f t="shared" si="16"/>
        <v>125000</v>
      </c>
      <c r="I30" s="499">
        <v>50000</v>
      </c>
      <c r="K30" s="502">
        <f t="shared" si="17"/>
        <v>175000</v>
      </c>
      <c r="M30" s="518">
        <f>+I30</f>
        <v>50000</v>
      </c>
      <c r="N30" s="493"/>
    </row>
    <row r="31" spans="2:14" x14ac:dyDescent="0.2">
      <c r="B31" s="503" t="s">
        <v>742</v>
      </c>
      <c r="C31" s="491">
        <f t="shared" si="14"/>
        <v>67000</v>
      </c>
      <c r="D31" s="484"/>
      <c r="E31" s="484"/>
      <c r="F31" s="494">
        <f t="shared" si="15"/>
        <v>67000</v>
      </c>
      <c r="G31" s="496">
        <v>1</v>
      </c>
      <c r="H31" s="491">
        <f t="shared" si="16"/>
        <v>67000</v>
      </c>
      <c r="I31" s="499">
        <v>0</v>
      </c>
      <c r="K31" s="502">
        <f t="shared" si="17"/>
        <v>67000</v>
      </c>
      <c r="M31" s="519"/>
      <c r="N31" s="492">
        <f>+I31</f>
        <v>0</v>
      </c>
    </row>
    <row r="32" spans="2:14" x14ac:dyDescent="0.2">
      <c r="B32" s="503" t="s">
        <v>743</v>
      </c>
      <c r="C32" s="491">
        <f t="shared" si="14"/>
        <v>550000</v>
      </c>
      <c r="D32" s="522">
        <v>30000</v>
      </c>
      <c r="E32" s="484"/>
      <c r="F32" s="494">
        <f t="shared" si="15"/>
        <v>580000</v>
      </c>
      <c r="G32" s="496">
        <v>0.2</v>
      </c>
      <c r="H32" s="491">
        <f t="shared" si="16"/>
        <v>274980</v>
      </c>
      <c r="I32" s="499">
        <v>116000</v>
      </c>
      <c r="K32" s="502">
        <f t="shared" si="17"/>
        <v>390980</v>
      </c>
      <c r="M32" s="519"/>
      <c r="N32" s="492">
        <f t="shared" ref="N32:N35" si="19">+I32</f>
        <v>116000</v>
      </c>
    </row>
    <row r="33" spans="2:14" x14ac:dyDescent="0.2">
      <c r="B33" s="503" t="s">
        <v>744</v>
      </c>
      <c r="C33" s="491">
        <f t="shared" si="14"/>
        <v>4000000</v>
      </c>
      <c r="D33" s="484"/>
      <c r="E33" s="484"/>
      <c r="F33" s="494">
        <f t="shared" si="15"/>
        <v>4000000</v>
      </c>
      <c r="G33" s="496">
        <v>0.1</v>
      </c>
      <c r="H33" s="491">
        <f t="shared" si="16"/>
        <v>413950</v>
      </c>
      <c r="I33" s="499">
        <v>400000</v>
      </c>
      <c r="K33" s="502">
        <f t="shared" si="17"/>
        <v>813950</v>
      </c>
      <c r="M33" s="519"/>
      <c r="N33" s="492">
        <f t="shared" si="19"/>
        <v>400000</v>
      </c>
    </row>
    <row r="34" spans="2:14" x14ac:dyDescent="0.2">
      <c r="B34" s="503" t="s">
        <v>745</v>
      </c>
      <c r="C34" s="491">
        <f t="shared" si="14"/>
        <v>4000000</v>
      </c>
      <c r="D34" s="484"/>
      <c r="E34" s="484"/>
      <c r="F34" s="494">
        <f t="shared" si="15"/>
        <v>4000000</v>
      </c>
      <c r="G34" s="496">
        <v>0.2</v>
      </c>
      <c r="H34" s="491">
        <f t="shared" si="16"/>
        <v>945770</v>
      </c>
      <c r="I34" s="499">
        <v>800000</v>
      </c>
      <c r="K34" s="502">
        <f t="shared" si="17"/>
        <v>1745770</v>
      </c>
      <c r="M34" s="519"/>
      <c r="N34" s="492">
        <f t="shared" si="19"/>
        <v>800000</v>
      </c>
    </row>
    <row r="35" spans="2:14" ht="15" thickBot="1" x14ac:dyDescent="0.25">
      <c r="B35" s="503" t="s">
        <v>746</v>
      </c>
      <c r="C35" s="491">
        <f t="shared" si="14"/>
        <v>330000</v>
      </c>
      <c r="D35" s="484"/>
      <c r="E35" s="484"/>
      <c r="F35" s="494">
        <f t="shared" si="15"/>
        <v>330000</v>
      </c>
      <c r="G35" s="496">
        <v>0.2</v>
      </c>
      <c r="H35" s="491">
        <f t="shared" si="16"/>
        <v>92550</v>
      </c>
      <c r="I35" s="499">
        <v>66000</v>
      </c>
      <c r="K35" s="502">
        <f t="shared" si="17"/>
        <v>158550</v>
      </c>
      <c r="M35" s="519"/>
      <c r="N35" s="492">
        <f t="shared" si="19"/>
        <v>66000</v>
      </c>
    </row>
    <row r="36" spans="2:14" ht="15" thickBot="1" x14ac:dyDescent="0.25">
      <c r="B36" s="514" t="s">
        <v>3</v>
      </c>
      <c r="C36" s="515">
        <f>SUM(C25:C35)</f>
        <v>17068000</v>
      </c>
      <c r="D36" s="516">
        <f t="shared" ref="D36" si="20">SUM(D25:D35)</f>
        <v>30000</v>
      </c>
      <c r="E36" s="516">
        <f t="shared" ref="E36" si="21">SUM(E25:E35)</f>
        <v>0</v>
      </c>
      <c r="F36" s="481">
        <f t="shared" ref="F36" si="22">SUM(F25:F35)</f>
        <v>17098000</v>
      </c>
      <c r="G36" s="427"/>
      <c r="H36" s="517">
        <f t="shared" ref="H36" si="23">SUM(H25:H35)</f>
        <v>5034890</v>
      </c>
      <c r="I36" s="516">
        <f t="shared" ref="I36" si="24">SUM(I25:I35)</f>
        <v>2693650</v>
      </c>
      <c r="J36" s="516">
        <f t="shared" ref="J36" si="25">SUM(J25:J35)</f>
        <v>0</v>
      </c>
      <c r="K36" s="481">
        <f t="shared" ref="K36" si="26">SUM(K25:K35)</f>
        <v>7728540</v>
      </c>
      <c r="L36" s="427"/>
      <c r="M36" s="520">
        <f t="shared" ref="M36" si="27">SUM(M25:M35)</f>
        <v>1223750</v>
      </c>
      <c r="N36" s="521">
        <f t="shared" ref="N36" si="28">SUM(N25:N35)</f>
        <v>1469900</v>
      </c>
    </row>
    <row r="37" spans="2:14" x14ac:dyDescent="0.2">
      <c r="B37" s="505" t="s">
        <v>747</v>
      </c>
      <c r="C37" s="491"/>
      <c r="F37" s="493"/>
      <c r="G37" s="497"/>
      <c r="H37" s="491"/>
      <c r="K37" s="506"/>
    </row>
    <row r="38" spans="2:14" x14ac:dyDescent="0.2">
      <c r="B38" s="507" t="s">
        <v>748</v>
      </c>
      <c r="C38" s="491">
        <f>SUM(C25:C31)</f>
        <v>8188000</v>
      </c>
      <c r="D38" s="484">
        <f t="shared" ref="D38:F38" si="29">SUM(D25:D31)</f>
        <v>0</v>
      </c>
      <c r="E38" s="484">
        <f t="shared" si="29"/>
        <v>0</v>
      </c>
      <c r="F38" s="494">
        <f t="shared" si="29"/>
        <v>8188000</v>
      </c>
      <c r="G38" s="497"/>
      <c r="H38" s="491">
        <f>SUM(H25:H31)</f>
        <v>3307640</v>
      </c>
      <c r="I38" s="484">
        <f t="shared" ref="I38:K38" si="30">SUM(I25:I31)</f>
        <v>1311650</v>
      </c>
      <c r="J38" s="484">
        <f t="shared" si="30"/>
        <v>0</v>
      </c>
      <c r="K38" s="479">
        <f t="shared" si="30"/>
        <v>4619290</v>
      </c>
    </row>
    <row r="39" spans="2:14" ht="15" thickBot="1" x14ac:dyDescent="0.25">
      <c r="B39" s="508" t="s">
        <v>749</v>
      </c>
      <c r="C39" s="509">
        <f>SUM(C32:C35)</f>
        <v>8880000</v>
      </c>
      <c r="D39" s="510">
        <f t="shared" ref="D39:F39" si="31">SUM(D32:D35)</f>
        <v>30000</v>
      </c>
      <c r="E39" s="510">
        <f t="shared" si="31"/>
        <v>0</v>
      </c>
      <c r="F39" s="511">
        <f t="shared" si="31"/>
        <v>8910000</v>
      </c>
      <c r="G39" s="512"/>
      <c r="H39" s="509">
        <f>SUM(H32:H35)</f>
        <v>1727250</v>
      </c>
      <c r="I39" s="510">
        <f t="shared" ref="I39:K39" si="32">SUM(I32:I35)</f>
        <v>1382000</v>
      </c>
      <c r="J39" s="510">
        <f t="shared" si="32"/>
        <v>0</v>
      </c>
      <c r="K39" s="513">
        <f t="shared" si="32"/>
        <v>3109250</v>
      </c>
    </row>
    <row r="41" spans="2:14" x14ac:dyDescent="0.2">
      <c r="I41" s="499">
        <f>G32*C32</f>
        <v>110000</v>
      </c>
      <c r="J41" s="499">
        <f>+G32*D32</f>
        <v>6000</v>
      </c>
    </row>
  </sheetData>
  <mergeCells count="6">
    <mergeCell ref="C4:K4"/>
    <mergeCell ref="B4:B5"/>
    <mergeCell ref="M4:N4"/>
    <mergeCell ref="B23:B24"/>
    <mergeCell ref="C23:K23"/>
    <mergeCell ref="M23:N2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364-288E-2E43-B7CA-0E47D9936551}">
  <sheetPr codeName="Foglio21">
    <tabColor theme="0" tint="-0.499984740745262"/>
  </sheetPr>
  <dimension ref="B2:D17"/>
  <sheetViews>
    <sheetView showGridLines="0" zoomScale="190" zoomScaleNormal="190" workbookViewId="0">
      <selection activeCell="D10" sqref="D10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475" bestFit="1" customWidth="1"/>
    <col min="4" max="16384" width="10.83203125" style="2"/>
  </cols>
  <sheetData>
    <row r="2" spans="2:4" x14ac:dyDescent="0.2">
      <c r="B2" s="2" t="s">
        <v>760</v>
      </c>
    </row>
    <row r="3" spans="2:4" ht="15" thickBot="1" x14ac:dyDescent="0.25"/>
    <row r="4" spans="2:4" x14ac:dyDescent="0.2">
      <c r="B4" s="1097"/>
      <c r="C4" s="1104" t="s">
        <v>196</v>
      </c>
      <c r="D4" s="1105"/>
    </row>
    <row r="5" spans="2:4" x14ac:dyDescent="0.2">
      <c r="B5" s="1098"/>
      <c r="C5" s="488" t="s">
        <v>761</v>
      </c>
      <c r="D5" s="500" t="s">
        <v>762</v>
      </c>
    </row>
    <row r="6" spans="2:4" x14ac:dyDescent="0.2">
      <c r="B6" s="524" t="s">
        <v>189</v>
      </c>
      <c r="C6" s="491"/>
      <c r="D6" s="479"/>
    </row>
    <row r="7" spans="2:4" x14ac:dyDescent="0.2">
      <c r="B7" s="503" t="s">
        <v>764</v>
      </c>
      <c r="C7" s="525">
        <v>5</v>
      </c>
      <c r="D7" s="526">
        <v>1</v>
      </c>
    </row>
    <row r="8" spans="2:4" x14ac:dyDescent="0.2">
      <c r="B8" s="503" t="s">
        <v>763</v>
      </c>
      <c r="C8" s="525">
        <v>2</v>
      </c>
      <c r="D8" s="526">
        <v>0.3</v>
      </c>
    </row>
    <row r="9" spans="2:4" x14ac:dyDescent="0.2">
      <c r="B9" s="503" t="s">
        <v>765</v>
      </c>
      <c r="C9" s="525">
        <v>8</v>
      </c>
      <c r="D9" s="526"/>
    </row>
    <row r="10" spans="2:4" ht="15" thickBot="1" x14ac:dyDescent="0.25">
      <c r="B10" s="527" t="s">
        <v>3</v>
      </c>
      <c r="C10" s="528">
        <f>SUM(C7:C9)</f>
        <v>15</v>
      </c>
      <c r="D10" s="529">
        <f>SUM(D7:D9)</f>
        <v>1.3</v>
      </c>
    </row>
    <row r="11" spans="2:4" x14ac:dyDescent="0.2">
      <c r="B11" s="524" t="s">
        <v>190</v>
      </c>
      <c r="C11" s="491"/>
      <c r="D11" s="479"/>
    </row>
    <row r="12" spans="2:4" x14ac:dyDescent="0.2">
      <c r="B12" s="503" t="s">
        <v>764</v>
      </c>
      <c r="C12" s="525">
        <v>5</v>
      </c>
      <c r="D12" s="526">
        <v>1</v>
      </c>
    </row>
    <row r="13" spans="2:4" x14ac:dyDescent="0.2">
      <c r="B13" s="503" t="s">
        <v>763</v>
      </c>
      <c r="C13" s="525">
        <v>2</v>
      </c>
      <c r="D13" s="526">
        <v>0.3</v>
      </c>
    </row>
    <row r="14" spans="2:4" x14ac:dyDescent="0.2">
      <c r="B14" s="503" t="s">
        <v>765</v>
      </c>
      <c r="C14" s="525">
        <v>2</v>
      </c>
      <c r="D14" s="526">
        <v>0.3</v>
      </c>
    </row>
    <row r="15" spans="2:4" x14ac:dyDescent="0.2">
      <c r="B15" s="503" t="s">
        <v>766</v>
      </c>
      <c r="C15" s="525">
        <v>5</v>
      </c>
      <c r="D15" s="526">
        <v>0.3</v>
      </c>
    </row>
    <row r="16" spans="2:4" x14ac:dyDescent="0.2">
      <c r="B16" s="503" t="s">
        <v>767</v>
      </c>
      <c r="C16" s="525">
        <v>10</v>
      </c>
      <c r="D16" s="526">
        <v>0.3</v>
      </c>
    </row>
    <row r="17" spans="2:4" ht="15" thickBot="1" x14ac:dyDescent="0.25">
      <c r="B17" s="527" t="s">
        <v>3</v>
      </c>
      <c r="C17" s="528">
        <f>SUM(C12:C16)</f>
        <v>24</v>
      </c>
      <c r="D17" s="529">
        <f>SUM(D12:D16)</f>
        <v>2.2000000000000002</v>
      </c>
    </row>
  </sheetData>
  <mergeCells count="2">
    <mergeCell ref="B4:B5"/>
    <mergeCell ref="C4:D4"/>
  </mergeCells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431B0-06F8-DA46-9658-DA25266014C9}">
  <sheetPr codeName="Foglio22">
    <tabColor theme="0" tint="-0.499984740745262"/>
  </sheetPr>
  <dimension ref="B2:D12"/>
  <sheetViews>
    <sheetView showGridLines="0" zoomScale="190" zoomScaleNormal="190" workbookViewId="0">
      <selection activeCell="I18" sqref="I18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475" bestFit="1" customWidth="1"/>
    <col min="4" max="16384" width="10.83203125" style="2"/>
  </cols>
  <sheetData>
    <row r="2" spans="2:4" x14ac:dyDescent="0.2">
      <c r="B2" s="2" t="s">
        <v>768</v>
      </c>
    </row>
    <row r="3" spans="2:4" ht="15" thickBot="1" x14ac:dyDescent="0.25"/>
    <row r="4" spans="2:4" x14ac:dyDescent="0.2">
      <c r="B4" s="1097"/>
      <c r="C4" s="1104" t="s">
        <v>196</v>
      </c>
      <c r="D4" s="1105"/>
    </row>
    <row r="5" spans="2:4" x14ac:dyDescent="0.2">
      <c r="B5" s="1098"/>
      <c r="C5" s="488" t="s">
        <v>769</v>
      </c>
      <c r="D5" s="500" t="s">
        <v>770</v>
      </c>
    </row>
    <row r="6" spans="2:4" x14ac:dyDescent="0.2">
      <c r="B6" s="530" t="s">
        <v>771</v>
      </c>
      <c r="C6" s="491"/>
      <c r="D6" s="479"/>
    </row>
    <row r="7" spans="2:4" x14ac:dyDescent="0.2">
      <c r="B7" s="503" t="s">
        <v>772</v>
      </c>
      <c r="C7" s="525">
        <v>3</v>
      </c>
      <c r="D7" s="526">
        <v>1</v>
      </c>
    </row>
    <row r="8" spans="2:4" x14ac:dyDescent="0.2">
      <c r="B8" s="503" t="s">
        <v>773</v>
      </c>
      <c r="C8" s="525">
        <v>235</v>
      </c>
      <c r="D8" s="526">
        <v>235</v>
      </c>
    </row>
    <row r="9" spans="2:4" x14ac:dyDescent="0.2">
      <c r="B9" s="503" t="s">
        <v>774</v>
      </c>
      <c r="C9" s="525">
        <v>12</v>
      </c>
      <c r="D9" s="526">
        <v>12</v>
      </c>
    </row>
    <row r="10" spans="2:4" x14ac:dyDescent="0.2">
      <c r="B10" s="503" t="s">
        <v>8</v>
      </c>
      <c r="C10" s="525">
        <v>3</v>
      </c>
      <c r="D10" s="526">
        <v>2</v>
      </c>
    </row>
    <row r="11" spans="2:4" x14ac:dyDescent="0.2">
      <c r="B11" s="503" t="s">
        <v>775</v>
      </c>
      <c r="C11" s="525">
        <v>8</v>
      </c>
      <c r="D11" s="526">
        <v>8</v>
      </c>
    </row>
    <row r="12" spans="2:4" ht="15" thickBot="1" x14ac:dyDescent="0.25">
      <c r="B12" s="527"/>
      <c r="C12" s="528"/>
      <c r="D12" s="529"/>
    </row>
  </sheetData>
  <mergeCells count="2">
    <mergeCell ref="B4:B5"/>
    <mergeCell ref="C4:D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0167-97B0-EC4B-9138-D0A6415FE9E1}">
  <sheetPr codeName="Foglio23">
    <tabColor theme="0" tint="-0.499984740745262"/>
  </sheetPr>
  <dimension ref="B2:C19"/>
  <sheetViews>
    <sheetView showGridLines="0" zoomScale="190" zoomScaleNormal="190" workbookViewId="0">
      <selection activeCell="B4" sqref="B4:C19"/>
    </sheetView>
  </sheetViews>
  <sheetFormatPr baseColWidth="10" defaultRowHeight="14" x14ac:dyDescent="0.2"/>
  <cols>
    <col min="1" max="1" width="10.83203125" style="2"/>
    <col min="2" max="2" width="23.6640625" style="2" customWidth="1"/>
    <col min="3" max="16384" width="10.83203125" style="2"/>
  </cols>
  <sheetData>
    <row r="2" spans="2:3" x14ac:dyDescent="0.2">
      <c r="B2" s="2" t="s">
        <v>797</v>
      </c>
    </row>
    <row r="3" spans="2:3" ht="15" thickBot="1" x14ac:dyDescent="0.25"/>
    <row r="4" spans="2:3" x14ac:dyDescent="0.2">
      <c r="B4" s="523"/>
      <c r="C4" s="531"/>
    </row>
    <row r="5" spans="2:3" x14ac:dyDescent="0.2">
      <c r="B5" s="530" t="s">
        <v>776</v>
      </c>
      <c r="C5" s="479"/>
    </row>
    <row r="6" spans="2:3" x14ac:dyDescent="0.2">
      <c r="B6" s="503" t="s">
        <v>777</v>
      </c>
      <c r="C6" s="532">
        <v>5000</v>
      </c>
    </row>
    <row r="7" spans="2:3" x14ac:dyDescent="0.2">
      <c r="B7" s="503" t="s">
        <v>778</v>
      </c>
      <c r="C7" s="532">
        <v>3000</v>
      </c>
    </row>
    <row r="8" spans="2:3" x14ac:dyDescent="0.2">
      <c r="B8" s="503" t="s">
        <v>779</v>
      </c>
      <c r="C8" s="532">
        <v>1000</v>
      </c>
    </row>
    <row r="9" spans="2:3" x14ac:dyDescent="0.2">
      <c r="B9" s="503" t="s">
        <v>780</v>
      </c>
      <c r="C9" s="532">
        <v>10000</v>
      </c>
    </row>
    <row r="10" spans="2:3" x14ac:dyDescent="0.2">
      <c r="B10" s="503"/>
      <c r="C10" s="532"/>
    </row>
    <row r="11" spans="2:3" x14ac:dyDescent="0.2">
      <c r="B11" s="504" t="s">
        <v>781</v>
      </c>
      <c r="C11" s="532"/>
    </row>
    <row r="12" spans="2:3" x14ac:dyDescent="0.2">
      <c r="B12" s="503" t="s">
        <v>782</v>
      </c>
      <c r="C12" s="532">
        <v>60</v>
      </c>
    </row>
    <row r="13" spans="2:3" x14ac:dyDescent="0.2">
      <c r="B13" s="503"/>
      <c r="C13" s="532"/>
    </row>
    <row r="14" spans="2:3" x14ac:dyDescent="0.2">
      <c r="B14" s="504" t="s">
        <v>783</v>
      </c>
      <c r="C14" s="532"/>
    </row>
    <row r="15" spans="2:3" x14ac:dyDescent="0.2">
      <c r="B15" s="503" t="s">
        <v>784</v>
      </c>
      <c r="C15" s="532">
        <v>3</v>
      </c>
    </row>
    <row r="16" spans="2:3" x14ac:dyDescent="0.2">
      <c r="B16" s="503" t="s">
        <v>785</v>
      </c>
      <c r="C16" s="532">
        <v>1</v>
      </c>
    </row>
    <row r="17" spans="2:3" x14ac:dyDescent="0.2">
      <c r="B17" s="503"/>
      <c r="C17" s="532"/>
    </row>
    <row r="18" spans="2:3" x14ac:dyDescent="0.2">
      <c r="B18" s="503" t="s">
        <v>786</v>
      </c>
      <c r="C18" s="532">
        <v>335000</v>
      </c>
    </row>
    <row r="19" spans="2:3" ht="15" thickBot="1" x14ac:dyDescent="0.25">
      <c r="B19" s="533" t="s">
        <v>787</v>
      </c>
      <c r="C19" s="534">
        <v>695557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A6B-14E1-3946-B36C-AB75A0841039}">
  <sheetPr codeName="Foglio24">
    <tabColor theme="0" tint="-0.499984740745262"/>
  </sheetPr>
  <dimension ref="B2:F11"/>
  <sheetViews>
    <sheetView showGridLines="0" zoomScale="190" zoomScaleNormal="190" workbookViewId="0">
      <selection activeCell="C8" sqref="C8"/>
    </sheetView>
  </sheetViews>
  <sheetFormatPr baseColWidth="10" defaultRowHeight="14" x14ac:dyDescent="0.2"/>
  <cols>
    <col min="1" max="1" width="10.83203125" style="2"/>
    <col min="2" max="2" width="23.6640625" style="2" customWidth="1"/>
    <col min="3" max="3" width="13.33203125" style="2" customWidth="1"/>
    <col min="4" max="4" width="12.6640625" style="2" customWidth="1"/>
    <col min="5" max="16384" width="10.83203125" style="2"/>
  </cols>
  <sheetData>
    <row r="2" spans="2:6" x14ac:dyDescent="0.2">
      <c r="B2" s="2" t="s">
        <v>788</v>
      </c>
    </row>
    <row r="3" spans="2:6" ht="15" thickBot="1" x14ac:dyDescent="0.25"/>
    <row r="4" spans="2:6" x14ac:dyDescent="0.2">
      <c r="B4" s="523"/>
      <c r="C4" s="535" t="s">
        <v>769</v>
      </c>
      <c r="D4" s="536" t="s">
        <v>770</v>
      </c>
    </row>
    <row r="5" spans="2:6" x14ac:dyDescent="0.2">
      <c r="B5" s="530" t="s">
        <v>789</v>
      </c>
      <c r="C5" s="543">
        <f>COUNTIF(Tabella2[linea],'All. 11'!C4)</f>
        <v>98</v>
      </c>
      <c r="D5" s="544">
        <f>COUNTIF(Tabella2[linea],'All. 11'!D4)</f>
        <v>11</v>
      </c>
    </row>
    <row r="6" spans="2:6" x14ac:dyDescent="0.2">
      <c r="B6" s="503"/>
      <c r="D6" s="532"/>
    </row>
    <row r="7" spans="2:6" x14ac:dyDescent="0.2">
      <c r="B7" s="503" t="s">
        <v>792</v>
      </c>
      <c r="C7" s="487">
        <f>+'Tab. 11'!O6-'Tab. 11'!O7</f>
        <v>235</v>
      </c>
      <c r="D7" s="545">
        <f>+C7</f>
        <v>235</v>
      </c>
    </row>
    <row r="8" spans="2:6" x14ac:dyDescent="0.2">
      <c r="B8" s="503" t="s">
        <v>793</v>
      </c>
      <c r="C8" s="487">
        <v>0</v>
      </c>
      <c r="D8" s="545">
        <v>0</v>
      </c>
    </row>
    <row r="9" spans="2:6" x14ac:dyDescent="0.2">
      <c r="B9" s="503" t="s">
        <v>794</v>
      </c>
      <c r="C9" s="487">
        <f>ROUND(-$F$9*C7,0)</f>
        <v>-14</v>
      </c>
      <c r="D9" s="545">
        <f>ROUND(-$F$9*D7,0)</f>
        <v>-14</v>
      </c>
      <c r="F9" s="547">
        <f>14/235</f>
        <v>5.9574468085106386E-2</v>
      </c>
    </row>
    <row r="10" spans="2:6" x14ac:dyDescent="0.2">
      <c r="B10" s="503" t="s">
        <v>795</v>
      </c>
      <c r="C10" s="487">
        <v>8</v>
      </c>
      <c r="D10" s="545">
        <v>8</v>
      </c>
    </row>
    <row r="11" spans="2:6" ht="15" thickBot="1" x14ac:dyDescent="0.25">
      <c r="B11" s="533" t="s">
        <v>796</v>
      </c>
      <c r="C11" s="548">
        <v>0</v>
      </c>
      <c r="D11" s="546"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40467-1501-C04A-A463-3AA48BC6BAFF}">
  <sheetPr codeName="Foglio25"/>
  <dimension ref="B2:Q78"/>
  <sheetViews>
    <sheetView zoomScale="140" zoomScaleNormal="140" workbookViewId="0">
      <selection activeCell="D22" sqref="D22"/>
    </sheetView>
  </sheetViews>
  <sheetFormatPr baseColWidth="10" defaultRowHeight="13" x14ac:dyDescent="0.15"/>
  <cols>
    <col min="2" max="2" width="22.6640625" customWidth="1"/>
    <col min="3" max="3" width="12" bestFit="1" customWidth="1"/>
  </cols>
  <sheetData>
    <row r="2" spans="2:15" x14ac:dyDescent="0.15">
      <c r="B2" s="432" t="s">
        <v>798</v>
      </c>
    </row>
    <row r="3" spans="2:15" ht="14" thickBot="1" x14ac:dyDescent="0.2"/>
    <row r="4" spans="2:15" ht="16" x14ac:dyDescent="0.15">
      <c r="B4" s="330"/>
      <c r="C4" s="1076" t="s">
        <v>196</v>
      </c>
      <c r="D4" s="1034"/>
      <c r="E4" s="1034"/>
      <c r="F4" s="1034"/>
      <c r="G4" s="1034"/>
      <c r="H4" s="1034"/>
      <c r="I4" s="1034"/>
      <c r="J4" s="1034"/>
      <c r="K4" s="1034"/>
      <c r="L4" s="1034"/>
      <c r="M4" s="1034"/>
      <c r="N4" s="1034"/>
      <c r="O4" s="1035"/>
    </row>
    <row r="5" spans="2:15" ht="16" x14ac:dyDescent="0.15">
      <c r="B5" s="230"/>
      <c r="C5" s="337" t="s">
        <v>211</v>
      </c>
      <c r="D5" s="337" t="s">
        <v>212</v>
      </c>
      <c r="E5" s="337" t="s">
        <v>213</v>
      </c>
      <c r="F5" s="337" t="s">
        <v>214</v>
      </c>
      <c r="G5" s="337" t="s">
        <v>215</v>
      </c>
      <c r="H5" s="337" t="s">
        <v>216</v>
      </c>
      <c r="I5" s="337" t="s">
        <v>217</v>
      </c>
      <c r="J5" s="337" t="s">
        <v>218</v>
      </c>
      <c r="K5" s="337" t="s">
        <v>219</v>
      </c>
      <c r="L5" s="337" t="s">
        <v>220</v>
      </c>
      <c r="M5" s="337" t="s">
        <v>221</v>
      </c>
      <c r="N5" s="337" t="s">
        <v>222</v>
      </c>
      <c r="O5" s="342" t="s">
        <v>179</v>
      </c>
    </row>
    <row r="6" spans="2:15" ht="16" x14ac:dyDescent="0.2">
      <c r="B6" s="28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338"/>
    </row>
    <row r="7" spans="2:15" ht="16" x14ac:dyDescent="0.2">
      <c r="B7" s="549" t="s">
        <v>799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338"/>
    </row>
    <row r="8" spans="2:15" ht="16" x14ac:dyDescent="0.2">
      <c r="B8" s="469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338"/>
    </row>
    <row r="9" spans="2:15" ht="16" x14ac:dyDescent="0.2">
      <c r="B9" s="469" t="s">
        <v>800</v>
      </c>
      <c r="C9" s="332">
        <f>'Tab 5'!C15</f>
        <v>53085.140425531914</v>
      </c>
      <c r="D9" s="332">
        <f>'Tab 5'!D15</f>
        <v>60115.491160451427</v>
      </c>
      <c r="E9" s="332">
        <f>'Tab 5'!E15</f>
        <v>67407.192253488931</v>
      </c>
      <c r="F9" s="332">
        <f>'Tab 5'!F15</f>
        <v>61932.663829787227</v>
      </c>
      <c r="G9" s="332">
        <f>'Tab 5'!G15</f>
        <v>61932.663829787234</v>
      </c>
      <c r="H9" s="332">
        <f>'Tab 5'!H15</f>
        <v>64881.83829787228</v>
      </c>
      <c r="I9" s="332">
        <f>'Tab 5'!I15</f>
        <v>57041.838297872368</v>
      </c>
      <c r="J9" s="332">
        <f>'Tab 5'!J15</f>
        <v>35390.093617021274</v>
      </c>
      <c r="K9" s="332">
        <f>'Tab 5'!K15</f>
        <v>61002.600772020145</v>
      </c>
      <c r="L9" s="332">
        <f>'Tab 5'!L15</f>
        <v>53809.840677835746</v>
      </c>
      <c r="M9" s="332">
        <f>'Tab 5'!M15</f>
        <v>54092.663829787234</v>
      </c>
      <c r="N9" s="332">
        <f>'Tab 5'!N15</f>
        <v>35390.093617021274</v>
      </c>
      <c r="O9" s="550">
        <f>SUM(C9:N9)</f>
        <v>666082.12060847704</v>
      </c>
    </row>
    <row r="10" spans="2:15" ht="16" x14ac:dyDescent="0.2">
      <c r="B10" s="469" t="s">
        <v>801</v>
      </c>
      <c r="C10" s="332">
        <f>'All. 8'!$C$10/60*C9</f>
        <v>13271.285106382978</v>
      </c>
      <c r="D10" s="332">
        <f>'All. 8'!$C$10/60*D9</f>
        <v>15028.872790112857</v>
      </c>
      <c r="E10" s="332">
        <f>'All. 8'!$C$10/60*E9</f>
        <v>16851.798063372233</v>
      </c>
      <c r="F10" s="332">
        <f>'All. 8'!$C$10/60*F9</f>
        <v>15483.165957446807</v>
      </c>
      <c r="G10" s="332">
        <f>'All. 8'!$C$10/60*G9</f>
        <v>15483.165957446809</v>
      </c>
      <c r="H10" s="332">
        <f>'All. 8'!$C$10/60*H9</f>
        <v>16220.45957446807</v>
      </c>
      <c r="I10" s="332">
        <f>'All. 8'!$C$10/60*I9</f>
        <v>14260.459574468092</v>
      </c>
      <c r="J10" s="332">
        <f>'All. 8'!$C$10/60*J9</f>
        <v>8847.5234042553184</v>
      </c>
      <c r="K10" s="332">
        <f>'All. 8'!$C$10/60*K9</f>
        <v>15250.650193005036</v>
      </c>
      <c r="L10" s="332">
        <f>'All. 8'!$C$10/60*L9</f>
        <v>13452.460169458936</v>
      </c>
      <c r="M10" s="332">
        <f>'All. 8'!$C$10/60*M9</f>
        <v>13523.165957446809</v>
      </c>
      <c r="N10" s="332">
        <f>'All. 8'!$C$10/60*N9</f>
        <v>8847.5234042553184</v>
      </c>
      <c r="O10" s="550">
        <f>SUM(C10:N10)</f>
        <v>166520.53015211926</v>
      </c>
    </row>
    <row r="11" spans="2:15" ht="16" x14ac:dyDescent="0.2">
      <c r="B11" s="469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338"/>
    </row>
    <row r="12" spans="2:15" ht="16" x14ac:dyDescent="0.2">
      <c r="B12" s="469" t="s">
        <v>802</v>
      </c>
      <c r="C12" s="570">
        <f>'Tab. 11'!C10</f>
        <v>16.927659574468084</v>
      </c>
      <c r="D12" s="570">
        <f>'Tab. 11'!D10</f>
        <v>18.808510638297872</v>
      </c>
      <c r="E12" s="570">
        <f>'Tab. 11'!E10</f>
        <v>21.629787234042553</v>
      </c>
      <c r="F12" s="570">
        <f>'Tab. 11'!F10</f>
        <v>19.748936170212765</v>
      </c>
      <c r="G12" s="570">
        <f>'Tab. 11'!G10</f>
        <v>19.748936170212765</v>
      </c>
      <c r="H12" s="570">
        <f>'Tab. 11'!H10</f>
        <v>20.689361702127659</v>
      </c>
      <c r="I12" s="570">
        <f>'Tab. 11'!I10</f>
        <v>20.689361702127659</v>
      </c>
      <c r="J12" s="570">
        <f>'Tab. 11'!J10</f>
        <v>11.285106382978723</v>
      </c>
      <c r="K12" s="570">
        <f>'Tab. 11'!K10</f>
        <v>20.689361702127659</v>
      </c>
      <c r="L12" s="570">
        <f>'Tab. 11'!L10</f>
        <v>19.748936170212765</v>
      </c>
      <c r="M12" s="570">
        <f>'Tab. 11'!M10</f>
        <v>19.748936170212765</v>
      </c>
      <c r="N12" s="570">
        <f>'Tab. 11'!N10</f>
        <v>11.285106382978723</v>
      </c>
      <c r="O12" s="967">
        <f>SUM(C12:N12)</f>
        <v>220.99999999999997</v>
      </c>
    </row>
    <row r="13" spans="2:15" ht="16" x14ac:dyDescent="0.2">
      <c r="B13" s="469" t="s">
        <v>4</v>
      </c>
      <c r="C13" s="553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556"/>
    </row>
    <row r="14" spans="2:15" ht="16" x14ac:dyDescent="0.2">
      <c r="B14" s="469" t="s">
        <v>5</v>
      </c>
      <c r="C14" s="551"/>
      <c r="D14" s="551"/>
      <c r="E14" s="551"/>
      <c r="F14" s="551"/>
      <c r="G14" s="551"/>
      <c r="H14" s="551"/>
      <c r="I14" s="553">
        <f>'All. 11'!$C$8/2</f>
        <v>0</v>
      </c>
      <c r="J14" s="551"/>
      <c r="K14" s="551"/>
      <c r="L14" s="551"/>
      <c r="M14" s="551"/>
      <c r="N14" s="553">
        <f>'All. 11'!$C$8/2</f>
        <v>0</v>
      </c>
      <c r="O14" s="552">
        <f>SUM(C14:N14)</f>
        <v>0</v>
      </c>
    </row>
    <row r="15" spans="2:15" ht="16" x14ac:dyDescent="0.2">
      <c r="B15" s="469" t="s">
        <v>6</v>
      </c>
      <c r="C15" s="551">
        <f>'All. 11'!$C$10</f>
        <v>8</v>
      </c>
      <c r="D15" s="551">
        <f>'All. 11'!$C$10</f>
        <v>8</v>
      </c>
      <c r="E15" s="551">
        <f>'All. 11'!$C$10</f>
        <v>8</v>
      </c>
      <c r="F15" s="551">
        <f>'All. 11'!$C$10</f>
        <v>8</v>
      </c>
      <c r="G15" s="551">
        <f>'All. 11'!$C$10</f>
        <v>8</v>
      </c>
      <c r="H15" s="551">
        <f>'All. 11'!$C$10</f>
        <v>8</v>
      </c>
      <c r="I15" s="551">
        <f>'All. 11'!$C$10</f>
        <v>8</v>
      </c>
      <c r="J15" s="551">
        <f>'All. 11'!$C$10</f>
        <v>8</v>
      </c>
      <c r="K15" s="551">
        <f>'All. 11'!$C$10</f>
        <v>8</v>
      </c>
      <c r="L15" s="551">
        <f>'All. 11'!$C$10</f>
        <v>8</v>
      </c>
      <c r="M15" s="551">
        <f>'All. 11'!$C$10</f>
        <v>8</v>
      </c>
      <c r="N15" s="551">
        <f>'All. 11'!$C$10</f>
        <v>8</v>
      </c>
      <c r="O15" s="554"/>
    </row>
    <row r="16" spans="2:15" ht="16" x14ac:dyDescent="0.2">
      <c r="B16" s="469" t="s">
        <v>7</v>
      </c>
      <c r="C16" s="551">
        <f>'All. 11'!$C$5</f>
        <v>98</v>
      </c>
      <c r="D16" s="551">
        <f>'All. 11'!$C$5</f>
        <v>98</v>
      </c>
      <c r="E16" s="551">
        <f>'All. 11'!$C$5</f>
        <v>98</v>
      </c>
      <c r="F16" s="551">
        <f>'All. 11'!$C$5</f>
        <v>98</v>
      </c>
      <c r="G16" s="551">
        <f>'All. 11'!$C$5</f>
        <v>98</v>
      </c>
      <c r="H16" s="551">
        <f>'All. 11'!$C$5</f>
        <v>98</v>
      </c>
      <c r="I16" s="551">
        <f>'All. 11'!$C$5</f>
        <v>98</v>
      </c>
      <c r="J16" s="551">
        <f>'All. 11'!$C$5</f>
        <v>98</v>
      </c>
      <c r="K16" s="551">
        <f>'All. 11'!$C$5</f>
        <v>98</v>
      </c>
      <c r="L16" s="551">
        <f>'All. 11'!$C$5</f>
        <v>98</v>
      </c>
      <c r="M16" s="551">
        <f>'All. 11'!$C$5</f>
        <v>98</v>
      </c>
      <c r="N16" s="551">
        <f>'All. 11'!$C$5</f>
        <v>98</v>
      </c>
      <c r="O16" s="554"/>
    </row>
    <row r="17" spans="2:17" ht="17" thickBot="1" x14ac:dyDescent="0.25">
      <c r="B17" s="469" t="s">
        <v>803</v>
      </c>
      <c r="C17" s="332">
        <f>(C12+C13+C14)*C15*C16</f>
        <v>13271.285106382978</v>
      </c>
      <c r="D17" s="332">
        <f t="shared" ref="D17:N17" si="0">(D12+D13+D14)*D15*D16</f>
        <v>14745.872340425531</v>
      </c>
      <c r="E17" s="332">
        <f t="shared" si="0"/>
        <v>16957.753191489363</v>
      </c>
      <c r="F17" s="332">
        <f t="shared" si="0"/>
        <v>15483.165957446809</v>
      </c>
      <c r="G17" s="332">
        <f t="shared" si="0"/>
        <v>15483.165957446809</v>
      </c>
      <c r="H17" s="332">
        <f t="shared" si="0"/>
        <v>16220.459574468085</v>
      </c>
      <c r="I17" s="332">
        <f t="shared" si="0"/>
        <v>16220.459574468085</v>
      </c>
      <c r="J17" s="332">
        <f t="shared" si="0"/>
        <v>8847.5234042553184</v>
      </c>
      <c r="K17" s="332">
        <f t="shared" si="0"/>
        <v>16220.459574468085</v>
      </c>
      <c r="L17" s="332">
        <f t="shared" si="0"/>
        <v>15483.165957446809</v>
      </c>
      <c r="M17" s="332">
        <f t="shared" si="0"/>
        <v>15483.165957446809</v>
      </c>
      <c r="N17" s="332">
        <f t="shared" si="0"/>
        <v>8847.5234042553184</v>
      </c>
      <c r="O17" s="550">
        <f>SUM(C17:N17)</f>
        <v>173264.00000000003</v>
      </c>
    </row>
    <row r="18" spans="2:17" ht="17" thickBot="1" x14ac:dyDescent="0.25">
      <c r="B18" s="470" t="s">
        <v>804</v>
      </c>
      <c r="C18" s="336">
        <f>C17-C10</f>
        <v>0</v>
      </c>
      <c r="D18" s="336">
        <f t="shared" ref="D18:O18" si="1">D17-D10</f>
        <v>-283.00044968732618</v>
      </c>
      <c r="E18" s="336">
        <f t="shared" si="1"/>
        <v>105.95512811712979</v>
      </c>
      <c r="F18" s="336">
        <f t="shared" si="1"/>
        <v>0</v>
      </c>
      <c r="G18" s="336">
        <f t="shared" si="1"/>
        <v>0</v>
      </c>
      <c r="H18" s="336">
        <f t="shared" si="1"/>
        <v>1.4551915228366852E-11</v>
      </c>
      <c r="I18" s="336">
        <f t="shared" si="1"/>
        <v>1959.9999999999927</v>
      </c>
      <c r="J18" s="336">
        <f t="shared" si="1"/>
        <v>0</v>
      </c>
      <c r="K18" s="336">
        <f t="shared" si="1"/>
        <v>969.80938146304834</v>
      </c>
      <c r="L18" s="336">
        <f t="shared" si="1"/>
        <v>2030.7057879878721</v>
      </c>
      <c r="M18" s="336">
        <f t="shared" si="1"/>
        <v>1960</v>
      </c>
      <c r="N18" s="336">
        <f t="shared" si="1"/>
        <v>0</v>
      </c>
      <c r="O18" s="346">
        <f t="shared" si="1"/>
        <v>6743.4698478807695</v>
      </c>
    </row>
    <row r="19" spans="2:17" ht="16" x14ac:dyDescent="0.2">
      <c r="B19" s="469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338"/>
    </row>
    <row r="20" spans="2:17" ht="16" x14ac:dyDescent="0.2">
      <c r="B20" s="469" t="s">
        <v>809</v>
      </c>
      <c r="C20" s="406">
        <f>C17/('All. 8'!$C$10/60)</f>
        <v>53085.140425531914</v>
      </c>
      <c r="D20" s="406">
        <f>D17/('All. 8'!$C$10/60)</f>
        <v>58983.489361702123</v>
      </c>
      <c r="E20" s="406">
        <f>E17/('All. 8'!$C$10/60)</f>
        <v>67831.01276595745</v>
      </c>
      <c r="F20" s="406">
        <f>F17/('All. 8'!$C$10/60)</f>
        <v>61932.663829787234</v>
      </c>
      <c r="G20" s="406">
        <f>G17/('All. 8'!$C$10/60)</f>
        <v>61932.663829787234</v>
      </c>
      <c r="H20" s="406">
        <f>H17/('All. 8'!$C$10/60)</f>
        <v>64881.838297872338</v>
      </c>
      <c r="I20" s="406">
        <f>I17/('All. 8'!$C$10/60)</f>
        <v>64881.838297872338</v>
      </c>
      <c r="J20" s="406">
        <f>J17/('All. 8'!$C$10/60)</f>
        <v>35390.093617021274</v>
      </c>
      <c r="K20" s="406">
        <f>K17/('All. 8'!$C$10/60)</f>
        <v>64881.838297872338</v>
      </c>
      <c r="L20" s="406">
        <f>L17/('All. 8'!$C$10/60)</f>
        <v>61932.663829787234</v>
      </c>
      <c r="M20" s="406">
        <f>M17/('All. 8'!$C$10/60)</f>
        <v>61932.663829787234</v>
      </c>
      <c r="N20" s="406">
        <f>N17/('All. 8'!$C$10/60)</f>
        <v>35390.093617021274</v>
      </c>
      <c r="O20" s="338"/>
    </row>
    <row r="21" spans="2:17" ht="16" hidden="1" x14ac:dyDescent="0.2">
      <c r="B21" s="469"/>
      <c r="C21" s="332">
        <f>MIN(SUM(C9:$N9)-SUM(D21:$N21),C20)</f>
        <v>53085.140425531914</v>
      </c>
      <c r="D21" s="332">
        <f>MIN(SUM(D9:$N9)-SUM(E21:$N21),D20)</f>
        <v>58983.489361702123</v>
      </c>
      <c r="E21" s="332">
        <f>MIN(SUM(E9:$N9)-SUM(F21:$N21),E20)</f>
        <v>67407.192253488931</v>
      </c>
      <c r="F21" s="332">
        <f>MIN(SUM(F9:$N9)-SUM(G21:$N21),F20)</f>
        <v>61932.663829787227</v>
      </c>
      <c r="G21" s="332">
        <f>MIN(SUM(G9:$N9)-SUM(H21:$N21),G20)</f>
        <v>61932.663829787227</v>
      </c>
      <c r="H21" s="332">
        <f>MIN(SUM(H9:$N9)-SUM(I21:$N21),H20)</f>
        <v>64881.83829787228</v>
      </c>
      <c r="I21" s="332">
        <f>MIN(SUM(I9:$N9)-SUM(J21:$N21),I20)</f>
        <v>57041.838297872368</v>
      </c>
      <c r="J21" s="332">
        <f>MIN(SUM(J9:$N9)-SUM(K21:$N21),J20)</f>
        <v>35390.093617021274</v>
      </c>
      <c r="K21" s="332">
        <f>MIN(SUM(K9:$N9)-SUM(L21:$N21),K20)</f>
        <v>61002.600772020145</v>
      </c>
      <c r="L21" s="332">
        <f>MIN(SUM(L9:$N9)-SUM(M21:$N21),L20)</f>
        <v>53809.840677835746</v>
      </c>
      <c r="M21" s="332">
        <f>MIN(SUM(M9:$N9)-SUM(N21:$N21),M20)</f>
        <v>54092.663829787234</v>
      </c>
      <c r="N21" s="332">
        <f>+N20</f>
        <v>35390.093617021274</v>
      </c>
      <c r="O21" s="550">
        <f>SUM(C21:N21)</f>
        <v>664950.11880972772</v>
      </c>
    </row>
    <row r="22" spans="2:17" ht="16" x14ac:dyDescent="0.2">
      <c r="B22" s="557" t="s">
        <v>805</v>
      </c>
      <c r="C22" s="558">
        <f>+C21+C35</f>
        <v>53085.140425531914</v>
      </c>
      <c r="D22" s="558">
        <f>+D21+D35</f>
        <v>60115.491160451427</v>
      </c>
      <c r="E22" s="558">
        <f t="shared" ref="E22:N22" si="2">+E21+E35</f>
        <v>67407.192253488931</v>
      </c>
      <c r="F22" s="558">
        <f t="shared" si="2"/>
        <v>61932.663829787227</v>
      </c>
      <c r="G22" s="558">
        <f t="shared" si="2"/>
        <v>61932.663829787227</v>
      </c>
      <c r="H22" s="558">
        <f t="shared" si="2"/>
        <v>64881.83829787228</v>
      </c>
      <c r="I22" s="558">
        <f t="shared" si="2"/>
        <v>57041.838297872368</v>
      </c>
      <c r="J22" s="558">
        <f t="shared" si="2"/>
        <v>35390.093617021274</v>
      </c>
      <c r="K22" s="558">
        <f t="shared" si="2"/>
        <v>61002.600772020145</v>
      </c>
      <c r="L22" s="558">
        <f t="shared" si="2"/>
        <v>53809.840677835746</v>
      </c>
      <c r="M22" s="558">
        <f t="shared" si="2"/>
        <v>54092.663829787234</v>
      </c>
      <c r="N22" s="558">
        <f t="shared" si="2"/>
        <v>35390.093617021274</v>
      </c>
      <c r="O22" s="559">
        <f>SUM(C22:N22)</f>
        <v>666082.12060847704</v>
      </c>
      <c r="Q22" s="1"/>
    </row>
    <row r="23" spans="2:17" ht="16" x14ac:dyDescent="0.2">
      <c r="B23" s="469" t="s">
        <v>812</v>
      </c>
      <c r="C23" s="332">
        <f>'All. 8'!$C$10/60*C22</f>
        <v>13271.285106382978</v>
      </c>
      <c r="D23" s="332">
        <f>'All. 8'!$C$10/60*D22</f>
        <v>15028.872790112857</v>
      </c>
      <c r="E23" s="332">
        <f>'All. 8'!$C$10/60*E22</f>
        <v>16851.798063372233</v>
      </c>
      <c r="F23" s="332">
        <f>'All. 8'!$C$10/60*F22</f>
        <v>15483.165957446807</v>
      </c>
      <c r="G23" s="332">
        <f>'All. 8'!$C$10/60*G22</f>
        <v>15483.165957446807</v>
      </c>
      <c r="H23" s="332">
        <f>'All. 8'!$C$10/60*H22</f>
        <v>16220.45957446807</v>
      </c>
      <c r="I23" s="332">
        <f>'All. 8'!$C$10/60*I22</f>
        <v>14260.459574468092</v>
      </c>
      <c r="J23" s="332">
        <f>'All. 8'!$C$10/60*J22</f>
        <v>8847.5234042553184</v>
      </c>
      <c r="K23" s="332">
        <f>'All. 8'!$C$10/60*K22</f>
        <v>15250.650193005036</v>
      </c>
      <c r="L23" s="332">
        <f>'All. 8'!$C$10/60*L22</f>
        <v>13452.460169458936</v>
      </c>
      <c r="M23" s="332">
        <f>'All. 8'!$C$10/60*M22</f>
        <v>13523.165957446809</v>
      </c>
      <c r="N23" s="332">
        <f>'All. 8'!$C$10/60*N22</f>
        <v>8847.5234042553184</v>
      </c>
      <c r="O23" s="550">
        <f>SUM(C23:N23)</f>
        <v>166520.53015211926</v>
      </c>
    </row>
    <row r="24" spans="2:17" ht="16" x14ac:dyDescent="0.2">
      <c r="B24" s="469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338"/>
    </row>
    <row r="25" spans="2:17" ht="16" x14ac:dyDescent="0.2">
      <c r="B25" s="469" t="s">
        <v>806</v>
      </c>
      <c r="C25" s="555">
        <f>C17</f>
        <v>13271.285106382978</v>
      </c>
      <c r="D25" s="555">
        <f t="shared" ref="D25:N25" si="3">D17</f>
        <v>14745.872340425531</v>
      </c>
      <c r="E25" s="555">
        <f t="shared" si="3"/>
        <v>16957.753191489363</v>
      </c>
      <c r="F25" s="555">
        <f t="shared" si="3"/>
        <v>15483.165957446809</v>
      </c>
      <c r="G25" s="555">
        <f t="shared" si="3"/>
        <v>15483.165957446809</v>
      </c>
      <c r="H25" s="555">
        <f t="shared" si="3"/>
        <v>16220.459574468085</v>
      </c>
      <c r="I25" s="555">
        <f t="shared" si="3"/>
        <v>16220.459574468085</v>
      </c>
      <c r="J25" s="555">
        <f t="shared" si="3"/>
        <v>8847.5234042553184</v>
      </c>
      <c r="K25" s="555">
        <f t="shared" si="3"/>
        <v>16220.459574468085</v>
      </c>
      <c r="L25" s="555">
        <f t="shared" si="3"/>
        <v>15483.165957446809</v>
      </c>
      <c r="M25" s="555">
        <f t="shared" si="3"/>
        <v>15483.165957446809</v>
      </c>
      <c r="N25" s="555">
        <f t="shared" si="3"/>
        <v>8847.5234042553184</v>
      </c>
      <c r="O25" s="552">
        <f>SUM(C25:N25)</f>
        <v>173264.00000000003</v>
      </c>
    </row>
    <row r="26" spans="2:17" ht="16" x14ac:dyDescent="0.2">
      <c r="B26" s="469" t="s">
        <v>807</v>
      </c>
      <c r="C26" s="555"/>
      <c r="D26" s="555">
        <f>+D23-D25</f>
        <v>283.00044968732618</v>
      </c>
      <c r="E26" s="551"/>
      <c r="F26" s="551"/>
      <c r="G26" s="551"/>
      <c r="H26" s="551"/>
      <c r="I26" s="551"/>
      <c r="J26" s="551"/>
      <c r="K26" s="551"/>
      <c r="L26" s="551"/>
      <c r="M26" s="551"/>
      <c r="N26" s="551"/>
      <c r="O26" s="552">
        <f>SUM(C26:N26)</f>
        <v>283.00044968732618</v>
      </c>
    </row>
    <row r="27" spans="2:17" ht="17" thickBot="1" x14ac:dyDescent="0.25">
      <c r="B27" s="469" t="s">
        <v>808</v>
      </c>
      <c r="C27" s="555">
        <f>C25+C26</f>
        <v>13271.285106382978</v>
      </c>
      <c r="D27" s="555">
        <f t="shared" ref="D27:N27" si="4">D25+D26</f>
        <v>15028.872790112857</v>
      </c>
      <c r="E27" s="555">
        <f t="shared" si="4"/>
        <v>16957.753191489363</v>
      </c>
      <c r="F27" s="555">
        <f t="shared" si="4"/>
        <v>15483.165957446809</v>
      </c>
      <c r="G27" s="555">
        <f t="shared" si="4"/>
        <v>15483.165957446809</v>
      </c>
      <c r="H27" s="555">
        <f t="shared" si="4"/>
        <v>16220.459574468085</v>
      </c>
      <c r="I27" s="555">
        <f t="shared" si="4"/>
        <v>16220.459574468085</v>
      </c>
      <c r="J27" s="555">
        <f t="shared" si="4"/>
        <v>8847.5234042553184</v>
      </c>
      <c r="K27" s="555">
        <f t="shared" si="4"/>
        <v>16220.459574468085</v>
      </c>
      <c r="L27" s="555">
        <f t="shared" si="4"/>
        <v>15483.165957446809</v>
      </c>
      <c r="M27" s="555">
        <f t="shared" si="4"/>
        <v>15483.165957446809</v>
      </c>
      <c r="N27" s="555">
        <f t="shared" si="4"/>
        <v>8847.5234042553184</v>
      </c>
      <c r="O27" s="552">
        <f>SUM(C27:N27)</f>
        <v>173547.00044968733</v>
      </c>
    </row>
    <row r="28" spans="2:17" ht="17" thickBot="1" x14ac:dyDescent="0.25">
      <c r="B28" s="470" t="s">
        <v>804</v>
      </c>
      <c r="C28" s="336">
        <f>C27-C23</f>
        <v>0</v>
      </c>
      <c r="D28" s="336">
        <f t="shared" ref="D28:N28" si="5">D27-D23</f>
        <v>0</v>
      </c>
      <c r="E28" s="336">
        <f t="shared" si="5"/>
        <v>105.95512811712979</v>
      </c>
      <c r="F28" s="336">
        <f t="shared" si="5"/>
        <v>0</v>
      </c>
      <c r="G28" s="336">
        <f t="shared" si="5"/>
        <v>0</v>
      </c>
      <c r="H28" s="336">
        <f t="shared" si="5"/>
        <v>1.4551915228366852E-11</v>
      </c>
      <c r="I28" s="336">
        <f t="shared" si="5"/>
        <v>1959.9999999999927</v>
      </c>
      <c r="J28" s="336">
        <f t="shared" si="5"/>
        <v>0</v>
      </c>
      <c r="K28" s="336">
        <f t="shared" si="5"/>
        <v>969.80938146304834</v>
      </c>
      <c r="L28" s="336">
        <f t="shared" si="5"/>
        <v>2030.7057879878721</v>
      </c>
      <c r="M28" s="336">
        <f t="shared" si="5"/>
        <v>1960</v>
      </c>
      <c r="N28" s="336">
        <f t="shared" si="5"/>
        <v>0</v>
      </c>
      <c r="O28" s="346">
        <f>SUM(C28:N28)</f>
        <v>7026.4702975680575</v>
      </c>
    </row>
    <row r="29" spans="2:17" hidden="1" x14ac:dyDescent="0.15">
      <c r="B29" s="560"/>
      <c r="C29" s="561"/>
      <c r="D29" s="561"/>
      <c r="E29" s="561"/>
      <c r="F29" s="561"/>
      <c r="G29" s="561"/>
      <c r="H29" s="561"/>
      <c r="I29" s="561"/>
      <c r="J29" s="561"/>
      <c r="K29" s="561"/>
      <c r="L29" s="561"/>
      <c r="M29" s="561"/>
      <c r="N29" s="561"/>
      <c r="O29" s="562"/>
    </row>
    <row r="30" spans="2:17" hidden="1" x14ac:dyDescent="0.15">
      <c r="B30" s="563"/>
      <c r="O30" s="564"/>
    </row>
    <row r="31" spans="2:17" hidden="1" x14ac:dyDescent="0.15">
      <c r="B31" s="565" t="s">
        <v>810</v>
      </c>
      <c r="C31" s="1">
        <f>+C9</f>
        <v>53085.140425531914</v>
      </c>
      <c r="D31" s="1">
        <f t="shared" ref="D31:N31" si="6">+D9+C31</f>
        <v>113200.63158598334</v>
      </c>
      <c r="E31" s="1">
        <f t="shared" si="6"/>
        <v>180607.82383947226</v>
      </c>
      <c r="F31" s="1">
        <f t="shared" si="6"/>
        <v>242540.48766925948</v>
      </c>
      <c r="G31" s="1">
        <f t="shared" si="6"/>
        <v>304473.15149904671</v>
      </c>
      <c r="H31" s="1">
        <f t="shared" si="6"/>
        <v>369354.98979691899</v>
      </c>
      <c r="I31" s="1">
        <f t="shared" si="6"/>
        <v>426396.82809479139</v>
      </c>
      <c r="J31" s="1">
        <f t="shared" si="6"/>
        <v>461786.92171181267</v>
      </c>
      <c r="K31" s="1">
        <f t="shared" si="6"/>
        <v>522789.52248383278</v>
      </c>
      <c r="L31" s="1">
        <f t="shared" si="6"/>
        <v>576599.36316166853</v>
      </c>
      <c r="M31" s="1">
        <f t="shared" si="6"/>
        <v>630692.02699145582</v>
      </c>
      <c r="N31" s="1">
        <f t="shared" si="6"/>
        <v>666082.12060847704</v>
      </c>
      <c r="O31" s="564"/>
    </row>
    <row r="32" spans="2:17" hidden="1" x14ac:dyDescent="0.15">
      <c r="B32" s="565" t="s">
        <v>811</v>
      </c>
      <c r="C32" s="1">
        <f>+C21</f>
        <v>53085.140425531914</v>
      </c>
      <c r="D32" s="1">
        <f t="shared" ref="D32:N32" si="7">+C32+D21</f>
        <v>112068.62978723404</v>
      </c>
      <c r="E32" s="1">
        <f t="shared" si="7"/>
        <v>179475.82204072297</v>
      </c>
      <c r="F32" s="1">
        <f t="shared" si="7"/>
        <v>241408.48587051019</v>
      </c>
      <c r="G32" s="1">
        <f t="shared" si="7"/>
        <v>303341.14970029739</v>
      </c>
      <c r="H32" s="1">
        <f t="shared" si="7"/>
        <v>368222.98799816967</v>
      </c>
      <c r="I32" s="1">
        <f t="shared" si="7"/>
        <v>425264.82629604207</v>
      </c>
      <c r="J32" s="1">
        <f t="shared" si="7"/>
        <v>460654.91991306335</v>
      </c>
      <c r="K32" s="1">
        <f t="shared" si="7"/>
        <v>521657.52068508347</v>
      </c>
      <c r="L32" s="1">
        <f t="shared" si="7"/>
        <v>575467.36136291921</v>
      </c>
      <c r="M32" s="1">
        <f t="shared" si="7"/>
        <v>629560.0251927065</v>
      </c>
      <c r="N32" s="1">
        <f t="shared" si="7"/>
        <v>664950.11880972772</v>
      </c>
      <c r="O32" s="564"/>
    </row>
    <row r="33" spans="2:15" hidden="1" x14ac:dyDescent="0.15">
      <c r="B33" s="563"/>
      <c r="C33" s="1">
        <f>+C22</f>
        <v>53085.140425531914</v>
      </c>
      <c r="D33" s="1">
        <f>+D22+C22</f>
        <v>113200.63158598334</v>
      </c>
      <c r="E33" s="1">
        <f>+E22+D33</f>
        <v>180607.82383947226</v>
      </c>
      <c r="F33" s="1">
        <f t="shared" ref="F33:N33" si="8">+F22+E33</f>
        <v>242540.48766925948</v>
      </c>
      <c r="G33" s="1">
        <f t="shared" si="8"/>
        <v>304473.15149904671</v>
      </c>
      <c r="H33" s="1">
        <f t="shared" si="8"/>
        <v>369354.98979691899</v>
      </c>
      <c r="I33" s="1">
        <f t="shared" si="8"/>
        <v>426396.82809479139</v>
      </c>
      <c r="J33" s="1">
        <f t="shared" si="8"/>
        <v>461786.92171181267</v>
      </c>
      <c r="K33" s="1">
        <f t="shared" si="8"/>
        <v>522789.52248383278</v>
      </c>
      <c r="L33" s="1">
        <f t="shared" si="8"/>
        <v>576599.36316166853</v>
      </c>
      <c r="M33" s="1">
        <f t="shared" si="8"/>
        <v>630692.02699145582</v>
      </c>
      <c r="N33" s="1">
        <f t="shared" si="8"/>
        <v>666082.12060847704</v>
      </c>
      <c r="O33" s="564"/>
    </row>
    <row r="34" spans="2:15" hidden="1" x14ac:dyDescent="0.15">
      <c r="B34" s="56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564"/>
    </row>
    <row r="35" spans="2:15" ht="14" hidden="1" thickBot="1" x14ac:dyDescent="0.2">
      <c r="B35" s="566"/>
      <c r="C35" s="567">
        <f>+IF(C32&lt;C31,C31-C32,0)</f>
        <v>0</v>
      </c>
      <c r="D35" s="567">
        <f>+IF(D32&lt;D31,D31-D32,0)</f>
        <v>1132.0017987493047</v>
      </c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9"/>
    </row>
    <row r="36" spans="2:15" ht="16" x14ac:dyDescent="0.2">
      <c r="B36" s="28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338"/>
    </row>
    <row r="37" spans="2:15" ht="16" x14ac:dyDescent="0.2">
      <c r="B37" s="549" t="s">
        <v>190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338"/>
    </row>
    <row r="38" spans="2:15" ht="16" x14ac:dyDescent="0.2">
      <c r="B38" s="469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338"/>
    </row>
    <row r="39" spans="2:15" ht="16" x14ac:dyDescent="0.2">
      <c r="B39" s="469" t="s">
        <v>800</v>
      </c>
      <c r="C39" s="332">
        <f>'Tab 5'!C28</f>
        <v>3608.3732687165466</v>
      </c>
      <c r="D39" s="332">
        <f>'Tab 5'!D28</f>
        <v>3741.1687639396068</v>
      </c>
      <c r="E39" s="332">
        <f>'Tab 5'!E28</f>
        <v>3919.3196574605463</v>
      </c>
      <c r="F39" s="332">
        <f>'Tab 5'!F28</f>
        <v>3919.3196574605317</v>
      </c>
      <c r="G39" s="332">
        <f>'Tab 5'!G28</f>
        <v>2503.4253543994564</v>
      </c>
      <c r="H39" s="332">
        <f>'Tab 5'!H28</f>
        <v>4551.6595744680817</v>
      </c>
      <c r="I39" s="332">
        <f>'Tab 5'!I28</f>
        <v>4001.6595744680872</v>
      </c>
      <c r="J39" s="332">
        <f>'Tab 5'!J28</f>
        <v>2482.7234042553191</v>
      </c>
      <c r="K39" s="332">
        <f>'Tab 5'!K28</f>
        <v>3008.4665511662315</v>
      </c>
      <c r="L39" s="332">
        <f>'Tab 5'!L28</f>
        <v>4344.765957446808</v>
      </c>
      <c r="M39" s="332">
        <f>'Tab 5'!M28</f>
        <v>3794.765957446808</v>
      </c>
      <c r="N39" s="332">
        <f>'Tab 5'!N28</f>
        <v>2482.7234042553191</v>
      </c>
      <c r="O39" s="550">
        <f>SUM(C39:N39)</f>
        <v>42358.371125483332</v>
      </c>
    </row>
    <row r="40" spans="2:15" ht="16" x14ac:dyDescent="0.2">
      <c r="B40" s="469" t="s">
        <v>801</v>
      </c>
      <c r="C40" s="332">
        <f>'All. 8'!$C$17/60*C39</f>
        <v>1443.3493074866187</v>
      </c>
      <c r="D40" s="332">
        <f>'All. 8'!$C$17/60*D39</f>
        <v>1496.4675055758428</v>
      </c>
      <c r="E40" s="332">
        <f>'All. 8'!$C$17/60*E39</f>
        <v>1567.7278629842185</v>
      </c>
      <c r="F40" s="332">
        <f>'All. 8'!$C$17/60*F39</f>
        <v>1567.7278629842128</v>
      </c>
      <c r="G40" s="332">
        <f>'All. 8'!$C$17/60*G39</f>
        <v>1001.3701417597827</v>
      </c>
      <c r="H40" s="332">
        <f>'All. 8'!$C$17/60*H39</f>
        <v>1820.6638297872328</v>
      </c>
      <c r="I40" s="332">
        <f>'All. 8'!$C$17/60*I39</f>
        <v>1600.663829787235</v>
      </c>
      <c r="J40" s="332">
        <f>'All. 8'!$C$17/60*J39</f>
        <v>993.08936170212769</v>
      </c>
      <c r="K40" s="332">
        <f>'All. 8'!$C$17/60*K39</f>
        <v>1203.3866204664926</v>
      </c>
      <c r="L40" s="332">
        <f>'All. 8'!$C$17/60*L39</f>
        <v>1737.9063829787233</v>
      </c>
      <c r="M40" s="332">
        <f>'All. 8'!$C$17/60*M39</f>
        <v>1517.9063829787233</v>
      </c>
      <c r="N40" s="332">
        <f>'All. 8'!$C$17/60*N39</f>
        <v>993.08936170212769</v>
      </c>
      <c r="O40" s="550">
        <f>SUM(C40:N40)</f>
        <v>16943.348450193338</v>
      </c>
    </row>
    <row r="41" spans="2:15" ht="16" x14ac:dyDescent="0.2">
      <c r="B41" s="469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338"/>
    </row>
    <row r="42" spans="2:15" ht="16" x14ac:dyDescent="0.2">
      <c r="B42" s="469" t="s">
        <v>802</v>
      </c>
      <c r="C42" s="570">
        <f>'Tab. 11'!C10</f>
        <v>16.927659574468084</v>
      </c>
      <c r="D42" s="570">
        <f>'Tab. 11'!D10</f>
        <v>18.808510638297872</v>
      </c>
      <c r="E42" s="570">
        <f>'Tab. 11'!E10</f>
        <v>21.629787234042553</v>
      </c>
      <c r="F42" s="570">
        <f>'Tab. 11'!F10</f>
        <v>19.748936170212765</v>
      </c>
      <c r="G42" s="570">
        <f>'Tab. 11'!G10</f>
        <v>19.748936170212765</v>
      </c>
      <c r="H42" s="570">
        <f>'Tab. 11'!H10</f>
        <v>20.689361702127659</v>
      </c>
      <c r="I42" s="570">
        <f>'Tab. 11'!I10</f>
        <v>20.689361702127659</v>
      </c>
      <c r="J42" s="570">
        <f>'Tab. 11'!J10</f>
        <v>11.285106382978723</v>
      </c>
      <c r="K42" s="570">
        <f>'Tab. 11'!K10</f>
        <v>20.689361702127659</v>
      </c>
      <c r="L42" s="570">
        <f>'Tab. 11'!L10</f>
        <v>19.748936170212765</v>
      </c>
      <c r="M42" s="570">
        <f>'Tab. 11'!M10</f>
        <v>19.748936170212765</v>
      </c>
      <c r="N42" s="570">
        <f>'Tab. 11'!N10</f>
        <v>11.285106382978723</v>
      </c>
      <c r="O42" s="967">
        <f>SUM(C42:N42)</f>
        <v>220.99999999999997</v>
      </c>
    </row>
    <row r="43" spans="2:15" ht="16" x14ac:dyDescent="0.2">
      <c r="B43" s="469" t="s">
        <v>4</v>
      </c>
      <c r="C43" s="553"/>
      <c r="D43" s="553"/>
      <c r="E43" s="553"/>
      <c r="F43" s="553"/>
      <c r="G43" s="553"/>
      <c r="H43" s="553"/>
      <c r="I43" s="553"/>
      <c r="J43" s="553"/>
      <c r="K43" s="553"/>
      <c r="L43" s="553"/>
      <c r="M43" s="553"/>
      <c r="N43" s="553"/>
      <c r="O43" s="556"/>
    </row>
    <row r="44" spans="2:15" ht="16" x14ac:dyDescent="0.2">
      <c r="B44" s="469" t="s">
        <v>5</v>
      </c>
      <c r="C44" s="551"/>
      <c r="D44" s="551"/>
      <c r="E44" s="551"/>
      <c r="F44" s="551"/>
      <c r="G44" s="551"/>
      <c r="H44" s="551"/>
      <c r="I44" s="553">
        <f>'All. 11'!$D$8/2</f>
        <v>0</v>
      </c>
      <c r="J44" s="551"/>
      <c r="K44" s="551"/>
      <c r="L44" s="551"/>
      <c r="M44" s="551"/>
      <c r="N44" s="553">
        <f>'All. 11'!$D$8/2</f>
        <v>0</v>
      </c>
      <c r="O44" s="552">
        <f>SUM(C44:N44)</f>
        <v>0</v>
      </c>
    </row>
    <row r="45" spans="2:15" ht="16" x14ac:dyDescent="0.2">
      <c r="B45" s="469" t="s">
        <v>6</v>
      </c>
      <c r="C45" s="570">
        <f>'All. 11'!$D$10</f>
        <v>8</v>
      </c>
      <c r="D45" s="570">
        <f>'All. 11'!$D$10</f>
        <v>8</v>
      </c>
      <c r="E45" s="570">
        <f>'All. 11'!$D$10</f>
        <v>8</v>
      </c>
      <c r="F45" s="570">
        <f>'All. 11'!$D$10</f>
        <v>8</v>
      </c>
      <c r="G45" s="570">
        <f>'All. 11'!$D$10</f>
        <v>8</v>
      </c>
      <c r="H45" s="570">
        <f>'All. 11'!$D$10</f>
        <v>8</v>
      </c>
      <c r="I45" s="570">
        <f>'All. 11'!$D$10</f>
        <v>8</v>
      </c>
      <c r="J45" s="570">
        <f>'All. 11'!$D$10</f>
        <v>8</v>
      </c>
      <c r="K45" s="570">
        <f>'All. 11'!$D$10</f>
        <v>8</v>
      </c>
      <c r="L45" s="570">
        <f>'All. 11'!$D$10</f>
        <v>8</v>
      </c>
      <c r="M45" s="570">
        <f>'All. 11'!$D$10</f>
        <v>8</v>
      </c>
      <c r="N45" s="570">
        <f>'All. 11'!$D$10</f>
        <v>8</v>
      </c>
      <c r="O45" s="554"/>
    </row>
    <row r="46" spans="2:15" ht="16" x14ac:dyDescent="0.2">
      <c r="B46" s="469" t="s">
        <v>7</v>
      </c>
      <c r="C46" s="551">
        <f>'All. 11'!$D$5</f>
        <v>11</v>
      </c>
      <c r="D46" s="551">
        <f>'All. 11'!$D$5</f>
        <v>11</v>
      </c>
      <c r="E46" s="551">
        <f>'All. 11'!$D$5</f>
        <v>11</v>
      </c>
      <c r="F46" s="551">
        <f>'All. 11'!$D$5</f>
        <v>11</v>
      </c>
      <c r="G46" s="551">
        <f>'All. 11'!$D$5</f>
        <v>11</v>
      </c>
      <c r="H46" s="551">
        <f>'All. 11'!$D$5</f>
        <v>11</v>
      </c>
      <c r="I46" s="551">
        <f>'All. 11'!$D$5</f>
        <v>11</v>
      </c>
      <c r="J46" s="551">
        <f>'All. 11'!$D$5</f>
        <v>11</v>
      </c>
      <c r="K46" s="551">
        <f>'All. 11'!$D$5</f>
        <v>11</v>
      </c>
      <c r="L46" s="551">
        <f>'All. 11'!$D$5</f>
        <v>11</v>
      </c>
      <c r="M46" s="551">
        <f>'All. 11'!$D$5</f>
        <v>11</v>
      </c>
      <c r="N46" s="551">
        <f>'All. 11'!$D$5</f>
        <v>11</v>
      </c>
      <c r="O46" s="554"/>
    </row>
    <row r="47" spans="2:15" ht="17" thickBot="1" x14ac:dyDescent="0.25">
      <c r="B47" s="469" t="s">
        <v>803</v>
      </c>
      <c r="C47" s="332">
        <f t="shared" ref="C47:N47" si="9">(C42+C43+C44)*C45*C46</f>
        <v>1489.6340425531914</v>
      </c>
      <c r="D47" s="332">
        <f t="shared" si="9"/>
        <v>1655.1489361702127</v>
      </c>
      <c r="E47" s="332">
        <f t="shared" si="9"/>
        <v>1903.4212765957445</v>
      </c>
      <c r="F47" s="332">
        <f t="shared" si="9"/>
        <v>1737.9063829787233</v>
      </c>
      <c r="G47" s="332">
        <f t="shared" si="9"/>
        <v>1737.9063829787233</v>
      </c>
      <c r="H47" s="332">
        <f t="shared" si="9"/>
        <v>1820.6638297872339</v>
      </c>
      <c r="I47" s="332">
        <f t="shared" si="9"/>
        <v>1820.6638297872339</v>
      </c>
      <c r="J47" s="332">
        <f t="shared" si="9"/>
        <v>993.08936170212769</v>
      </c>
      <c r="K47" s="332">
        <f t="shared" si="9"/>
        <v>1820.6638297872339</v>
      </c>
      <c r="L47" s="332">
        <f t="shared" si="9"/>
        <v>1737.9063829787233</v>
      </c>
      <c r="M47" s="332">
        <f t="shared" si="9"/>
        <v>1737.9063829787233</v>
      </c>
      <c r="N47" s="332">
        <f t="shared" si="9"/>
        <v>993.08936170212769</v>
      </c>
      <c r="O47" s="550">
        <f>SUM(C47:N47)</f>
        <v>19448</v>
      </c>
    </row>
    <row r="48" spans="2:15" ht="17" thickBot="1" x14ac:dyDescent="0.25">
      <c r="B48" s="470" t="s">
        <v>804</v>
      </c>
      <c r="C48" s="336">
        <f t="shared" ref="C48:O48" si="10">C47-C40</f>
        <v>46.284735066572694</v>
      </c>
      <c r="D48" s="336">
        <f t="shared" si="10"/>
        <v>158.68143059436989</v>
      </c>
      <c r="E48" s="336">
        <f t="shared" si="10"/>
        <v>335.69341361152601</v>
      </c>
      <c r="F48" s="336">
        <f t="shared" si="10"/>
        <v>170.17851999451045</v>
      </c>
      <c r="G48" s="336">
        <f t="shared" si="10"/>
        <v>736.53624121894063</v>
      </c>
      <c r="H48" s="336">
        <f t="shared" si="10"/>
        <v>0</v>
      </c>
      <c r="I48" s="336">
        <f t="shared" si="10"/>
        <v>219.99999999999886</v>
      </c>
      <c r="J48" s="336">
        <f t="shared" si="10"/>
        <v>0</v>
      </c>
      <c r="K48" s="336">
        <f t="shared" si="10"/>
        <v>617.27720932074135</v>
      </c>
      <c r="L48" s="336">
        <f t="shared" si="10"/>
        <v>0</v>
      </c>
      <c r="M48" s="336">
        <f t="shared" si="10"/>
        <v>220</v>
      </c>
      <c r="N48" s="336">
        <f t="shared" si="10"/>
        <v>0</v>
      </c>
      <c r="O48" s="346">
        <f t="shared" si="10"/>
        <v>2504.6515498066619</v>
      </c>
    </row>
    <row r="49" spans="2:15" ht="16" x14ac:dyDescent="0.2">
      <c r="B49" s="469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338"/>
    </row>
    <row r="50" spans="2:15" ht="16" x14ac:dyDescent="0.2">
      <c r="B50" s="469" t="s">
        <v>809</v>
      </c>
      <c r="C50" s="406">
        <f>C47/('All. 8'!$C$17/60)</f>
        <v>3724.0851063829782</v>
      </c>
      <c r="D50" s="406">
        <f>D47/('All. 8'!$C$17/60)</f>
        <v>4137.8723404255315</v>
      </c>
      <c r="E50" s="406">
        <f>E47/('All. 8'!$C$17/60)</f>
        <v>4758.5531914893609</v>
      </c>
      <c r="F50" s="406">
        <f>F47/('All. 8'!$C$17/60)</f>
        <v>4344.765957446808</v>
      </c>
      <c r="G50" s="406">
        <f>G47/('All. 8'!$C$17/60)</f>
        <v>4344.765957446808</v>
      </c>
      <c r="H50" s="406">
        <f>H47/('All. 8'!$C$17/60)</f>
        <v>4551.6595744680844</v>
      </c>
      <c r="I50" s="406">
        <f>I47/('All. 8'!$C$17/60)</f>
        <v>4551.6595744680844</v>
      </c>
      <c r="J50" s="406">
        <f>J47/('All. 8'!$C$17/60)</f>
        <v>2482.7234042553191</v>
      </c>
      <c r="K50" s="406">
        <f>K47/('All. 8'!$C$17/60)</f>
        <v>4551.6595744680844</v>
      </c>
      <c r="L50" s="406">
        <f>L47/('All. 8'!$C$17/60)</f>
        <v>4344.765957446808</v>
      </c>
      <c r="M50" s="406">
        <f>M47/('All. 8'!$C$17/60)</f>
        <v>4344.765957446808</v>
      </c>
      <c r="N50" s="406">
        <f>N47/('All. 8'!$C$17/60)</f>
        <v>2482.7234042553191</v>
      </c>
      <c r="O50" s="338"/>
    </row>
    <row r="51" spans="2:15" ht="16" hidden="1" x14ac:dyDescent="0.2">
      <c r="B51" s="469"/>
      <c r="C51" s="332">
        <f>MIN(SUM(C39:$N39)-SUM(D51:$N51),C50)</f>
        <v>3608.3732687165393</v>
      </c>
      <c r="D51" s="332">
        <f>MIN(SUM(D39:$N39)-SUM(E51:$N51),D50)</f>
        <v>3741.1687639396041</v>
      </c>
      <c r="E51" s="332">
        <f>MIN(SUM(E39:$N39)-SUM(F51:$N51),E50)</f>
        <v>3919.3196574605463</v>
      </c>
      <c r="F51" s="332">
        <f>MIN(SUM(F39:$N39)-SUM(G51:$N51),F50)</f>
        <v>3919.3196574605317</v>
      </c>
      <c r="G51" s="332">
        <f>MIN(SUM(G39:$N39)-SUM(H51:$N51),G50)</f>
        <v>2503.4253543994564</v>
      </c>
      <c r="H51" s="332">
        <f>MIN(SUM(H39:$N39)-SUM(I51:$N51),H50)</f>
        <v>4551.6595744680817</v>
      </c>
      <c r="I51" s="332">
        <f>MIN(SUM(I39:$N39)-SUM(J51:$N51),I50)</f>
        <v>4001.6595744680872</v>
      </c>
      <c r="J51" s="332">
        <f>MIN(SUM(J39:$N39)-SUM(K51:$N51),J50)</f>
        <v>2482.7234042553191</v>
      </c>
      <c r="K51" s="332">
        <f>MIN(SUM(K39:$N39)-SUM(L51:$N51),K50)</f>
        <v>3008.4665511662315</v>
      </c>
      <c r="L51" s="332">
        <f>MIN(SUM(L39:$N39)-SUM(M51:$N51),L50)</f>
        <v>4344.765957446808</v>
      </c>
      <c r="M51" s="332">
        <f>MIN(SUM(M39:$N39)-SUM(N51:$N51),M50)</f>
        <v>3794.765957446808</v>
      </c>
      <c r="N51" s="332">
        <f>+N50</f>
        <v>2482.7234042553191</v>
      </c>
      <c r="O51" s="550">
        <f>SUM(C51:N51)</f>
        <v>42358.371125483325</v>
      </c>
    </row>
    <row r="52" spans="2:15" ht="16" x14ac:dyDescent="0.2">
      <c r="B52" s="557" t="s">
        <v>805</v>
      </c>
      <c r="C52" s="558">
        <f>+C51+C65</f>
        <v>3608.3732687165466</v>
      </c>
      <c r="D52" s="558">
        <f>+D51+D65</f>
        <v>3741.1687639396141</v>
      </c>
      <c r="E52" s="558">
        <f t="shared" ref="E52" si="11">+E51+E65</f>
        <v>3919.3196574605463</v>
      </c>
      <c r="F52" s="558">
        <f t="shared" ref="F52" si="12">+F51+F65</f>
        <v>3919.3196574605317</v>
      </c>
      <c r="G52" s="558">
        <f t="shared" ref="G52" si="13">+G51+G65</f>
        <v>2503.4253543994564</v>
      </c>
      <c r="H52" s="558">
        <f t="shared" ref="H52" si="14">+H51+H65</f>
        <v>4551.6595744680817</v>
      </c>
      <c r="I52" s="558">
        <f t="shared" ref="I52" si="15">+I51+I65</f>
        <v>4001.6595744680872</v>
      </c>
      <c r="J52" s="558">
        <f t="shared" ref="J52" si="16">+J51+J65</f>
        <v>2482.7234042553191</v>
      </c>
      <c r="K52" s="558">
        <f t="shared" ref="K52" si="17">+K51+K65</f>
        <v>3008.4665511662315</v>
      </c>
      <c r="L52" s="558">
        <f t="shared" ref="L52" si="18">+L51+L65</f>
        <v>4344.765957446808</v>
      </c>
      <c r="M52" s="558">
        <f t="shared" ref="M52" si="19">+M51+M65</f>
        <v>3794.765957446808</v>
      </c>
      <c r="N52" s="558">
        <f t="shared" ref="N52" si="20">+N51+N65</f>
        <v>2482.7234042553191</v>
      </c>
      <c r="O52" s="559">
        <f>SUM(C52:N52)</f>
        <v>42358.37112548334</v>
      </c>
    </row>
    <row r="53" spans="2:15" ht="16" x14ac:dyDescent="0.2">
      <c r="B53" s="469" t="s">
        <v>812</v>
      </c>
      <c r="C53" s="332">
        <f>'All. 8'!$C$17/60*C52</f>
        <v>1443.3493074866187</v>
      </c>
      <c r="D53" s="332">
        <f>'All. 8'!$C$17/60*D52</f>
        <v>1496.4675055758457</v>
      </c>
      <c r="E53" s="332">
        <f>'All. 8'!$C$17/60*E52</f>
        <v>1567.7278629842185</v>
      </c>
      <c r="F53" s="332">
        <f>'All. 8'!$C$17/60*F52</f>
        <v>1567.7278629842128</v>
      </c>
      <c r="G53" s="332">
        <f>'All. 8'!$C$17/60*G52</f>
        <v>1001.3701417597827</v>
      </c>
      <c r="H53" s="332">
        <f>'All. 8'!$C$17/60*H52</f>
        <v>1820.6638297872328</v>
      </c>
      <c r="I53" s="332">
        <f>'All. 8'!$C$17/60*I52</f>
        <v>1600.663829787235</v>
      </c>
      <c r="J53" s="332">
        <f>'All. 8'!$C$17/60*J52</f>
        <v>993.08936170212769</v>
      </c>
      <c r="K53" s="332">
        <f>'All. 8'!$C$17/60*K52</f>
        <v>1203.3866204664926</v>
      </c>
      <c r="L53" s="332">
        <f>'All. 8'!$C$17/60*L52</f>
        <v>1737.9063829787233</v>
      </c>
      <c r="M53" s="332">
        <f>'All. 8'!$C$17/60*M52</f>
        <v>1517.9063829787233</v>
      </c>
      <c r="N53" s="332">
        <f>'All. 8'!$C$17/60*N52</f>
        <v>993.08936170212769</v>
      </c>
      <c r="O53" s="550">
        <f>SUM(C53:N53)</f>
        <v>16943.348450193342</v>
      </c>
    </row>
    <row r="54" spans="2:15" ht="16" x14ac:dyDescent="0.2">
      <c r="B54" s="469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338"/>
    </row>
    <row r="55" spans="2:15" ht="16" x14ac:dyDescent="0.2">
      <c r="B55" s="469" t="s">
        <v>806</v>
      </c>
      <c r="C55" s="555">
        <f>C47</f>
        <v>1489.6340425531914</v>
      </c>
      <c r="D55" s="555">
        <f t="shared" ref="D55:N55" si="21">D47</f>
        <v>1655.1489361702127</v>
      </c>
      <c r="E55" s="555">
        <f t="shared" si="21"/>
        <v>1903.4212765957445</v>
      </c>
      <c r="F55" s="555">
        <f t="shared" si="21"/>
        <v>1737.9063829787233</v>
      </c>
      <c r="G55" s="555">
        <f t="shared" si="21"/>
        <v>1737.9063829787233</v>
      </c>
      <c r="H55" s="555">
        <f t="shared" si="21"/>
        <v>1820.6638297872339</v>
      </c>
      <c r="I55" s="555">
        <f t="shared" si="21"/>
        <v>1820.6638297872339</v>
      </c>
      <c r="J55" s="555">
        <f t="shared" si="21"/>
        <v>993.08936170212769</v>
      </c>
      <c r="K55" s="555">
        <f t="shared" si="21"/>
        <v>1820.6638297872339</v>
      </c>
      <c r="L55" s="555">
        <f t="shared" si="21"/>
        <v>1737.9063829787233</v>
      </c>
      <c r="M55" s="555">
        <f t="shared" si="21"/>
        <v>1737.9063829787233</v>
      </c>
      <c r="N55" s="555">
        <f t="shared" si="21"/>
        <v>993.08936170212769</v>
      </c>
      <c r="O55" s="552">
        <f>SUM(C55:N55)</f>
        <v>19448</v>
      </c>
    </row>
    <row r="56" spans="2:15" ht="16" x14ac:dyDescent="0.2">
      <c r="B56" s="469" t="s">
        <v>807</v>
      </c>
      <c r="C56" s="555"/>
      <c r="D56" s="555"/>
      <c r="E56" s="551"/>
      <c r="F56" s="551"/>
      <c r="G56" s="551"/>
      <c r="H56" s="551"/>
      <c r="I56" s="551"/>
      <c r="J56" s="551"/>
      <c r="K56" s="551"/>
      <c r="L56" s="551"/>
      <c r="M56" s="551"/>
      <c r="N56" s="551"/>
      <c r="O56" s="552">
        <f>SUM(C56:N56)</f>
        <v>0</v>
      </c>
    </row>
    <row r="57" spans="2:15" ht="17" thickBot="1" x14ac:dyDescent="0.25">
      <c r="B57" s="469" t="s">
        <v>808</v>
      </c>
      <c r="C57" s="555">
        <f>C55+C56</f>
        <v>1489.6340425531914</v>
      </c>
      <c r="D57" s="555">
        <f t="shared" ref="D57" si="22">D55+D56</f>
        <v>1655.1489361702127</v>
      </c>
      <c r="E57" s="555">
        <f t="shared" ref="E57" si="23">E55+E56</f>
        <v>1903.4212765957445</v>
      </c>
      <c r="F57" s="555">
        <f t="shared" ref="F57" si="24">F55+F56</f>
        <v>1737.9063829787233</v>
      </c>
      <c r="G57" s="555">
        <f t="shared" ref="G57" si="25">G55+G56</f>
        <v>1737.9063829787233</v>
      </c>
      <c r="H57" s="555">
        <f t="shared" ref="H57" si="26">H55+H56</f>
        <v>1820.6638297872339</v>
      </c>
      <c r="I57" s="555">
        <f t="shared" ref="I57" si="27">I55+I56</f>
        <v>1820.6638297872339</v>
      </c>
      <c r="J57" s="555">
        <f t="shared" ref="J57" si="28">J55+J56</f>
        <v>993.08936170212769</v>
      </c>
      <c r="K57" s="555">
        <f t="shared" ref="K57" si="29">K55+K56</f>
        <v>1820.6638297872339</v>
      </c>
      <c r="L57" s="555">
        <f t="shared" ref="L57" si="30">L55+L56</f>
        <v>1737.9063829787233</v>
      </c>
      <c r="M57" s="555">
        <f t="shared" ref="M57" si="31">M55+M56</f>
        <v>1737.9063829787233</v>
      </c>
      <c r="N57" s="555">
        <f t="shared" ref="N57" si="32">N55+N56</f>
        <v>993.08936170212769</v>
      </c>
      <c r="O57" s="552">
        <f>SUM(C57:N57)</f>
        <v>19448</v>
      </c>
    </row>
    <row r="58" spans="2:15" ht="17" thickBot="1" x14ac:dyDescent="0.25">
      <c r="B58" s="470" t="s">
        <v>804</v>
      </c>
      <c r="C58" s="336">
        <f>C57-C53</f>
        <v>46.284735066572694</v>
      </c>
      <c r="D58" s="336">
        <f t="shared" ref="D58" si="33">D57-D53</f>
        <v>158.68143059436693</v>
      </c>
      <c r="E58" s="336">
        <f t="shared" ref="E58" si="34">E57-E53</f>
        <v>335.69341361152601</v>
      </c>
      <c r="F58" s="336">
        <f t="shared" ref="F58" si="35">F57-F53</f>
        <v>170.17851999451045</v>
      </c>
      <c r="G58" s="336">
        <f t="shared" ref="G58" si="36">G57-G53</f>
        <v>736.53624121894063</v>
      </c>
      <c r="H58" s="336">
        <f t="shared" ref="H58" si="37">H57-H53</f>
        <v>0</v>
      </c>
      <c r="I58" s="336">
        <f t="shared" ref="I58" si="38">I57-I53</f>
        <v>219.99999999999886</v>
      </c>
      <c r="J58" s="336">
        <f t="shared" ref="J58" si="39">J57-J53</f>
        <v>0</v>
      </c>
      <c r="K58" s="336">
        <f t="shared" ref="K58" si="40">K57-K53</f>
        <v>617.27720932074135</v>
      </c>
      <c r="L58" s="336">
        <f t="shared" ref="L58" si="41">L57-L53</f>
        <v>0</v>
      </c>
      <c r="M58" s="336">
        <f t="shared" ref="M58" si="42">M57-M53</f>
        <v>220</v>
      </c>
      <c r="N58" s="336">
        <f t="shared" ref="N58" si="43">N57-N53</f>
        <v>0</v>
      </c>
      <c r="O58" s="346">
        <f>SUM(C58:N58)</f>
        <v>2504.6515498066569</v>
      </c>
    </row>
    <row r="59" spans="2:15" hidden="1" x14ac:dyDescent="0.15">
      <c r="B59" s="560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561"/>
      <c r="N59" s="561"/>
      <c r="O59" s="562"/>
    </row>
    <row r="60" spans="2:15" hidden="1" x14ac:dyDescent="0.15">
      <c r="B60" s="563"/>
      <c r="O60" s="564"/>
    </row>
    <row r="61" spans="2:15" hidden="1" x14ac:dyDescent="0.15">
      <c r="B61" s="565" t="s">
        <v>810</v>
      </c>
      <c r="C61" s="1">
        <f>+C39</f>
        <v>3608.3732687165466</v>
      </c>
      <c r="D61" s="1">
        <f t="shared" ref="D61:N61" si="44">+D39+C61</f>
        <v>7349.5420326561534</v>
      </c>
      <c r="E61" s="1">
        <f t="shared" si="44"/>
        <v>11268.861690116701</v>
      </c>
      <c r="F61" s="1">
        <f t="shared" si="44"/>
        <v>15188.181347577232</v>
      </c>
      <c r="G61" s="1">
        <f t="shared" si="44"/>
        <v>17691.606701976689</v>
      </c>
      <c r="H61" s="1">
        <f t="shared" si="44"/>
        <v>22243.26627644477</v>
      </c>
      <c r="I61" s="1">
        <f t="shared" si="44"/>
        <v>26244.925850912856</v>
      </c>
      <c r="J61" s="1">
        <f t="shared" si="44"/>
        <v>28727.649255168173</v>
      </c>
      <c r="K61" s="1">
        <f t="shared" si="44"/>
        <v>31736.115806334405</v>
      </c>
      <c r="L61" s="1">
        <f t="shared" si="44"/>
        <v>36080.88176378121</v>
      </c>
      <c r="M61" s="1">
        <f t="shared" si="44"/>
        <v>39875.647721228015</v>
      </c>
      <c r="N61" s="1">
        <f t="shared" si="44"/>
        <v>42358.371125483332</v>
      </c>
      <c r="O61" s="564"/>
    </row>
    <row r="62" spans="2:15" hidden="1" x14ac:dyDescent="0.15">
      <c r="B62" s="565" t="s">
        <v>811</v>
      </c>
      <c r="C62" s="1">
        <f>+C51</f>
        <v>3608.3732687165393</v>
      </c>
      <c r="D62" s="1">
        <f t="shared" ref="D62:N62" si="45">+C62+D51</f>
        <v>7349.5420326561434</v>
      </c>
      <c r="E62" s="1">
        <f t="shared" si="45"/>
        <v>11268.86169011669</v>
      </c>
      <c r="F62" s="1">
        <f t="shared" si="45"/>
        <v>15188.181347577221</v>
      </c>
      <c r="G62" s="1">
        <f t="shared" si="45"/>
        <v>17691.606701976678</v>
      </c>
      <c r="H62" s="1">
        <f t="shared" si="45"/>
        <v>22243.26627644476</v>
      </c>
      <c r="I62" s="1">
        <f t="shared" si="45"/>
        <v>26244.925850912849</v>
      </c>
      <c r="J62" s="1">
        <f t="shared" si="45"/>
        <v>28727.649255168166</v>
      </c>
      <c r="K62" s="1">
        <f t="shared" si="45"/>
        <v>31736.115806334397</v>
      </c>
      <c r="L62" s="1">
        <f t="shared" si="45"/>
        <v>36080.881763781203</v>
      </c>
      <c r="M62" s="1">
        <f t="shared" si="45"/>
        <v>39875.647721228008</v>
      </c>
      <c r="N62" s="1">
        <f t="shared" si="45"/>
        <v>42358.371125483325</v>
      </c>
      <c r="O62" s="564"/>
    </row>
    <row r="63" spans="2:15" hidden="1" x14ac:dyDescent="0.15">
      <c r="B63" s="563"/>
      <c r="C63" s="1">
        <f>+C52</f>
        <v>3608.3732687165466</v>
      </c>
      <c r="D63" s="1">
        <f>+D52+C52</f>
        <v>7349.5420326561607</v>
      </c>
      <c r="E63" s="1">
        <f>+E52+D63</f>
        <v>11268.861690116708</v>
      </c>
      <c r="F63" s="1">
        <f t="shared" ref="F63:N63" si="46">+F52+E63</f>
        <v>15188.18134757724</v>
      </c>
      <c r="G63" s="1">
        <f t="shared" si="46"/>
        <v>17691.606701976696</v>
      </c>
      <c r="H63" s="1">
        <f t="shared" si="46"/>
        <v>22243.266276444778</v>
      </c>
      <c r="I63" s="1">
        <f t="shared" si="46"/>
        <v>26244.925850912863</v>
      </c>
      <c r="J63" s="1">
        <f t="shared" si="46"/>
        <v>28727.64925516818</v>
      </c>
      <c r="K63" s="1">
        <f t="shared" si="46"/>
        <v>31736.115806334412</v>
      </c>
      <c r="L63" s="1">
        <f t="shared" si="46"/>
        <v>36080.881763781217</v>
      </c>
      <c r="M63" s="1">
        <f t="shared" si="46"/>
        <v>39875.647721228022</v>
      </c>
      <c r="N63" s="1">
        <f t="shared" si="46"/>
        <v>42358.37112548334</v>
      </c>
      <c r="O63" s="564"/>
    </row>
    <row r="64" spans="2:15" hidden="1" x14ac:dyDescent="0.15">
      <c r="B64" s="56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564"/>
    </row>
    <row r="65" spans="2:15" ht="14" hidden="1" thickBot="1" x14ac:dyDescent="0.2">
      <c r="B65" s="566"/>
      <c r="C65" s="567">
        <f>+IF(C62&lt;C61,C61-C62,0)</f>
        <v>7.2759576141834259E-12</v>
      </c>
      <c r="D65" s="567">
        <f>+IF(D62&lt;D61,D61-D62,0)</f>
        <v>1.0004441719502211E-11</v>
      </c>
      <c r="E65" s="568"/>
      <c r="F65" s="568"/>
      <c r="G65" s="568"/>
      <c r="H65" s="568"/>
      <c r="I65" s="568"/>
      <c r="J65" s="568"/>
      <c r="K65" s="568"/>
      <c r="L65" s="568"/>
      <c r="M65" s="568"/>
      <c r="N65" s="568"/>
      <c r="O65" s="569"/>
    </row>
    <row r="69" spans="2:15" x14ac:dyDescent="0.15">
      <c r="O69" s="1">
        <f>+O28+O58</f>
        <v>9531.121847374714</v>
      </c>
    </row>
    <row r="73" spans="2:15" x14ac:dyDescent="0.15">
      <c r="C73" s="961">
        <f>+C27*'Tab. 16'!$C$22</f>
        <v>178304.78118324248</v>
      </c>
      <c r="D73" s="961">
        <f>+D27*'Tab. 16'!$C$22</f>
        <v>201918.64260251765</v>
      </c>
      <c r="E73" s="961">
        <f>+E27*'Tab. 16'!$C$22</f>
        <v>227833.88706747652</v>
      </c>
      <c r="F73" s="961">
        <f>+F27*'Tab. 16'!$C$22</f>
        <v>208022.24471378289</v>
      </c>
      <c r="G73" s="961">
        <f>+G27*'Tab. 16'!$C$22</f>
        <v>208022.24471378289</v>
      </c>
      <c r="H73" s="961">
        <f>+H27*'Tab. 16'!$C$22</f>
        <v>217928.06589062969</v>
      </c>
      <c r="I73" s="961">
        <f>+I27*'Tab. 16'!$C$22</f>
        <v>217928.06589062969</v>
      </c>
      <c r="J73" s="961">
        <f>+J27*'Tab. 16'!$C$22</f>
        <v>118869.85412216165</v>
      </c>
      <c r="K73" s="961">
        <f>+K27*'Tab. 16'!$C$22</f>
        <v>217928.06589062969</v>
      </c>
      <c r="L73" s="961">
        <f>+L27*'Tab. 16'!$C$22</f>
        <v>208022.24471378289</v>
      </c>
      <c r="M73" s="961">
        <f>+M27*'Tab. 16'!$C$22</f>
        <v>208022.24471378289</v>
      </c>
      <c r="N73" s="961">
        <f>+N27*'Tab. 16'!$C$22</f>
        <v>118869.85412216165</v>
      </c>
    </row>
    <row r="74" spans="2:15" x14ac:dyDescent="0.15">
      <c r="C74" s="961">
        <f>+C57*'Tab. 16'!$D$22</f>
        <v>19113.62904822269</v>
      </c>
      <c r="D74" s="961">
        <f>+D57*'Tab. 16'!$D$22</f>
        <v>21237.365609136323</v>
      </c>
      <c r="E74" s="961">
        <f>+E57*'Tab. 16'!$D$22</f>
        <v>24422.970450506768</v>
      </c>
      <c r="F74" s="961">
        <f>+F57*'Tab. 16'!$D$22</f>
        <v>22299.233889593139</v>
      </c>
      <c r="G74" s="961">
        <f>+G57*'Tab. 16'!$D$22</f>
        <v>22299.233889593139</v>
      </c>
      <c r="H74" s="961">
        <f>+H57*'Tab. 16'!$D$22</f>
        <v>23361.102170049955</v>
      </c>
      <c r="I74" s="961">
        <f>+I57*'Tab. 16'!$D$22</f>
        <v>23361.102170049955</v>
      </c>
      <c r="J74" s="961">
        <f>+J57*'Tab. 16'!$D$22</f>
        <v>12742.419365481794</v>
      </c>
      <c r="K74" s="961">
        <f>+K57*'Tab. 16'!$D$22</f>
        <v>23361.102170049955</v>
      </c>
      <c r="L74" s="961">
        <f>+L57*'Tab. 16'!$D$22</f>
        <v>22299.233889593139</v>
      </c>
      <c r="M74" s="961">
        <f>+M57*'Tab. 16'!$D$22</f>
        <v>22299.233889593139</v>
      </c>
      <c r="N74" s="961">
        <f>+N57*'Tab. 16'!$D$22</f>
        <v>12742.419365481794</v>
      </c>
    </row>
    <row r="75" spans="2:15" x14ac:dyDescent="0.15">
      <c r="C75" s="961">
        <f>SUM(C73:C74)</f>
        <v>197418.41023146518</v>
      </c>
      <c r="D75" s="961">
        <f t="shared" ref="D75:N75" si="47">SUM(D73:D74)</f>
        <v>223156.00821165397</v>
      </c>
      <c r="E75" s="961">
        <f t="shared" si="47"/>
        <v>252256.8575179833</v>
      </c>
      <c r="F75" s="961">
        <f t="shared" si="47"/>
        <v>230321.47860337602</v>
      </c>
      <c r="G75" s="961">
        <f t="shared" si="47"/>
        <v>230321.47860337602</v>
      </c>
      <c r="H75" s="961">
        <f t="shared" si="47"/>
        <v>241289.16806067963</v>
      </c>
      <c r="I75" s="961">
        <f t="shared" si="47"/>
        <v>241289.16806067963</v>
      </c>
      <c r="J75" s="961">
        <f t="shared" si="47"/>
        <v>131612.27348764346</v>
      </c>
      <c r="K75" s="961">
        <f t="shared" si="47"/>
        <v>241289.16806067963</v>
      </c>
      <c r="L75" s="961">
        <f t="shared" si="47"/>
        <v>230321.47860337602</v>
      </c>
      <c r="M75" s="961">
        <f t="shared" si="47"/>
        <v>230321.47860337602</v>
      </c>
      <c r="N75" s="961">
        <f t="shared" si="47"/>
        <v>131612.27348764346</v>
      </c>
    </row>
    <row r="76" spans="2:15" x14ac:dyDescent="0.15"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</row>
    <row r="77" spans="2:15" x14ac:dyDescent="0.15">
      <c r="C77" s="961">
        <f>+C75-'Tab. 11'!C38</f>
        <v>-2.9103830456733704E-10</v>
      </c>
      <c r="D77" s="961">
        <f>+D75-'Tab. 11'!D38</f>
        <v>3802.2190655813029</v>
      </c>
      <c r="E77" s="961">
        <f>+E75-'Tab. 11'!E38</f>
        <v>-3.4924596548080444E-10</v>
      </c>
      <c r="F77" s="961">
        <f>+F75-'Tab. 11'!F38</f>
        <v>-3.7834979593753815E-10</v>
      </c>
      <c r="G77" s="961">
        <f>+G75-'Tab. 11'!G38</f>
        <v>-3.7834979593753815E-10</v>
      </c>
      <c r="H77" s="961">
        <f>+H75-'Tab. 11'!H38</f>
        <v>-3.4924596548080444E-10</v>
      </c>
      <c r="I77" s="961">
        <f>+I75-'Tab. 11'!I38</f>
        <v>-3.4924596548080444E-10</v>
      </c>
      <c r="J77" s="961">
        <f>+J75-'Tab. 11'!J38</f>
        <v>0</v>
      </c>
      <c r="K77" s="961">
        <f>+K75-'Tab. 11'!K38</f>
        <v>-3.4924596548080444E-10</v>
      </c>
      <c r="L77" s="961">
        <f>+L75-'Tab. 11'!L38</f>
        <v>-3.7834979593753815E-10</v>
      </c>
      <c r="M77" s="961">
        <f>+M75-'Tab. 11'!M38</f>
        <v>-3.7834979593753815E-10</v>
      </c>
      <c r="N77" s="961">
        <f>+N75-'Tab. 11'!N38</f>
        <v>0</v>
      </c>
    </row>
    <row r="78" spans="2:15" x14ac:dyDescent="0.15">
      <c r="C78" s="962"/>
      <c r="D78" s="962"/>
      <c r="E78" s="962"/>
      <c r="F78" s="962"/>
      <c r="G78" s="962"/>
      <c r="H78" s="962"/>
      <c r="I78" s="962"/>
      <c r="J78" s="962"/>
      <c r="K78" s="962"/>
      <c r="L78" s="962"/>
      <c r="M78" s="962"/>
      <c r="N78" s="962"/>
    </row>
  </sheetData>
  <mergeCells count="1">
    <mergeCell ref="C4:O4"/>
  </mergeCells>
  <conditionalFormatting sqref="C18:N18 C28:N28">
    <cfRule type="cellIs" dxfId="5" priority="2" operator="lessThan">
      <formula>0</formula>
    </cfRule>
  </conditionalFormatting>
  <conditionalFormatting sqref="C48:N48 C58:N58">
    <cfRule type="cellIs" dxfId="4" priority="1" operator="lessThan">
      <formula>0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FB7F-93DB-DC46-AD21-82BEA8978503}">
  <sheetPr codeName="Foglio26"/>
  <dimension ref="B2:Q56"/>
  <sheetViews>
    <sheetView zoomScale="140" zoomScaleNormal="140" workbookViewId="0">
      <selection activeCell="O26" sqref="O26"/>
    </sheetView>
  </sheetViews>
  <sheetFormatPr baseColWidth="10" defaultRowHeight="13" x14ac:dyDescent="0.15"/>
  <cols>
    <col min="2" max="2" width="22.6640625" customWidth="1"/>
  </cols>
  <sheetData>
    <row r="2" spans="2:15" x14ac:dyDescent="0.15">
      <c r="B2" s="432" t="s">
        <v>813</v>
      </c>
    </row>
    <row r="3" spans="2:15" ht="14" thickBot="1" x14ac:dyDescent="0.2"/>
    <row r="4" spans="2:15" ht="16" x14ac:dyDescent="0.15">
      <c r="B4" s="330"/>
      <c r="C4" s="1076" t="s">
        <v>196</v>
      </c>
      <c r="D4" s="1034"/>
      <c r="E4" s="1034"/>
      <c r="F4" s="1034"/>
      <c r="G4" s="1034"/>
      <c r="H4" s="1034"/>
      <c r="I4" s="1034"/>
      <c r="J4" s="1034"/>
      <c r="K4" s="1034"/>
      <c r="L4" s="1034"/>
      <c r="M4" s="1034"/>
      <c r="N4" s="1034"/>
      <c r="O4" s="1035"/>
    </row>
    <row r="5" spans="2:15" ht="16" x14ac:dyDescent="0.15">
      <c r="B5" s="230"/>
      <c r="C5" s="337" t="s">
        <v>211</v>
      </c>
      <c r="D5" s="337" t="s">
        <v>212</v>
      </c>
      <c r="E5" s="337" t="s">
        <v>213</v>
      </c>
      <c r="F5" s="337" t="s">
        <v>214</v>
      </c>
      <c r="G5" s="337" t="s">
        <v>215</v>
      </c>
      <c r="H5" s="337" t="s">
        <v>216</v>
      </c>
      <c r="I5" s="337" t="s">
        <v>217</v>
      </c>
      <c r="J5" s="337" t="s">
        <v>218</v>
      </c>
      <c r="K5" s="337" t="s">
        <v>219</v>
      </c>
      <c r="L5" s="337" t="s">
        <v>220</v>
      </c>
      <c r="M5" s="337" t="s">
        <v>221</v>
      </c>
      <c r="N5" s="337" t="s">
        <v>222</v>
      </c>
      <c r="O5" s="342" t="s">
        <v>179</v>
      </c>
    </row>
    <row r="6" spans="2:15" ht="16" x14ac:dyDescent="0.2">
      <c r="B6" s="28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338"/>
    </row>
    <row r="7" spans="2:15" ht="16" x14ac:dyDescent="0.2">
      <c r="B7" s="549" t="s">
        <v>799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338"/>
    </row>
    <row r="8" spans="2:15" ht="16" x14ac:dyDescent="0.2">
      <c r="B8" s="469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338"/>
    </row>
    <row r="9" spans="2:15" ht="16" x14ac:dyDescent="0.2">
      <c r="B9" s="469" t="s">
        <v>800</v>
      </c>
      <c r="C9" s="332">
        <f>'Tab 5'!C15</f>
        <v>53085.140425531914</v>
      </c>
      <c r="D9" s="332">
        <f>'Tab 5'!D15</f>
        <v>60115.491160451427</v>
      </c>
      <c r="E9" s="332">
        <f>'Tab 5'!E15</f>
        <v>67407.192253488931</v>
      </c>
      <c r="F9" s="332">
        <f>'Tab 5'!F15</f>
        <v>61932.663829787227</v>
      </c>
      <c r="G9" s="332">
        <f>'Tab 5'!G15</f>
        <v>61932.663829787234</v>
      </c>
      <c r="H9" s="332">
        <f>'Tab 5'!H15</f>
        <v>64881.83829787228</v>
      </c>
      <c r="I9" s="332">
        <f>'Tab 5'!I15</f>
        <v>57041.838297872368</v>
      </c>
      <c r="J9" s="332">
        <f>'Tab 5'!J15</f>
        <v>35390.093617021274</v>
      </c>
      <c r="K9" s="332">
        <f>'Tab 5'!K15</f>
        <v>61002.600772020145</v>
      </c>
      <c r="L9" s="332">
        <f>'Tab 5'!L15</f>
        <v>53809.840677835746</v>
      </c>
      <c r="M9" s="332">
        <f>'Tab 5'!M15</f>
        <v>54092.663829787234</v>
      </c>
      <c r="N9" s="332">
        <f>'Tab 5'!N15</f>
        <v>35390.093617021274</v>
      </c>
      <c r="O9" s="550">
        <f>SUM(C9:N9)</f>
        <v>666082.12060847704</v>
      </c>
    </row>
    <row r="10" spans="2:15" ht="16" x14ac:dyDescent="0.2">
      <c r="B10" s="469" t="s">
        <v>814</v>
      </c>
      <c r="C10" s="332">
        <f>'All. 8'!$D$10/60*C9</f>
        <v>1150.1780425531915</v>
      </c>
      <c r="D10" s="332">
        <f>'All. 8'!$D$10/60*D9</f>
        <v>1302.5023084764475</v>
      </c>
      <c r="E10" s="332">
        <f>'All. 8'!$D$10/60*E9</f>
        <v>1460.4891654922603</v>
      </c>
      <c r="F10" s="332">
        <f>'All. 8'!$D$10/60*F9</f>
        <v>1341.8743829787234</v>
      </c>
      <c r="G10" s="332">
        <f>'All. 8'!$D$10/60*G9</f>
        <v>1341.8743829787234</v>
      </c>
      <c r="H10" s="332">
        <f>'All. 8'!$D$10/60*H9</f>
        <v>1405.7731631205661</v>
      </c>
      <c r="I10" s="332">
        <f>'All. 8'!$D$10/60*I9</f>
        <v>1235.9064964539014</v>
      </c>
      <c r="J10" s="332">
        <f>'All. 8'!$D$10/60*J9</f>
        <v>766.7853617021276</v>
      </c>
      <c r="K10" s="332">
        <f>'All. 8'!$D$10/60*K9</f>
        <v>1321.7230167271032</v>
      </c>
      <c r="L10" s="332">
        <f>'All. 8'!$D$10/60*L9</f>
        <v>1165.879881353108</v>
      </c>
      <c r="M10" s="332">
        <f>'All. 8'!$D$10/60*M9</f>
        <v>1172.0077163120568</v>
      </c>
      <c r="N10" s="332">
        <f>'All. 8'!$D$10/60*N9</f>
        <v>766.7853617021276</v>
      </c>
      <c r="O10" s="550">
        <f>SUM(C10:N10)</f>
        <v>14431.779279850338</v>
      </c>
    </row>
    <row r="11" spans="2:15" ht="16" x14ac:dyDescent="0.2">
      <c r="B11" s="469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338"/>
    </row>
    <row r="12" spans="2:15" ht="16" x14ac:dyDescent="0.2">
      <c r="B12" s="469" t="s">
        <v>815</v>
      </c>
      <c r="C12" s="570">
        <f>+'Tab. 11'!C6-'Tab. 11'!C7</f>
        <v>18</v>
      </c>
      <c r="D12" s="570">
        <f>+'Tab. 11'!D6-'Tab. 11'!D7</f>
        <v>20</v>
      </c>
      <c r="E12" s="570">
        <f>+'Tab. 11'!E6-'Tab. 11'!E7</f>
        <v>23</v>
      </c>
      <c r="F12" s="570">
        <f>+'Tab. 11'!F6-'Tab. 11'!F7</f>
        <v>21</v>
      </c>
      <c r="G12" s="570">
        <f>+'Tab. 11'!G6-'Tab. 11'!G7</f>
        <v>21</v>
      </c>
      <c r="H12" s="570">
        <f>+'Tab. 11'!H6-'Tab. 11'!H7</f>
        <v>22</v>
      </c>
      <c r="I12" s="570">
        <f>+'Tab. 11'!I6-'Tab. 11'!I7</f>
        <v>22</v>
      </c>
      <c r="J12" s="570">
        <f>+'Tab. 11'!J6-'Tab. 11'!J7</f>
        <v>12</v>
      </c>
      <c r="K12" s="570">
        <f>+'Tab. 11'!K6-'Tab. 11'!K7</f>
        <v>22</v>
      </c>
      <c r="L12" s="570">
        <f>+'Tab. 11'!L6-'Tab. 11'!L7</f>
        <v>21</v>
      </c>
      <c r="M12" s="570">
        <f>+'Tab. 11'!M6-'Tab. 11'!M7</f>
        <v>21</v>
      </c>
      <c r="N12" s="570">
        <f>+'Tab. 11'!N6-'Tab. 11'!N7</f>
        <v>12</v>
      </c>
      <c r="O12" s="552">
        <f>SUM(C12:N12)</f>
        <v>235</v>
      </c>
    </row>
    <row r="13" spans="2:15" ht="16" x14ac:dyDescent="0.2">
      <c r="B13" s="469" t="s">
        <v>816</v>
      </c>
      <c r="C13" s="570">
        <f>-'All. 9'!$C$9/12</f>
        <v>-1</v>
      </c>
      <c r="D13" s="570">
        <f>-'All. 9'!$C$9/12</f>
        <v>-1</v>
      </c>
      <c r="E13" s="570">
        <f>-'All. 9'!$C$9/12</f>
        <v>-1</v>
      </c>
      <c r="F13" s="570">
        <f>-'All. 9'!$C$9/12</f>
        <v>-1</v>
      </c>
      <c r="G13" s="570">
        <f>-'All. 9'!$C$9/12</f>
        <v>-1</v>
      </c>
      <c r="H13" s="570">
        <f>-'All. 9'!$C$9/12</f>
        <v>-1</v>
      </c>
      <c r="I13" s="570">
        <f>-'All. 9'!$C$9/12</f>
        <v>-1</v>
      </c>
      <c r="J13" s="570">
        <f>-'All. 9'!$C$9/12</f>
        <v>-1</v>
      </c>
      <c r="K13" s="570">
        <f>-'All. 9'!$C$9/12</f>
        <v>-1</v>
      </c>
      <c r="L13" s="570">
        <f>-'All. 9'!$C$9/12</f>
        <v>-1</v>
      </c>
      <c r="M13" s="570">
        <f>-'All. 9'!$C$9/12</f>
        <v>-1</v>
      </c>
      <c r="N13" s="570">
        <f>-'All. 9'!$C$9/12</f>
        <v>-1</v>
      </c>
      <c r="O13" s="556">
        <f>SUM(C13:N13)</f>
        <v>-12</v>
      </c>
    </row>
    <row r="14" spans="2:15" ht="16" x14ac:dyDescent="0.2">
      <c r="B14" s="469" t="s">
        <v>5</v>
      </c>
      <c r="C14" s="551"/>
      <c r="D14" s="551"/>
      <c r="E14" s="551"/>
      <c r="F14" s="551"/>
      <c r="G14" s="551"/>
      <c r="H14" s="551"/>
      <c r="I14" s="553">
        <f>'All. 11'!$C$8/2</f>
        <v>0</v>
      </c>
      <c r="J14" s="551"/>
      <c r="K14" s="551"/>
      <c r="L14" s="551"/>
      <c r="M14" s="551"/>
      <c r="N14" s="553">
        <f>'All. 11'!$C$8/2</f>
        <v>0</v>
      </c>
      <c r="O14" s="552">
        <f>SUM(C14:N14)</f>
        <v>0</v>
      </c>
    </row>
    <row r="15" spans="2:15" ht="16" x14ac:dyDescent="0.2">
      <c r="B15" s="469" t="s">
        <v>817</v>
      </c>
      <c r="C15" s="570">
        <f>'All. 9'!$C$7</f>
        <v>3</v>
      </c>
      <c r="D15" s="570">
        <f>'All. 9'!$C$7</f>
        <v>3</v>
      </c>
      <c r="E15" s="570">
        <f>'All. 9'!$C$7</f>
        <v>3</v>
      </c>
      <c r="F15" s="570">
        <f>'All. 9'!$C$7</f>
        <v>3</v>
      </c>
      <c r="G15" s="570">
        <f>'All. 9'!$C$7</f>
        <v>3</v>
      </c>
      <c r="H15" s="570">
        <f>'All. 9'!$C$7</f>
        <v>3</v>
      </c>
      <c r="I15" s="570">
        <f>'All. 9'!$C$7</f>
        <v>3</v>
      </c>
      <c r="J15" s="570">
        <f>'All. 9'!$C$7</f>
        <v>3</v>
      </c>
      <c r="K15" s="570">
        <f>'All. 9'!$C$7</f>
        <v>3</v>
      </c>
      <c r="L15" s="570">
        <f>'All. 9'!$C$7</f>
        <v>3</v>
      </c>
      <c r="M15" s="570">
        <f>'All. 9'!$C$7</f>
        <v>3</v>
      </c>
      <c r="N15" s="570">
        <f>'All. 9'!$C$7</f>
        <v>3</v>
      </c>
      <c r="O15" s="554"/>
    </row>
    <row r="16" spans="2:15" ht="16" x14ac:dyDescent="0.2">
      <c r="B16" s="469" t="s">
        <v>8</v>
      </c>
      <c r="C16" s="570">
        <f>'All. 9'!$C$10</f>
        <v>3</v>
      </c>
      <c r="D16" s="570">
        <f>'All. 9'!$C$10</f>
        <v>3</v>
      </c>
      <c r="E16" s="570">
        <f>'All. 9'!$C$10</f>
        <v>3</v>
      </c>
      <c r="F16" s="570">
        <f>'All. 9'!$C$10</f>
        <v>3</v>
      </c>
      <c r="G16" s="570">
        <f>'All. 9'!$C$10</f>
        <v>3</v>
      </c>
      <c r="H16" s="570">
        <f>'All. 9'!$C$10</f>
        <v>3</v>
      </c>
      <c r="I16" s="570">
        <f>'All. 9'!$C$10</f>
        <v>3</v>
      </c>
      <c r="J16" s="570">
        <f>'All. 9'!$C$10</f>
        <v>3</v>
      </c>
      <c r="K16" s="570">
        <f>'All. 9'!$C$10</f>
        <v>3</v>
      </c>
      <c r="L16" s="570">
        <f>'All. 9'!$C$10</f>
        <v>3</v>
      </c>
      <c r="M16" s="570">
        <f>'All. 9'!$C$10</f>
        <v>3</v>
      </c>
      <c r="N16" s="570">
        <f>'All. 9'!$C$10</f>
        <v>3</v>
      </c>
      <c r="O16" s="554"/>
    </row>
    <row r="17" spans="2:17" ht="16" x14ac:dyDescent="0.2">
      <c r="B17" s="469" t="s">
        <v>818</v>
      </c>
      <c r="C17" s="570">
        <f>'All. 9'!$C$11</f>
        <v>8</v>
      </c>
      <c r="D17" s="570">
        <f>'All. 9'!$C$11</f>
        <v>8</v>
      </c>
      <c r="E17" s="570">
        <f>'All. 9'!$C$11</f>
        <v>8</v>
      </c>
      <c r="F17" s="570">
        <f>'All. 9'!$C$11</f>
        <v>8</v>
      </c>
      <c r="G17" s="570">
        <f>'All. 9'!$C$11</f>
        <v>8</v>
      </c>
      <c r="H17" s="570">
        <f>'All. 9'!$C$11</f>
        <v>8</v>
      </c>
      <c r="I17" s="570">
        <f>'All. 9'!$C$11</f>
        <v>8</v>
      </c>
      <c r="J17" s="570">
        <f>'All. 9'!$C$11</f>
        <v>8</v>
      </c>
      <c r="K17" s="570">
        <f>'All. 9'!$C$11</f>
        <v>8</v>
      </c>
      <c r="L17" s="570">
        <f>'All. 9'!$C$11</f>
        <v>8</v>
      </c>
      <c r="M17" s="570">
        <f>'All. 9'!$C$11</f>
        <v>8</v>
      </c>
      <c r="N17" s="570">
        <f>'All. 9'!$C$11</f>
        <v>8</v>
      </c>
      <c r="O17" s="554"/>
    </row>
    <row r="18" spans="2:17" ht="17" thickBot="1" x14ac:dyDescent="0.25">
      <c r="B18" s="469" t="s">
        <v>803</v>
      </c>
      <c r="C18" s="332">
        <f>(C12+C13+C14)*C15*C16*C17</f>
        <v>1224</v>
      </c>
      <c r="D18" s="332">
        <f t="shared" ref="D18:N18" si="0">(D12+D13+D14)*D15*D16*D17</f>
        <v>1368</v>
      </c>
      <c r="E18" s="332">
        <f t="shared" si="0"/>
        <v>1584</v>
      </c>
      <c r="F18" s="332">
        <f t="shared" si="0"/>
        <v>1440</v>
      </c>
      <c r="G18" s="332">
        <f t="shared" si="0"/>
        <v>1440</v>
      </c>
      <c r="H18" s="332">
        <f t="shared" si="0"/>
        <v>1512</v>
      </c>
      <c r="I18" s="332">
        <f t="shared" si="0"/>
        <v>1512</v>
      </c>
      <c r="J18" s="332">
        <f t="shared" si="0"/>
        <v>792</v>
      </c>
      <c r="K18" s="332">
        <f t="shared" si="0"/>
        <v>1512</v>
      </c>
      <c r="L18" s="332">
        <f t="shared" si="0"/>
        <v>1440</v>
      </c>
      <c r="M18" s="332">
        <f t="shared" si="0"/>
        <v>1440</v>
      </c>
      <c r="N18" s="332">
        <f t="shared" si="0"/>
        <v>792</v>
      </c>
      <c r="O18" s="550">
        <f>SUM(C18:N18)</f>
        <v>16056</v>
      </c>
    </row>
    <row r="19" spans="2:17" ht="17" thickBot="1" x14ac:dyDescent="0.25">
      <c r="B19" s="470" t="s">
        <v>804</v>
      </c>
      <c r="C19" s="336">
        <f>C18-C10</f>
        <v>73.821957446808483</v>
      </c>
      <c r="D19" s="336">
        <f t="shared" ref="D19:O19" si="1">D18-D10</f>
        <v>65.497691523552476</v>
      </c>
      <c r="E19" s="336">
        <f t="shared" si="1"/>
        <v>123.51083450773967</v>
      </c>
      <c r="F19" s="336">
        <f t="shared" si="1"/>
        <v>98.125617021276639</v>
      </c>
      <c r="G19" s="336">
        <f t="shared" si="1"/>
        <v>98.125617021276639</v>
      </c>
      <c r="H19" s="336">
        <f t="shared" si="1"/>
        <v>106.2268368794339</v>
      </c>
      <c r="I19" s="336">
        <f t="shared" si="1"/>
        <v>276.09350354609865</v>
      </c>
      <c r="J19" s="336">
        <f t="shared" si="1"/>
        <v>25.214638297872398</v>
      </c>
      <c r="K19" s="336">
        <f t="shared" si="1"/>
        <v>190.27698327289681</v>
      </c>
      <c r="L19" s="336">
        <f t="shared" si="1"/>
        <v>274.12011864689202</v>
      </c>
      <c r="M19" s="336">
        <f t="shared" si="1"/>
        <v>267.9922836879432</v>
      </c>
      <c r="N19" s="336">
        <f t="shared" si="1"/>
        <v>25.214638297872398</v>
      </c>
      <c r="O19" s="346">
        <f t="shared" si="1"/>
        <v>1624.2207201496622</v>
      </c>
    </row>
    <row r="20" spans="2:17" ht="16" x14ac:dyDescent="0.2">
      <c r="B20" s="469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338"/>
    </row>
    <row r="21" spans="2:17" ht="16" x14ac:dyDescent="0.2">
      <c r="B21" s="557" t="s">
        <v>805</v>
      </c>
      <c r="C21" s="558">
        <f>'Tab. 12'!C22</f>
        <v>53085.140425531914</v>
      </c>
      <c r="D21" s="558">
        <f>'Tab. 12'!D22</f>
        <v>60115.491160451427</v>
      </c>
      <c r="E21" s="558">
        <f>'Tab. 12'!E22</f>
        <v>67407.192253488931</v>
      </c>
      <c r="F21" s="558">
        <f>'Tab. 12'!F22</f>
        <v>61932.663829787227</v>
      </c>
      <c r="G21" s="558">
        <f>'Tab. 12'!G22</f>
        <v>61932.663829787227</v>
      </c>
      <c r="H21" s="558">
        <f>'Tab. 12'!H22</f>
        <v>64881.83829787228</v>
      </c>
      <c r="I21" s="558">
        <f>'Tab. 12'!I22</f>
        <v>57041.838297872368</v>
      </c>
      <c r="J21" s="558">
        <f>'Tab. 12'!J22</f>
        <v>35390.093617021274</v>
      </c>
      <c r="K21" s="558">
        <f>'Tab. 12'!K22</f>
        <v>61002.600772020145</v>
      </c>
      <c r="L21" s="558">
        <f>'Tab. 12'!L22</f>
        <v>53809.840677835746</v>
      </c>
      <c r="M21" s="558">
        <f>'Tab. 12'!M22</f>
        <v>54092.663829787234</v>
      </c>
      <c r="N21" s="558">
        <f>'Tab. 12'!N22</f>
        <v>35390.093617021274</v>
      </c>
      <c r="O21" s="559">
        <f>SUM(C21:N21)</f>
        <v>666082.12060847704</v>
      </c>
      <c r="Q21" s="1"/>
    </row>
    <row r="22" spans="2:17" ht="16" x14ac:dyDescent="0.2">
      <c r="B22" s="469" t="s">
        <v>819</v>
      </c>
      <c r="C22" s="332">
        <f>'All. 8'!$D$10/60*C21</f>
        <v>1150.1780425531915</v>
      </c>
      <c r="D22" s="332">
        <f>'All. 8'!$D$10/60*D21</f>
        <v>1302.5023084764475</v>
      </c>
      <c r="E22" s="332">
        <f>'All. 8'!$D$10/60*E21</f>
        <v>1460.4891654922603</v>
      </c>
      <c r="F22" s="332">
        <f>'All. 8'!$D$10/60*F21</f>
        <v>1341.8743829787234</v>
      </c>
      <c r="G22" s="332">
        <f>'All. 8'!$D$10/60*G21</f>
        <v>1341.8743829787234</v>
      </c>
      <c r="H22" s="332">
        <f>'All. 8'!$D$10/60*H21</f>
        <v>1405.7731631205661</v>
      </c>
      <c r="I22" s="332">
        <f>'All. 8'!$D$10/60*I21</f>
        <v>1235.9064964539014</v>
      </c>
      <c r="J22" s="332">
        <f>'All. 8'!$D$10/60*J21</f>
        <v>766.7853617021276</v>
      </c>
      <c r="K22" s="332">
        <f>'All. 8'!$D$10/60*K21</f>
        <v>1321.7230167271032</v>
      </c>
      <c r="L22" s="332">
        <f>'All. 8'!$D$10/60*L21</f>
        <v>1165.879881353108</v>
      </c>
      <c r="M22" s="332">
        <f>'All. 8'!$D$10/60*M21</f>
        <v>1172.0077163120568</v>
      </c>
      <c r="N22" s="332">
        <f>'All. 8'!$D$10/60*N21</f>
        <v>766.7853617021276</v>
      </c>
      <c r="O22" s="550">
        <f>SUM(C22:N22)</f>
        <v>14431.779279850338</v>
      </c>
    </row>
    <row r="23" spans="2:17" ht="16" x14ac:dyDescent="0.2">
      <c r="B23" s="469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338"/>
    </row>
    <row r="24" spans="2:17" ht="16" x14ac:dyDescent="0.2">
      <c r="B24" s="469" t="s">
        <v>806</v>
      </c>
      <c r="C24" s="555">
        <f t="shared" ref="C24:N24" si="2">C18</f>
        <v>1224</v>
      </c>
      <c r="D24" s="555">
        <f t="shared" si="2"/>
        <v>1368</v>
      </c>
      <c r="E24" s="555">
        <f t="shared" si="2"/>
        <v>1584</v>
      </c>
      <c r="F24" s="555">
        <f t="shared" si="2"/>
        <v>1440</v>
      </c>
      <c r="G24" s="555">
        <f t="shared" si="2"/>
        <v>1440</v>
      </c>
      <c r="H24" s="555">
        <f t="shared" si="2"/>
        <v>1512</v>
      </c>
      <c r="I24" s="555">
        <f t="shared" si="2"/>
        <v>1512</v>
      </c>
      <c r="J24" s="555">
        <f t="shared" si="2"/>
        <v>792</v>
      </c>
      <c r="K24" s="555">
        <f t="shared" si="2"/>
        <v>1512</v>
      </c>
      <c r="L24" s="555">
        <f t="shared" si="2"/>
        <v>1440</v>
      </c>
      <c r="M24" s="555">
        <f t="shared" si="2"/>
        <v>1440</v>
      </c>
      <c r="N24" s="555">
        <f t="shared" si="2"/>
        <v>792</v>
      </c>
      <c r="O24" s="552">
        <f>SUM(C24:N24)</f>
        <v>16056</v>
      </c>
    </row>
    <row r="25" spans="2:17" ht="16" x14ac:dyDescent="0.2">
      <c r="B25" s="469" t="s">
        <v>807</v>
      </c>
      <c r="C25" s="555"/>
      <c r="D25" s="555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2">
        <f>SUM(C25:N25)</f>
        <v>0</v>
      </c>
    </row>
    <row r="26" spans="2:17" ht="17" thickBot="1" x14ac:dyDescent="0.25">
      <c r="B26" s="469" t="s">
        <v>808</v>
      </c>
      <c r="C26" s="555">
        <f>C24+C25</f>
        <v>1224</v>
      </c>
      <c r="D26" s="555">
        <f t="shared" ref="D26:N26" si="3">D24+D25</f>
        <v>1368</v>
      </c>
      <c r="E26" s="555">
        <f t="shared" si="3"/>
        <v>1584</v>
      </c>
      <c r="F26" s="555">
        <f t="shared" si="3"/>
        <v>1440</v>
      </c>
      <c r="G26" s="555">
        <f t="shared" si="3"/>
        <v>1440</v>
      </c>
      <c r="H26" s="555">
        <f t="shared" si="3"/>
        <v>1512</v>
      </c>
      <c r="I26" s="555">
        <f t="shared" si="3"/>
        <v>1512</v>
      </c>
      <c r="J26" s="555">
        <f t="shared" si="3"/>
        <v>792</v>
      </c>
      <c r="K26" s="555">
        <f t="shared" si="3"/>
        <v>1512</v>
      </c>
      <c r="L26" s="555">
        <f t="shared" si="3"/>
        <v>1440</v>
      </c>
      <c r="M26" s="555">
        <f t="shared" si="3"/>
        <v>1440</v>
      </c>
      <c r="N26" s="555">
        <f t="shared" si="3"/>
        <v>792</v>
      </c>
      <c r="O26" s="552">
        <f>SUM(C26:N26)</f>
        <v>16056</v>
      </c>
    </row>
    <row r="27" spans="2:17" ht="17" thickBot="1" x14ac:dyDescent="0.25">
      <c r="B27" s="470" t="s">
        <v>804</v>
      </c>
      <c r="C27" s="336">
        <f>C26-C22</f>
        <v>73.821957446808483</v>
      </c>
      <c r="D27" s="336">
        <f t="shared" ref="D27:N27" si="4">D26-D22</f>
        <v>65.497691523552476</v>
      </c>
      <c r="E27" s="336">
        <f t="shared" si="4"/>
        <v>123.51083450773967</v>
      </c>
      <c r="F27" s="336">
        <f t="shared" si="4"/>
        <v>98.125617021276639</v>
      </c>
      <c r="G27" s="336">
        <f t="shared" si="4"/>
        <v>98.125617021276639</v>
      </c>
      <c r="H27" s="336">
        <f t="shared" si="4"/>
        <v>106.2268368794339</v>
      </c>
      <c r="I27" s="336">
        <f t="shared" si="4"/>
        <v>276.09350354609865</v>
      </c>
      <c r="J27" s="336">
        <f t="shared" si="4"/>
        <v>25.214638297872398</v>
      </c>
      <c r="K27" s="336">
        <f t="shared" si="4"/>
        <v>190.27698327289681</v>
      </c>
      <c r="L27" s="336">
        <f t="shared" si="4"/>
        <v>274.12011864689202</v>
      </c>
      <c r="M27" s="336">
        <f t="shared" si="4"/>
        <v>267.9922836879432</v>
      </c>
      <c r="N27" s="336">
        <f t="shared" si="4"/>
        <v>25.214638297872398</v>
      </c>
      <c r="O27" s="346">
        <f>SUM(C27:N27)</f>
        <v>1624.2207201496633</v>
      </c>
    </row>
    <row r="28" spans="2:17" ht="16" x14ac:dyDescent="0.2">
      <c r="B28" s="28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338"/>
    </row>
    <row r="29" spans="2:17" ht="16" x14ac:dyDescent="0.2">
      <c r="B29" s="549" t="s">
        <v>190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338"/>
    </row>
    <row r="30" spans="2:17" ht="16" x14ac:dyDescent="0.2">
      <c r="B30" s="469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338"/>
    </row>
    <row r="31" spans="2:17" ht="16" x14ac:dyDescent="0.2">
      <c r="B31" s="469" t="s">
        <v>800</v>
      </c>
      <c r="C31" s="332">
        <f>'Tab 5'!C28</f>
        <v>3608.3732687165466</v>
      </c>
      <c r="D31" s="332">
        <f>'Tab 5'!D28</f>
        <v>3741.1687639396068</v>
      </c>
      <c r="E31" s="332">
        <f>'Tab 5'!E28</f>
        <v>3919.3196574605463</v>
      </c>
      <c r="F31" s="332">
        <f>'Tab 5'!F28</f>
        <v>3919.3196574605317</v>
      </c>
      <c r="G31" s="332">
        <f>'Tab 5'!G28</f>
        <v>2503.4253543994564</v>
      </c>
      <c r="H31" s="332">
        <f>'Tab 5'!H28</f>
        <v>4551.6595744680817</v>
      </c>
      <c r="I31" s="332">
        <f>'Tab 5'!I28</f>
        <v>4001.6595744680872</v>
      </c>
      <c r="J31" s="332">
        <f>'Tab 5'!J28</f>
        <v>2482.7234042553191</v>
      </c>
      <c r="K31" s="332">
        <f>'Tab 5'!K28</f>
        <v>3008.4665511662315</v>
      </c>
      <c r="L31" s="332">
        <f>'Tab 5'!L28</f>
        <v>4344.765957446808</v>
      </c>
      <c r="M31" s="332">
        <f>'Tab 5'!M28</f>
        <v>3794.765957446808</v>
      </c>
      <c r="N31" s="332">
        <f>'Tab 5'!N28</f>
        <v>2482.7234042553191</v>
      </c>
      <c r="O31" s="550">
        <f>SUM(C31:N31)</f>
        <v>42358.371125483332</v>
      </c>
    </row>
    <row r="32" spans="2:17" ht="16" x14ac:dyDescent="0.2">
      <c r="B32" s="469" t="s">
        <v>814</v>
      </c>
      <c r="C32" s="332">
        <f>'All. 8'!$D$17/60*C31</f>
        <v>132.30701985294004</v>
      </c>
      <c r="D32" s="332">
        <f>'All. 8'!$D$17/60*D31</f>
        <v>137.17618801111891</v>
      </c>
      <c r="E32" s="332">
        <f>'All. 8'!$D$17/60*E31</f>
        <v>143.70838744022004</v>
      </c>
      <c r="F32" s="332">
        <f>'All. 8'!$D$17/60*F31</f>
        <v>143.7083874402195</v>
      </c>
      <c r="G32" s="332">
        <f>'All. 8'!$D$17/60*G31</f>
        <v>91.792262994646734</v>
      </c>
      <c r="H32" s="332">
        <f>'All. 8'!$D$17/60*H31</f>
        <v>166.894184397163</v>
      </c>
      <c r="I32" s="332">
        <f>'All. 8'!$D$17/60*I31</f>
        <v>146.72751773049654</v>
      </c>
      <c r="J32" s="332">
        <f>'All. 8'!$D$17/60*J31</f>
        <v>91.033191489361698</v>
      </c>
      <c r="K32" s="332">
        <f>'All. 8'!$D$17/60*K31</f>
        <v>110.31044020942849</v>
      </c>
      <c r="L32" s="332">
        <f>'All. 8'!$D$17/60*L31</f>
        <v>159.30808510638295</v>
      </c>
      <c r="M32" s="332">
        <f>'All. 8'!$D$17/60*M31</f>
        <v>139.14141843971629</v>
      </c>
      <c r="N32" s="332">
        <f>'All. 8'!$D$17/60*N31</f>
        <v>91.033191489361698</v>
      </c>
      <c r="O32" s="550">
        <f>SUM(C32:N32)</f>
        <v>1553.140274601056</v>
      </c>
    </row>
    <row r="33" spans="2:15" ht="16" x14ac:dyDescent="0.2">
      <c r="B33" s="469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338"/>
    </row>
    <row r="34" spans="2:15" ht="16" x14ac:dyDescent="0.2">
      <c r="B34" s="469" t="s">
        <v>815</v>
      </c>
      <c r="C34" s="553">
        <f>'Tab. 11'!C6-'Tab. 11'!C7</f>
        <v>18</v>
      </c>
      <c r="D34" s="553">
        <f>'Tab. 11'!D6-'Tab. 11'!D7</f>
        <v>20</v>
      </c>
      <c r="E34" s="553">
        <f>'Tab. 11'!E6-'Tab. 11'!E7</f>
        <v>23</v>
      </c>
      <c r="F34" s="553">
        <f>'Tab. 11'!F6-'Tab. 11'!F7</f>
        <v>21</v>
      </c>
      <c r="G34" s="553">
        <f>'Tab. 11'!G6-'Tab. 11'!G7</f>
        <v>21</v>
      </c>
      <c r="H34" s="553">
        <f>'Tab. 11'!H6-'Tab. 11'!H7</f>
        <v>22</v>
      </c>
      <c r="I34" s="553">
        <f>'Tab. 11'!I6-'Tab. 11'!I7</f>
        <v>22</v>
      </c>
      <c r="J34" s="553">
        <f>'Tab. 11'!J6-'Tab. 11'!J7</f>
        <v>12</v>
      </c>
      <c r="K34" s="553">
        <f>'Tab. 11'!K6-'Tab. 11'!K7</f>
        <v>22</v>
      </c>
      <c r="L34" s="553">
        <f>'Tab. 11'!L6-'Tab. 11'!L7</f>
        <v>21</v>
      </c>
      <c r="M34" s="553">
        <f>'Tab. 11'!M6-'Tab. 11'!M7</f>
        <v>21</v>
      </c>
      <c r="N34" s="553">
        <f>'Tab. 11'!N6-'Tab. 11'!N7</f>
        <v>12</v>
      </c>
      <c r="O34" s="552">
        <f>SUM(C34:N34)</f>
        <v>235</v>
      </c>
    </row>
    <row r="35" spans="2:15" ht="16" x14ac:dyDescent="0.2">
      <c r="B35" s="469" t="s">
        <v>816</v>
      </c>
      <c r="C35" s="570">
        <f>-'All. 9'!$D$9/12</f>
        <v>-1</v>
      </c>
      <c r="D35" s="570">
        <f>-'All. 9'!$D$9/12</f>
        <v>-1</v>
      </c>
      <c r="E35" s="570">
        <f>-'All. 9'!$D$9/12</f>
        <v>-1</v>
      </c>
      <c r="F35" s="570">
        <f>-'All. 9'!$D$9/12</f>
        <v>-1</v>
      </c>
      <c r="G35" s="570">
        <f>-'All. 9'!$D$9/12</f>
        <v>-1</v>
      </c>
      <c r="H35" s="570">
        <f>-'All. 9'!$D$9/12</f>
        <v>-1</v>
      </c>
      <c r="I35" s="570">
        <f>-'All. 9'!$D$9/12</f>
        <v>-1</v>
      </c>
      <c r="J35" s="570">
        <f>-'All. 9'!$D$9/12</f>
        <v>-1</v>
      </c>
      <c r="K35" s="570">
        <f>-'All. 9'!$D$9/12</f>
        <v>-1</v>
      </c>
      <c r="L35" s="570">
        <f>-'All. 9'!$D$9/12</f>
        <v>-1</v>
      </c>
      <c r="M35" s="570">
        <f>-'All. 9'!$D$9/12</f>
        <v>-1</v>
      </c>
      <c r="N35" s="570">
        <f>-'All. 9'!$D$9/12</f>
        <v>-1</v>
      </c>
      <c r="O35" s="556">
        <f>SUM(C35:N35)</f>
        <v>-12</v>
      </c>
    </row>
    <row r="36" spans="2:15" ht="16" x14ac:dyDescent="0.2">
      <c r="B36" s="469" t="s">
        <v>5</v>
      </c>
      <c r="C36" s="551"/>
      <c r="D36" s="551"/>
      <c r="E36" s="551"/>
      <c r="F36" s="551"/>
      <c r="G36" s="551"/>
      <c r="H36" s="551"/>
      <c r="I36" s="553">
        <f>'All. 11'!$D$8/2</f>
        <v>0</v>
      </c>
      <c r="J36" s="551"/>
      <c r="K36" s="551"/>
      <c r="L36" s="551"/>
      <c r="M36" s="551"/>
      <c r="N36" s="553">
        <f>'All. 11'!$D$8/2</f>
        <v>0</v>
      </c>
      <c r="O36" s="552">
        <f>SUM(C36:N36)</f>
        <v>0</v>
      </c>
    </row>
    <row r="37" spans="2:15" ht="16" x14ac:dyDescent="0.2">
      <c r="B37" s="469" t="s">
        <v>817</v>
      </c>
      <c r="C37" s="570">
        <f>'All. 9'!$D$7</f>
        <v>1</v>
      </c>
      <c r="D37" s="570">
        <f>'All. 9'!$D$7</f>
        <v>1</v>
      </c>
      <c r="E37" s="570">
        <f>'All. 9'!$D$7</f>
        <v>1</v>
      </c>
      <c r="F37" s="570">
        <f>'All. 9'!$D$7</f>
        <v>1</v>
      </c>
      <c r="G37" s="570">
        <f>'All. 9'!$D$7</f>
        <v>1</v>
      </c>
      <c r="H37" s="570">
        <f>'All. 9'!$D$7</f>
        <v>1</v>
      </c>
      <c r="I37" s="570">
        <f>'All. 9'!$D$7</f>
        <v>1</v>
      </c>
      <c r="J37" s="570">
        <f>'All. 9'!$D$7</f>
        <v>1</v>
      </c>
      <c r="K37" s="570">
        <f>'All. 9'!$D$7</f>
        <v>1</v>
      </c>
      <c r="L37" s="570">
        <f>'All. 9'!$D$7</f>
        <v>1</v>
      </c>
      <c r="M37" s="570">
        <f>'All. 9'!$D$7</f>
        <v>1</v>
      </c>
      <c r="N37" s="570">
        <f>'All. 9'!$D$7</f>
        <v>1</v>
      </c>
      <c r="O37" s="554"/>
    </row>
    <row r="38" spans="2:15" ht="16" x14ac:dyDescent="0.2">
      <c r="B38" s="469" t="s">
        <v>8</v>
      </c>
      <c r="C38" s="570">
        <f>'All. 9'!$D$10</f>
        <v>2</v>
      </c>
      <c r="D38" s="570">
        <f>'All. 9'!$D$10</f>
        <v>2</v>
      </c>
      <c r="E38" s="570">
        <f>'All. 9'!$D$10</f>
        <v>2</v>
      </c>
      <c r="F38" s="570">
        <f>'All. 9'!$D$10</f>
        <v>2</v>
      </c>
      <c r="G38" s="570">
        <f>'All. 9'!$D$10</f>
        <v>2</v>
      </c>
      <c r="H38" s="570">
        <f>'All. 9'!$D$10</f>
        <v>2</v>
      </c>
      <c r="I38" s="570">
        <f>'All. 9'!$D$10</f>
        <v>2</v>
      </c>
      <c r="J38" s="570">
        <f>'All. 9'!$D$10</f>
        <v>2</v>
      </c>
      <c r="K38" s="570">
        <f>'All. 9'!$D$10</f>
        <v>2</v>
      </c>
      <c r="L38" s="570">
        <f>'All. 9'!$D$10</f>
        <v>2</v>
      </c>
      <c r="M38" s="570">
        <f>'All. 9'!$D$10</f>
        <v>2</v>
      </c>
      <c r="N38" s="570">
        <f>'All. 9'!$D$10</f>
        <v>2</v>
      </c>
      <c r="O38" s="554"/>
    </row>
    <row r="39" spans="2:15" ht="16" x14ac:dyDescent="0.2">
      <c r="B39" s="469" t="s">
        <v>818</v>
      </c>
      <c r="C39" s="570">
        <f>'All. 9'!$D$11</f>
        <v>8</v>
      </c>
      <c r="D39" s="570">
        <f>'All. 9'!$D$11</f>
        <v>8</v>
      </c>
      <c r="E39" s="570">
        <f>'All. 9'!$D$11</f>
        <v>8</v>
      </c>
      <c r="F39" s="570">
        <f>'All. 9'!$D$11</f>
        <v>8</v>
      </c>
      <c r="G39" s="570">
        <f>'All. 9'!$D$11</f>
        <v>8</v>
      </c>
      <c r="H39" s="570">
        <f>'All. 9'!$D$11</f>
        <v>8</v>
      </c>
      <c r="I39" s="570">
        <f>'All. 9'!$D$11</f>
        <v>8</v>
      </c>
      <c r="J39" s="570">
        <f>'All. 9'!$D$11</f>
        <v>8</v>
      </c>
      <c r="K39" s="570">
        <f>'All. 9'!$D$11</f>
        <v>8</v>
      </c>
      <c r="L39" s="570">
        <f>'All. 9'!$D$11</f>
        <v>8</v>
      </c>
      <c r="M39" s="570">
        <f>'All. 9'!$D$11</f>
        <v>8</v>
      </c>
      <c r="N39" s="570">
        <f>'All. 9'!$D$11</f>
        <v>8</v>
      </c>
      <c r="O39" s="554"/>
    </row>
    <row r="40" spans="2:15" ht="17" thickBot="1" x14ac:dyDescent="0.25">
      <c r="B40" s="469" t="s">
        <v>803</v>
      </c>
      <c r="C40" s="332">
        <f>(C34+C35+C36)*C37*C38*C39</f>
        <v>272</v>
      </c>
      <c r="D40" s="332">
        <f t="shared" ref="D40:N40" si="5">(D34+D35+D36)*D37*D38*D39</f>
        <v>304</v>
      </c>
      <c r="E40" s="332">
        <f t="shared" si="5"/>
        <v>352</v>
      </c>
      <c r="F40" s="332">
        <f t="shared" si="5"/>
        <v>320</v>
      </c>
      <c r="G40" s="332">
        <f t="shared" si="5"/>
        <v>320</v>
      </c>
      <c r="H40" s="332">
        <f t="shared" si="5"/>
        <v>336</v>
      </c>
      <c r="I40" s="332">
        <f t="shared" si="5"/>
        <v>336</v>
      </c>
      <c r="J40" s="332">
        <f t="shared" si="5"/>
        <v>176</v>
      </c>
      <c r="K40" s="332">
        <f t="shared" si="5"/>
        <v>336</v>
      </c>
      <c r="L40" s="332">
        <f t="shared" si="5"/>
        <v>320</v>
      </c>
      <c r="M40" s="332">
        <f t="shared" si="5"/>
        <v>320</v>
      </c>
      <c r="N40" s="332">
        <f t="shared" si="5"/>
        <v>176</v>
      </c>
      <c r="O40" s="550">
        <f>SUM(C40:N40)</f>
        <v>3568</v>
      </c>
    </row>
    <row r="41" spans="2:15" ht="17" thickBot="1" x14ac:dyDescent="0.25">
      <c r="B41" s="470" t="s">
        <v>804</v>
      </c>
      <c r="C41" s="336">
        <f>C40-C32</f>
        <v>139.69298014705996</v>
      </c>
      <c r="D41" s="336">
        <f t="shared" ref="D41:O41" si="6">D40-D32</f>
        <v>166.82381198888109</v>
      </c>
      <c r="E41" s="336">
        <f t="shared" si="6"/>
        <v>208.29161255977996</v>
      </c>
      <c r="F41" s="336">
        <f t="shared" si="6"/>
        <v>176.2916125597805</v>
      </c>
      <c r="G41" s="336">
        <f t="shared" si="6"/>
        <v>228.20773700535327</v>
      </c>
      <c r="H41" s="336">
        <f t="shared" si="6"/>
        <v>169.105815602837</v>
      </c>
      <c r="I41" s="336">
        <f t="shared" si="6"/>
        <v>189.27248226950346</v>
      </c>
      <c r="J41" s="336">
        <f t="shared" si="6"/>
        <v>84.966808510638302</v>
      </c>
      <c r="K41" s="336">
        <f t="shared" si="6"/>
        <v>225.68955979057151</v>
      </c>
      <c r="L41" s="336">
        <f t="shared" si="6"/>
        <v>160.69191489361705</v>
      </c>
      <c r="M41" s="336">
        <f t="shared" si="6"/>
        <v>180.85858156028371</v>
      </c>
      <c r="N41" s="336">
        <f t="shared" si="6"/>
        <v>84.966808510638302</v>
      </c>
      <c r="O41" s="346">
        <f t="shared" si="6"/>
        <v>2014.859725398944</v>
      </c>
    </row>
    <row r="42" spans="2:15" ht="17" customHeight="1" x14ac:dyDescent="0.2">
      <c r="B42" s="469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338"/>
    </row>
    <row r="43" spans="2:15" ht="16" x14ac:dyDescent="0.2">
      <c r="B43" s="557" t="s">
        <v>805</v>
      </c>
      <c r="C43" s="558">
        <f>'Tab. 12'!C52</f>
        <v>3608.3732687165466</v>
      </c>
      <c r="D43" s="558">
        <f>'Tab. 12'!D52</f>
        <v>3741.1687639396141</v>
      </c>
      <c r="E43" s="558">
        <f>'Tab. 12'!E52</f>
        <v>3919.3196574605463</v>
      </c>
      <c r="F43" s="558">
        <f>'Tab. 12'!F52</f>
        <v>3919.3196574605317</v>
      </c>
      <c r="G43" s="558">
        <f>'Tab. 12'!G52</f>
        <v>2503.4253543994564</v>
      </c>
      <c r="H43" s="558">
        <f>'Tab. 12'!H52</f>
        <v>4551.6595744680817</v>
      </c>
      <c r="I43" s="558">
        <f>'Tab. 12'!I52</f>
        <v>4001.6595744680872</v>
      </c>
      <c r="J43" s="558">
        <f>'Tab. 12'!J52</f>
        <v>2482.7234042553191</v>
      </c>
      <c r="K43" s="558">
        <f>'Tab. 12'!K52</f>
        <v>3008.4665511662315</v>
      </c>
      <c r="L43" s="558">
        <f>'Tab. 12'!L52</f>
        <v>4344.765957446808</v>
      </c>
      <c r="M43" s="558">
        <f>'Tab. 12'!M52</f>
        <v>3794.765957446808</v>
      </c>
      <c r="N43" s="558">
        <f>'Tab. 12'!N52</f>
        <v>2482.7234042553191</v>
      </c>
      <c r="O43" s="559">
        <f>SUM(C43:N43)</f>
        <v>42358.37112548334</v>
      </c>
    </row>
    <row r="44" spans="2:15" ht="16" x14ac:dyDescent="0.2">
      <c r="B44" s="469" t="s">
        <v>819</v>
      </c>
      <c r="C44" s="332">
        <f>'All. 8'!$D$17/60*C43</f>
        <v>132.30701985294004</v>
      </c>
      <c r="D44" s="332">
        <f>'All. 8'!$D$17/60*D43</f>
        <v>137.17618801111919</v>
      </c>
      <c r="E44" s="332">
        <f>'All. 8'!$D$17/60*E43</f>
        <v>143.70838744022004</v>
      </c>
      <c r="F44" s="332">
        <f>'All. 8'!$D$17/60*F43</f>
        <v>143.7083874402195</v>
      </c>
      <c r="G44" s="332">
        <f>'All. 8'!$D$17/60*G43</f>
        <v>91.792262994646734</v>
      </c>
      <c r="H44" s="332">
        <f>'All. 8'!$D$17/60*H43</f>
        <v>166.894184397163</v>
      </c>
      <c r="I44" s="332">
        <f>'All. 8'!$D$17/60*I43</f>
        <v>146.72751773049654</v>
      </c>
      <c r="J44" s="332">
        <f>'All. 8'!$D$17/60*J43</f>
        <v>91.033191489361698</v>
      </c>
      <c r="K44" s="332">
        <f>'All. 8'!$D$17/60*K43</f>
        <v>110.31044020942849</v>
      </c>
      <c r="L44" s="332">
        <f>'All. 8'!$D$17/60*L43</f>
        <v>159.30808510638295</v>
      </c>
      <c r="M44" s="332">
        <f>'All. 8'!$D$17/60*M43</f>
        <v>139.14141843971629</v>
      </c>
      <c r="N44" s="332">
        <f>'All. 8'!$D$17/60*N43</f>
        <v>91.033191489361698</v>
      </c>
      <c r="O44" s="550">
        <f>SUM(C44:N44)</f>
        <v>1553.1402746010565</v>
      </c>
    </row>
    <row r="45" spans="2:15" ht="16" x14ac:dyDescent="0.2">
      <c r="B45" s="469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338"/>
    </row>
    <row r="46" spans="2:15" ht="16" x14ac:dyDescent="0.2">
      <c r="B46" s="469" t="s">
        <v>806</v>
      </c>
      <c r="C46" s="555">
        <f t="shared" ref="C46:N46" si="7">C40</f>
        <v>272</v>
      </c>
      <c r="D46" s="555">
        <f t="shared" si="7"/>
        <v>304</v>
      </c>
      <c r="E46" s="555">
        <f t="shared" si="7"/>
        <v>352</v>
      </c>
      <c r="F46" s="555">
        <f t="shared" si="7"/>
        <v>320</v>
      </c>
      <c r="G46" s="555">
        <f t="shared" si="7"/>
        <v>320</v>
      </c>
      <c r="H46" s="555">
        <f t="shared" si="7"/>
        <v>336</v>
      </c>
      <c r="I46" s="555">
        <f t="shared" si="7"/>
        <v>336</v>
      </c>
      <c r="J46" s="555">
        <f t="shared" si="7"/>
        <v>176</v>
      </c>
      <c r="K46" s="555">
        <f t="shared" si="7"/>
        <v>336</v>
      </c>
      <c r="L46" s="555">
        <f t="shared" si="7"/>
        <v>320</v>
      </c>
      <c r="M46" s="555">
        <f t="shared" si="7"/>
        <v>320</v>
      </c>
      <c r="N46" s="555">
        <f t="shared" si="7"/>
        <v>176</v>
      </c>
      <c r="O46" s="552">
        <f>SUM(C46:N46)</f>
        <v>3568</v>
      </c>
    </row>
    <row r="47" spans="2:15" ht="16" x14ac:dyDescent="0.2">
      <c r="B47" s="469" t="s">
        <v>807</v>
      </c>
      <c r="C47" s="555"/>
      <c r="D47" s="555"/>
      <c r="E47" s="551"/>
      <c r="F47" s="551"/>
      <c r="G47" s="551"/>
      <c r="H47" s="551"/>
      <c r="I47" s="551"/>
      <c r="J47" s="551"/>
      <c r="K47" s="551"/>
      <c r="L47" s="551"/>
      <c r="M47" s="551"/>
      <c r="N47" s="551"/>
      <c r="O47" s="552">
        <f>SUM(C47:N47)</f>
        <v>0</v>
      </c>
    </row>
    <row r="48" spans="2:15" ht="17" thickBot="1" x14ac:dyDescent="0.25">
      <c r="B48" s="469" t="s">
        <v>808</v>
      </c>
      <c r="C48" s="555">
        <f>C46+C47</f>
        <v>272</v>
      </c>
      <c r="D48" s="555">
        <f t="shared" ref="D48:N48" si="8">D46+D47</f>
        <v>304</v>
      </c>
      <c r="E48" s="555">
        <f t="shared" si="8"/>
        <v>352</v>
      </c>
      <c r="F48" s="555">
        <f t="shared" si="8"/>
        <v>320</v>
      </c>
      <c r="G48" s="555">
        <f t="shared" si="8"/>
        <v>320</v>
      </c>
      <c r="H48" s="555">
        <f t="shared" si="8"/>
        <v>336</v>
      </c>
      <c r="I48" s="555">
        <f t="shared" si="8"/>
        <v>336</v>
      </c>
      <c r="J48" s="555">
        <f t="shared" si="8"/>
        <v>176</v>
      </c>
      <c r="K48" s="555">
        <f t="shared" si="8"/>
        <v>336</v>
      </c>
      <c r="L48" s="555">
        <f t="shared" si="8"/>
        <v>320</v>
      </c>
      <c r="M48" s="555">
        <f t="shared" si="8"/>
        <v>320</v>
      </c>
      <c r="N48" s="555">
        <f t="shared" si="8"/>
        <v>176</v>
      </c>
      <c r="O48" s="552">
        <f>SUM(C48:N48)</f>
        <v>3568</v>
      </c>
    </row>
    <row r="49" spans="2:15" ht="17" thickBot="1" x14ac:dyDescent="0.25">
      <c r="B49" s="470" t="s">
        <v>804</v>
      </c>
      <c r="C49" s="336">
        <f>C48-C44</f>
        <v>139.69298014705996</v>
      </c>
      <c r="D49" s="336">
        <f t="shared" ref="D49:N49" si="9">D48-D44</f>
        <v>166.82381198888081</v>
      </c>
      <c r="E49" s="336">
        <f t="shared" si="9"/>
        <v>208.29161255977996</v>
      </c>
      <c r="F49" s="336">
        <f t="shared" si="9"/>
        <v>176.2916125597805</v>
      </c>
      <c r="G49" s="336">
        <f t="shared" si="9"/>
        <v>228.20773700535327</v>
      </c>
      <c r="H49" s="336">
        <f t="shared" si="9"/>
        <v>169.105815602837</v>
      </c>
      <c r="I49" s="336">
        <f t="shared" si="9"/>
        <v>189.27248226950346</v>
      </c>
      <c r="J49" s="336">
        <f t="shared" si="9"/>
        <v>84.966808510638302</v>
      </c>
      <c r="K49" s="336">
        <f t="shared" si="9"/>
        <v>225.68955979057151</v>
      </c>
      <c r="L49" s="336">
        <f t="shared" si="9"/>
        <v>160.69191489361705</v>
      </c>
      <c r="M49" s="336">
        <f t="shared" si="9"/>
        <v>180.85858156028371</v>
      </c>
      <c r="N49" s="336">
        <f t="shared" si="9"/>
        <v>84.966808510638302</v>
      </c>
      <c r="O49" s="346">
        <f>SUM(C49:N49)</f>
        <v>2014.8597253989435</v>
      </c>
    </row>
    <row r="50" spans="2:15" hidden="1" x14ac:dyDescent="0.15">
      <c r="B50" s="560"/>
      <c r="C50" s="561"/>
      <c r="D50" s="561"/>
      <c r="E50" s="561"/>
      <c r="F50" s="561"/>
      <c r="G50" s="561"/>
      <c r="H50" s="561"/>
      <c r="I50" s="561"/>
      <c r="J50" s="561"/>
      <c r="K50" s="561"/>
      <c r="L50" s="561"/>
      <c r="M50" s="561"/>
      <c r="N50" s="561"/>
      <c r="O50" s="562"/>
    </row>
    <row r="51" spans="2:15" hidden="1" x14ac:dyDescent="0.15">
      <c r="B51" s="563"/>
      <c r="O51" s="564"/>
    </row>
    <row r="52" spans="2:15" hidden="1" x14ac:dyDescent="0.15">
      <c r="B52" s="565" t="s">
        <v>810</v>
      </c>
      <c r="C52" s="1">
        <f>+C31</f>
        <v>3608.3732687165466</v>
      </c>
      <c r="D52" s="1">
        <f t="shared" ref="D52:N52" si="10">+D31+C52</f>
        <v>7349.5420326561534</v>
      </c>
      <c r="E52" s="1">
        <f t="shared" si="10"/>
        <v>11268.861690116701</v>
      </c>
      <c r="F52" s="1">
        <f t="shared" si="10"/>
        <v>15188.181347577232</v>
      </c>
      <c r="G52" s="1">
        <f t="shared" si="10"/>
        <v>17691.606701976689</v>
      </c>
      <c r="H52" s="1">
        <f t="shared" si="10"/>
        <v>22243.26627644477</v>
      </c>
      <c r="I52" s="1">
        <f t="shared" si="10"/>
        <v>26244.925850912856</v>
      </c>
      <c r="J52" s="1">
        <f t="shared" si="10"/>
        <v>28727.649255168173</v>
      </c>
      <c r="K52" s="1">
        <f t="shared" si="10"/>
        <v>31736.115806334405</v>
      </c>
      <c r="L52" s="1">
        <f t="shared" si="10"/>
        <v>36080.88176378121</v>
      </c>
      <c r="M52" s="1">
        <f t="shared" si="10"/>
        <v>39875.647721228015</v>
      </c>
      <c r="N52" s="1">
        <f t="shared" si="10"/>
        <v>42358.371125483332</v>
      </c>
      <c r="O52" s="564"/>
    </row>
    <row r="53" spans="2:15" hidden="1" x14ac:dyDescent="0.15">
      <c r="B53" s="565" t="s">
        <v>811</v>
      </c>
      <c r="C53" s="1" t="e">
        <f>+#REF!</f>
        <v>#REF!</v>
      </c>
      <c r="D53" s="1" t="e">
        <f>+C53+#REF!</f>
        <v>#REF!</v>
      </c>
      <c r="E53" s="1" t="e">
        <f>+D53+#REF!</f>
        <v>#REF!</v>
      </c>
      <c r="F53" s="1" t="e">
        <f>+E53+#REF!</f>
        <v>#REF!</v>
      </c>
      <c r="G53" s="1" t="e">
        <f>+F53+#REF!</f>
        <v>#REF!</v>
      </c>
      <c r="H53" s="1" t="e">
        <f>+G53+#REF!</f>
        <v>#REF!</v>
      </c>
      <c r="I53" s="1" t="e">
        <f>+H53+#REF!</f>
        <v>#REF!</v>
      </c>
      <c r="J53" s="1" t="e">
        <f>+I53+#REF!</f>
        <v>#REF!</v>
      </c>
      <c r="K53" s="1" t="e">
        <f>+J53+#REF!</f>
        <v>#REF!</v>
      </c>
      <c r="L53" s="1" t="e">
        <f>+K53+#REF!</f>
        <v>#REF!</v>
      </c>
      <c r="M53" s="1" t="e">
        <f>+L53+#REF!</f>
        <v>#REF!</v>
      </c>
      <c r="N53" s="1" t="e">
        <f>+M53+#REF!</f>
        <v>#REF!</v>
      </c>
      <c r="O53" s="564"/>
    </row>
    <row r="54" spans="2:15" hidden="1" x14ac:dyDescent="0.15">
      <c r="B54" s="563"/>
      <c r="C54" s="1">
        <f>+C43</f>
        <v>3608.3732687165466</v>
      </c>
      <c r="D54" s="1">
        <f>+D43+C43</f>
        <v>7349.5420326561607</v>
      </c>
      <c r="E54" s="1">
        <f>+E43+D54</f>
        <v>11268.861690116708</v>
      </c>
      <c r="F54" s="1">
        <f t="shared" ref="F54:N54" si="11">+F43+E54</f>
        <v>15188.18134757724</v>
      </c>
      <c r="G54" s="1">
        <f t="shared" si="11"/>
        <v>17691.606701976696</v>
      </c>
      <c r="H54" s="1">
        <f t="shared" si="11"/>
        <v>22243.266276444778</v>
      </c>
      <c r="I54" s="1">
        <f t="shared" si="11"/>
        <v>26244.925850912863</v>
      </c>
      <c r="J54" s="1">
        <f t="shared" si="11"/>
        <v>28727.64925516818</v>
      </c>
      <c r="K54" s="1">
        <f t="shared" si="11"/>
        <v>31736.115806334412</v>
      </c>
      <c r="L54" s="1">
        <f t="shared" si="11"/>
        <v>36080.881763781217</v>
      </c>
      <c r="M54" s="1">
        <f t="shared" si="11"/>
        <v>39875.647721228022</v>
      </c>
      <c r="N54" s="1">
        <f t="shared" si="11"/>
        <v>42358.37112548334</v>
      </c>
      <c r="O54" s="564"/>
    </row>
    <row r="55" spans="2:15" hidden="1" x14ac:dyDescent="0.15">
      <c r="B55" s="56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564"/>
    </row>
    <row r="56" spans="2:15" ht="14" hidden="1" thickBot="1" x14ac:dyDescent="0.2">
      <c r="B56" s="566"/>
      <c r="C56" s="567" t="e">
        <f>+IF(C53&lt;C52,C52-C53,0)</f>
        <v>#REF!</v>
      </c>
      <c r="D56" s="567" t="e">
        <f>+IF(D53&lt;D52,D52-D53,0)</f>
        <v>#REF!</v>
      </c>
      <c r="E56" s="568"/>
      <c r="F56" s="568"/>
      <c r="G56" s="568"/>
      <c r="H56" s="568"/>
      <c r="I56" s="568"/>
      <c r="J56" s="568"/>
      <c r="K56" s="568"/>
      <c r="L56" s="568"/>
      <c r="M56" s="568"/>
      <c r="N56" s="568"/>
      <c r="O56" s="569"/>
    </row>
  </sheetData>
  <mergeCells count="1">
    <mergeCell ref="C4:O4"/>
  </mergeCells>
  <conditionalFormatting sqref="C19:N19 C27:N27">
    <cfRule type="cellIs" dxfId="3" priority="2" operator="lessThan">
      <formula>0</formula>
    </cfRule>
  </conditionalFormatting>
  <conditionalFormatting sqref="C41:N41 C49:N49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7F09-A980-B342-A814-E5899E0130F2}">
  <sheetPr codeName="Foglio27"/>
  <dimension ref="B3:E25"/>
  <sheetViews>
    <sheetView showGridLines="0" zoomScale="200" zoomScaleNormal="200" workbookViewId="0">
      <selection activeCell="C9" sqref="C9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3" x14ac:dyDescent="0.2">
      <c r="B3" s="2" t="s">
        <v>820</v>
      </c>
    </row>
    <row r="5" spans="2:3" x14ac:dyDescent="0.2">
      <c r="B5" s="572"/>
      <c r="C5" s="574" t="s">
        <v>196</v>
      </c>
    </row>
    <row r="6" spans="2:3" x14ac:dyDescent="0.2">
      <c r="B6" s="519"/>
      <c r="C6" s="495" t="s">
        <v>822</v>
      </c>
    </row>
    <row r="7" spans="2:3" x14ac:dyDescent="0.2">
      <c r="B7" s="573" t="s">
        <v>189</v>
      </c>
      <c r="C7" s="497"/>
    </row>
    <row r="8" spans="2:3" x14ac:dyDescent="0.2">
      <c r="B8" s="519" t="s">
        <v>76</v>
      </c>
      <c r="C8" s="575">
        <f>'Tab. 6'!F8</f>
        <v>108.74965</v>
      </c>
    </row>
    <row r="9" spans="2:3" x14ac:dyDescent="0.2">
      <c r="B9" s="519" t="s">
        <v>821</v>
      </c>
      <c r="C9" s="575">
        <f>C25*'All. 8'!D10</f>
        <v>0.40663326317397169</v>
      </c>
    </row>
    <row r="10" spans="2:3" x14ac:dyDescent="0.2">
      <c r="B10" s="576" t="s">
        <v>3</v>
      </c>
      <c r="C10" s="577">
        <f>SUM(C8:C9)</f>
        <v>109.15628326317398</v>
      </c>
    </row>
    <row r="11" spans="2:3" x14ac:dyDescent="0.2">
      <c r="B11" s="573" t="s">
        <v>190</v>
      </c>
      <c r="C11" s="497"/>
    </row>
    <row r="12" spans="2:3" x14ac:dyDescent="0.2">
      <c r="B12" s="519" t="s">
        <v>76</v>
      </c>
      <c r="C12" s="575">
        <f>'Tab. 6'!F17</f>
        <v>189</v>
      </c>
    </row>
    <row r="13" spans="2:3" x14ac:dyDescent="0.2">
      <c r="B13" s="519" t="s">
        <v>821</v>
      </c>
      <c r="C13" s="575">
        <f>D25*'All. 8'!D17</f>
        <v>0.68814859921749061</v>
      </c>
    </row>
    <row r="14" spans="2:3" x14ac:dyDescent="0.2">
      <c r="B14" s="576" t="s">
        <v>3</v>
      </c>
      <c r="C14" s="577">
        <f>SUM(C12:C13)</f>
        <v>189.6881485992175</v>
      </c>
    </row>
    <row r="17" spans="2:5" ht="15" thickBot="1" x14ac:dyDescent="0.25"/>
    <row r="18" spans="2:5" ht="15" thickBot="1" x14ac:dyDescent="0.25">
      <c r="B18" s="588" t="s">
        <v>823</v>
      </c>
      <c r="C18" s="589"/>
      <c r="D18" s="589"/>
      <c r="E18" s="590"/>
    </row>
    <row r="19" spans="2:5" x14ac:dyDescent="0.2">
      <c r="B19" s="478"/>
      <c r="C19" s="543" t="s">
        <v>790</v>
      </c>
      <c r="D19" s="543" t="s">
        <v>791</v>
      </c>
      <c r="E19" s="544" t="s">
        <v>179</v>
      </c>
    </row>
    <row r="20" spans="2:5" x14ac:dyDescent="0.2">
      <c r="B20" s="478" t="s">
        <v>824</v>
      </c>
      <c r="C20" s="578">
        <f>'Tab. 13'!O18</f>
        <v>16056</v>
      </c>
      <c r="D20" s="578">
        <f>'Tab. 13'!O40</f>
        <v>3568</v>
      </c>
      <c r="E20" s="579">
        <f>SUM(C20:D20)</f>
        <v>19624</v>
      </c>
    </row>
    <row r="21" spans="2:5" x14ac:dyDescent="0.2">
      <c r="B21" s="478" t="s">
        <v>825</v>
      </c>
      <c r="C21" s="578">
        <f>'Tab. 13'!O21</f>
        <v>666082.12060847704</v>
      </c>
      <c r="D21" s="578">
        <f>'Tab. 13'!O43</f>
        <v>42358.37112548334</v>
      </c>
      <c r="E21" s="579"/>
    </row>
    <row r="22" spans="2:5" x14ac:dyDescent="0.2">
      <c r="B22" s="478" t="s">
        <v>826</v>
      </c>
      <c r="C22" s="578">
        <f>'Tab. 13'!O22</f>
        <v>14431.779279850338</v>
      </c>
      <c r="D22" s="578">
        <f>'Tab. 13'!O44</f>
        <v>1553.1402746010565</v>
      </c>
      <c r="E22" s="579">
        <f>SUM(C22:D22)</f>
        <v>15984.919554451395</v>
      </c>
    </row>
    <row r="23" spans="2:5" x14ac:dyDescent="0.2">
      <c r="B23" s="478" t="s">
        <v>827</v>
      </c>
      <c r="C23" s="578"/>
      <c r="D23" s="578"/>
      <c r="E23" s="579"/>
    </row>
    <row r="24" spans="2:5" x14ac:dyDescent="0.2">
      <c r="B24" s="478" t="s">
        <v>828</v>
      </c>
      <c r="C24" s="484">
        <f>+$E$24/$E$22*C22</f>
        <v>270851.14624486398</v>
      </c>
      <c r="D24" s="484">
        <f>+$E$24/$E$22*D22</f>
        <v>29148.85375513597</v>
      </c>
      <c r="E24" s="580">
        <v>300000</v>
      </c>
    </row>
    <row r="25" spans="2:5" ht="15" thickBot="1" x14ac:dyDescent="0.25">
      <c r="B25" s="581" t="s">
        <v>829</v>
      </c>
      <c r="C25" s="582">
        <f>+E25</f>
        <v>0.31279481782613205</v>
      </c>
      <c r="D25" s="582">
        <f>+E25</f>
        <v>0.31279481782613205</v>
      </c>
      <c r="E25" s="583">
        <f>E24/(E22*60)</f>
        <v>0.31279481782613205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9F1E-C18E-9A46-BFD0-AB39E2F07778}">
  <sheetPr codeName="Foglio28"/>
  <dimension ref="B3:M30"/>
  <sheetViews>
    <sheetView showGridLines="0" zoomScale="200" zoomScaleNormal="200" workbookViewId="0">
      <pane ySplit="6" topLeftCell="A17" activePane="bottomLeft" state="frozen"/>
      <selection activeCell="B1" sqref="B1"/>
      <selection pane="bottomLeft" activeCell="G28" sqref="G28:H28"/>
    </sheetView>
  </sheetViews>
  <sheetFormatPr baseColWidth="10" defaultRowHeight="14" x14ac:dyDescent="0.15"/>
  <cols>
    <col min="1" max="1" width="10.83203125" style="594"/>
    <col min="2" max="2" width="26" style="594" customWidth="1"/>
    <col min="3" max="5" width="12.1640625" style="594" customWidth="1"/>
    <col min="6" max="6" width="13" style="594" customWidth="1"/>
    <col min="7" max="7" width="10.83203125" style="594"/>
    <col min="8" max="8" width="12.33203125" style="594" customWidth="1"/>
    <col min="9" max="9" width="1.5" style="594" customWidth="1"/>
    <col min="10" max="11" width="10.83203125" style="594"/>
    <col min="12" max="12" width="1.5" style="594" customWidth="1"/>
    <col min="13" max="16384" width="10.83203125" style="594"/>
  </cols>
  <sheetData>
    <row r="3" spans="2:13" x14ac:dyDescent="0.15">
      <c r="B3" s="594" t="s">
        <v>842</v>
      </c>
    </row>
    <row r="5" spans="2:13" ht="15" thickBot="1" x14ac:dyDescent="0.2"/>
    <row r="6" spans="2:13" ht="30" x14ac:dyDescent="0.15">
      <c r="B6" s="625"/>
      <c r="C6" s="650" t="s">
        <v>196</v>
      </c>
      <c r="D6" s="626" t="s">
        <v>847</v>
      </c>
      <c r="E6" s="627" t="s">
        <v>853</v>
      </c>
      <c r="F6" s="628" t="s">
        <v>854</v>
      </c>
      <c r="G6" s="629" t="s">
        <v>857</v>
      </c>
      <c r="H6" s="628" t="s">
        <v>858</v>
      </c>
      <c r="I6" s="630"/>
      <c r="J6" s="631" t="s">
        <v>855</v>
      </c>
      <c r="K6" s="632" t="s">
        <v>856</v>
      </c>
      <c r="M6" s="596" t="s">
        <v>179</v>
      </c>
    </row>
    <row r="7" spans="2:13" x14ac:dyDescent="0.15">
      <c r="B7" s="633"/>
      <c r="C7" s="597"/>
      <c r="D7" s="595" t="s">
        <v>848</v>
      </c>
      <c r="E7" s="613"/>
      <c r="F7" s="608"/>
      <c r="G7" s="607"/>
      <c r="H7" s="608">
        <f>'All. 10'!C18</f>
        <v>335000</v>
      </c>
      <c r="I7" s="609"/>
      <c r="J7" s="613">
        <f>'All. 10'!C19</f>
        <v>695557</v>
      </c>
      <c r="K7" s="634"/>
      <c r="M7" s="616">
        <f>SUM(E7:K7)</f>
        <v>1030557</v>
      </c>
    </row>
    <row r="8" spans="2:13" x14ac:dyDescent="0.15">
      <c r="B8" s="633"/>
      <c r="C8" s="597"/>
      <c r="D8" s="597" t="s">
        <v>852</v>
      </c>
      <c r="E8" s="614">
        <f>'All. 10'!C15</f>
        <v>3</v>
      </c>
      <c r="F8" s="610">
        <f>'All. 10'!C16</f>
        <v>1</v>
      </c>
      <c r="G8" s="609"/>
      <c r="H8" s="610"/>
      <c r="I8" s="609"/>
      <c r="J8" s="614"/>
      <c r="K8" s="635"/>
      <c r="M8" s="616">
        <f t="shared" ref="M8" si="0">SUM(E8:K8)</f>
        <v>4</v>
      </c>
    </row>
    <row r="9" spans="2:13" x14ac:dyDescent="0.15">
      <c r="B9" s="633"/>
      <c r="C9" s="597"/>
      <c r="D9" s="604" t="s">
        <v>849</v>
      </c>
      <c r="E9" s="615">
        <f>'All. 10'!C7</f>
        <v>3000</v>
      </c>
      <c r="F9" s="612">
        <f>'All. 10'!C8</f>
        <v>1000</v>
      </c>
      <c r="G9" s="611">
        <f>+E9+F9</f>
        <v>4000</v>
      </c>
      <c r="H9" s="612">
        <f>'All. 10'!C9</f>
        <v>10000</v>
      </c>
      <c r="I9" s="609"/>
      <c r="J9" s="615"/>
      <c r="K9" s="636">
        <f>'All. 10'!C6</f>
        <v>5000</v>
      </c>
      <c r="M9" s="617">
        <f>SUM(G9:K9)</f>
        <v>19000</v>
      </c>
    </row>
    <row r="10" spans="2:13" x14ac:dyDescent="0.15">
      <c r="B10" s="637"/>
      <c r="C10" s="597"/>
      <c r="D10" s="597"/>
      <c r="E10" s="605"/>
      <c r="F10" s="606"/>
      <c r="H10" s="606"/>
      <c r="J10" s="605"/>
      <c r="K10" s="638"/>
    </row>
    <row r="11" spans="2:13" x14ac:dyDescent="0.15">
      <c r="B11" s="637" t="s">
        <v>288</v>
      </c>
      <c r="C11" s="598">
        <f>SUMIF(Tabella2[Funzioni],'Tab. 15'!$B11,Tabella2[Costo totale])</f>
        <v>90358.727246166673</v>
      </c>
      <c r="D11" s="597"/>
      <c r="E11" s="605"/>
      <c r="F11" s="606"/>
      <c r="G11" s="618">
        <f>+C11</f>
        <v>90358.727246166673</v>
      </c>
      <c r="H11" s="606"/>
      <c r="J11" s="605"/>
      <c r="K11" s="638"/>
    </row>
    <row r="12" spans="2:13" x14ac:dyDescent="0.15">
      <c r="B12" s="637" t="s">
        <v>289</v>
      </c>
      <c r="C12" s="598">
        <f>SUMIF(Tabella2[Funzioni],'Tab. 15'!$B12,Tabella2[Costo totale])</f>
        <v>41166.929499055565</v>
      </c>
      <c r="D12" s="599"/>
      <c r="E12" s="605"/>
      <c r="F12" s="606"/>
      <c r="G12" s="618">
        <f>+C12</f>
        <v>41166.929499055565</v>
      </c>
      <c r="H12" s="606"/>
      <c r="J12" s="605"/>
      <c r="K12" s="638"/>
    </row>
    <row r="13" spans="2:13" x14ac:dyDescent="0.15">
      <c r="B13" s="637" t="s">
        <v>399</v>
      </c>
      <c r="C13" s="598">
        <f>SUMIF(Tabella2[Funzioni],'Tab. 15'!$B13,Tabella2[Costo totale])</f>
        <v>35742.366690203708</v>
      </c>
      <c r="D13" s="599"/>
      <c r="E13" s="605"/>
      <c r="F13" s="606"/>
      <c r="H13" s="619">
        <f>+C13</f>
        <v>35742.366690203708</v>
      </c>
      <c r="J13" s="605"/>
      <c r="K13" s="638"/>
    </row>
    <row r="14" spans="2:13" x14ac:dyDescent="0.15">
      <c r="B14" s="637" t="s">
        <v>403</v>
      </c>
      <c r="C14" s="598">
        <f>SUMIF(Tabella2[Funzioni],'Tab. 15'!$B14,Tabella2[Costo totale])</f>
        <v>372741.48997968523</v>
      </c>
      <c r="D14" s="599" t="s">
        <v>848</v>
      </c>
      <c r="E14" s="605"/>
      <c r="F14" s="606"/>
      <c r="H14" s="619">
        <f>+C14/$M$7*H$7</f>
        <v>121165.93176621434</v>
      </c>
      <c r="J14" s="620">
        <f>+C14/$M$7*J$7</f>
        <v>251575.55821347088</v>
      </c>
      <c r="K14" s="638"/>
    </row>
    <row r="15" spans="2:13" x14ac:dyDescent="0.15">
      <c r="B15" s="637" t="s">
        <v>420</v>
      </c>
      <c r="C15" s="598">
        <f>SUMIF(Tabella2[Funzioni],'Tab. 15'!$B15,Tabella2[Costo totale])</f>
        <v>36563.144137481482</v>
      </c>
      <c r="D15" s="599" t="s">
        <v>848</v>
      </c>
      <c r="E15" s="605"/>
      <c r="F15" s="606"/>
      <c r="H15" s="619">
        <f t="shared" ref="H15:H18" si="1">+C15/$M$7*H$7</f>
        <v>11885.469009532027</v>
      </c>
      <c r="J15" s="620">
        <f t="shared" ref="J15:J18" si="2">+C15/$M$7*J$7</f>
        <v>24677.675127949457</v>
      </c>
      <c r="K15" s="638"/>
    </row>
    <row r="16" spans="2:13" x14ac:dyDescent="0.15">
      <c r="B16" s="637" t="s">
        <v>421</v>
      </c>
      <c r="C16" s="598">
        <f>SUMIF(Tabella2[Funzioni],'Tab. 15'!$B16,Tabella2[Costo totale])</f>
        <v>79435.543209370371</v>
      </c>
      <c r="D16" s="599" t="s">
        <v>848</v>
      </c>
      <c r="E16" s="605"/>
      <c r="F16" s="606"/>
      <c r="H16" s="619">
        <f t="shared" si="1"/>
        <v>25821.868150077167</v>
      </c>
      <c r="J16" s="620">
        <f t="shared" si="2"/>
        <v>53613.6750592932</v>
      </c>
      <c r="K16" s="638"/>
    </row>
    <row r="17" spans="2:11" x14ac:dyDescent="0.15">
      <c r="B17" s="637" t="s">
        <v>426</v>
      </c>
      <c r="C17" s="598">
        <f>SUMIF(Tabella2[Funzioni],'Tab. 15'!$B17,Tabella2[Costo totale])</f>
        <v>39990.787047962964</v>
      </c>
      <c r="D17" s="599" t="s">
        <v>848</v>
      </c>
      <c r="E17" s="605"/>
      <c r="F17" s="606"/>
      <c r="H17" s="619">
        <f t="shared" si="1"/>
        <v>12999.68236697979</v>
      </c>
      <c r="J17" s="620">
        <f t="shared" si="2"/>
        <v>26991.104680983171</v>
      </c>
      <c r="K17" s="638"/>
    </row>
    <row r="18" spans="2:11" x14ac:dyDescent="0.15">
      <c r="B18" s="637" t="s">
        <v>664</v>
      </c>
      <c r="C18" s="598">
        <f>SUMIF(Tabella2[Funzioni],'Tab. 15'!$B18,Tabella2[Costo totale])</f>
        <v>26510.408470425922</v>
      </c>
      <c r="D18" s="599" t="s">
        <v>848</v>
      </c>
      <c r="E18" s="605"/>
      <c r="F18" s="606"/>
      <c r="H18" s="619">
        <f t="shared" si="1"/>
        <v>8617.6570898967093</v>
      </c>
      <c r="J18" s="620">
        <f t="shared" si="2"/>
        <v>17892.751380529211</v>
      </c>
      <c r="K18" s="638"/>
    </row>
    <row r="19" spans="2:11" s="600" customFormat="1" x14ac:dyDescent="0.15">
      <c r="B19" s="639" t="s">
        <v>845</v>
      </c>
      <c r="C19" s="601">
        <f>SUM(C11:C18)</f>
        <v>722509.39628035191</v>
      </c>
      <c r="D19" s="602"/>
      <c r="E19" s="621">
        <f t="shared" ref="E19:H19" si="3">SUM(E11:E18)</f>
        <v>0</v>
      </c>
      <c r="F19" s="622">
        <f t="shared" si="3"/>
        <v>0</v>
      </c>
      <c r="G19" s="655">
        <f t="shared" si="3"/>
        <v>131525.65674522222</v>
      </c>
      <c r="H19" s="656">
        <f t="shared" si="3"/>
        <v>216232.97507290376</v>
      </c>
      <c r="J19" s="621">
        <f t="shared" ref="J19" si="4">SUM(J11:J18)</f>
        <v>374750.76446222595</v>
      </c>
      <c r="K19" s="640">
        <f t="shared" ref="K19" si="5">SUM(K11:K18)</f>
        <v>0</v>
      </c>
    </row>
    <row r="20" spans="2:11" x14ac:dyDescent="0.15">
      <c r="B20" s="637"/>
      <c r="C20" s="603"/>
      <c r="D20" s="599"/>
      <c r="E20" s="605"/>
      <c r="F20" s="606"/>
      <c r="H20" s="606"/>
      <c r="J20" s="605"/>
      <c r="K20" s="638"/>
    </row>
    <row r="21" spans="2:11" x14ac:dyDescent="0.15">
      <c r="B21" s="637" t="s">
        <v>692</v>
      </c>
      <c r="C21" s="598">
        <f>+'All. 6'!C5</f>
        <v>125000</v>
      </c>
      <c r="D21" s="599" t="s">
        <v>849</v>
      </c>
      <c r="E21" s="605"/>
      <c r="F21" s="606"/>
      <c r="G21" s="623">
        <f>$C21/$M$9*G$9</f>
        <v>26315.78947368421</v>
      </c>
      <c r="H21" s="624">
        <f>$C21/$M$9*H$9</f>
        <v>65789.473684210519</v>
      </c>
      <c r="I21" s="623"/>
      <c r="J21" s="620"/>
      <c r="K21" s="641">
        <f>$C21/$M$9*K$9</f>
        <v>32894.73684210526</v>
      </c>
    </row>
    <row r="22" spans="2:11" x14ac:dyDescent="0.15">
      <c r="B22" s="637" t="s">
        <v>693</v>
      </c>
      <c r="C22" s="598">
        <f>+'All. 6'!C6</f>
        <v>150000</v>
      </c>
      <c r="D22" s="599" t="s">
        <v>849</v>
      </c>
      <c r="E22" s="605"/>
      <c r="F22" s="606"/>
      <c r="G22" s="623">
        <f>$C22/$M$9*G$9</f>
        <v>31578.94736842105</v>
      </c>
      <c r="H22" s="624">
        <f>$C22/$M$9*H$9</f>
        <v>78947.368421052626</v>
      </c>
      <c r="I22" s="623"/>
      <c r="J22" s="620"/>
      <c r="K22" s="641">
        <f>$C22/$M$9*K$9</f>
        <v>39473.684210526313</v>
      </c>
    </row>
    <row r="23" spans="2:11" x14ac:dyDescent="0.15">
      <c r="B23" s="637" t="s">
        <v>694</v>
      </c>
      <c r="C23" s="598">
        <f>+'All. 6'!C7</f>
        <v>860000</v>
      </c>
      <c r="D23" s="599" t="s">
        <v>850</v>
      </c>
      <c r="E23" s="605"/>
      <c r="F23" s="606"/>
      <c r="G23" s="623">
        <f>($C$23-$K$23)/SUM($G$9:$H$9)*G9</f>
        <v>160000</v>
      </c>
      <c r="H23" s="624">
        <f>($C$23-$K$23)/SUM($G$9:$H$9)*H9</f>
        <v>400000</v>
      </c>
      <c r="I23" s="623"/>
      <c r="J23" s="620"/>
      <c r="K23" s="641">
        <f>60*K9</f>
        <v>300000</v>
      </c>
    </row>
    <row r="24" spans="2:11" x14ac:dyDescent="0.15">
      <c r="B24" s="637" t="s">
        <v>695</v>
      </c>
      <c r="C24" s="598">
        <f>+'All. 6'!C8</f>
        <v>1151250</v>
      </c>
      <c r="D24" s="599" t="s">
        <v>851</v>
      </c>
      <c r="E24" s="620">
        <f>'All. 7'!I27</f>
        <v>851250</v>
      </c>
      <c r="F24" s="624">
        <f>+'All. 7'!I26</f>
        <v>300000</v>
      </c>
      <c r="G24" s="623"/>
      <c r="H24" s="624"/>
      <c r="I24" s="623"/>
      <c r="J24" s="620"/>
      <c r="K24" s="641"/>
    </row>
    <row r="25" spans="2:11" x14ac:dyDescent="0.15">
      <c r="B25" s="637" t="s">
        <v>696</v>
      </c>
      <c r="C25" s="598">
        <f>+'All. 6'!C9</f>
        <v>72500</v>
      </c>
      <c r="D25" s="599"/>
      <c r="E25" s="605"/>
      <c r="F25" s="606"/>
      <c r="G25" s="623">
        <f>+'All. 7'!M36-'Tab. 15'!E24-'Tab. 15'!F24</f>
        <v>72500</v>
      </c>
      <c r="H25" s="624"/>
      <c r="I25" s="623"/>
      <c r="J25" s="620"/>
      <c r="K25" s="641"/>
    </row>
    <row r="26" spans="2:11" x14ac:dyDescent="0.15">
      <c r="B26" s="637" t="s">
        <v>697</v>
      </c>
      <c r="C26" s="598">
        <f>+'All. 6'!C10</f>
        <v>484830</v>
      </c>
      <c r="D26" s="599" t="s">
        <v>852</v>
      </c>
      <c r="E26" s="620">
        <f>+'All. 6'!$C$41/$M$8*E8</f>
        <v>90000</v>
      </c>
      <c r="F26" s="624">
        <f>+'All. 6'!$C$41/$M$8*F8</f>
        <v>30000</v>
      </c>
      <c r="G26" s="623">
        <f>'All. 6'!C40</f>
        <v>5000</v>
      </c>
      <c r="H26" s="624"/>
      <c r="I26" s="623"/>
      <c r="J26" s="620">
        <f>'All. 6'!C42</f>
        <v>359830</v>
      </c>
      <c r="K26" s="641"/>
    </row>
    <row r="27" spans="2:11" x14ac:dyDescent="0.15">
      <c r="B27" s="637" t="s">
        <v>699</v>
      </c>
      <c r="C27" s="598">
        <f>+'All. 6'!C12</f>
        <v>48000</v>
      </c>
      <c r="D27" s="599" t="s">
        <v>852</v>
      </c>
      <c r="E27" s="620">
        <f>$C$27/$M$8*E8</f>
        <v>36000</v>
      </c>
      <c r="F27" s="624">
        <f>$C$27/$M$8*F8</f>
        <v>12000</v>
      </c>
      <c r="G27" s="623"/>
      <c r="H27" s="624"/>
      <c r="I27" s="623"/>
      <c r="J27" s="620"/>
      <c r="K27" s="641"/>
    </row>
    <row r="28" spans="2:11" x14ac:dyDescent="0.15">
      <c r="B28" s="639" t="s">
        <v>846</v>
      </c>
      <c r="C28" s="601">
        <f>SUM(C21:C27)</f>
        <v>2891580</v>
      </c>
      <c r="D28" s="599"/>
      <c r="E28" s="621">
        <f>SUM(E21:E27)</f>
        <v>977250</v>
      </c>
      <c r="F28" s="622">
        <f t="shared" ref="F28:H28" si="6">SUM(F21:F27)</f>
        <v>342000</v>
      </c>
      <c r="G28" s="659">
        <f t="shared" si="6"/>
        <v>295394.73684210528</v>
      </c>
      <c r="H28" s="660">
        <f t="shared" si="6"/>
        <v>544736.84210526315</v>
      </c>
      <c r="I28" s="600"/>
      <c r="J28" s="621">
        <f t="shared" ref="J28" si="7">SUM(J21:J27)</f>
        <v>359830</v>
      </c>
      <c r="K28" s="640">
        <f t="shared" ref="K28" si="8">SUM(K21:K27)</f>
        <v>372368.42105263157</v>
      </c>
    </row>
    <row r="29" spans="2:11" x14ac:dyDescent="0.15">
      <c r="B29" s="637"/>
      <c r="C29" s="597"/>
      <c r="D29" s="597"/>
      <c r="E29" s="605"/>
      <c r="F29" s="606"/>
      <c r="G29" s="623"/>
      <c r="H29" s="624"/>
      <c r="I29" s="623"/>
      <c r="J29" s="620"/>
      <c r="K29" s="641"/>
    </row>
    <row r="30" spans="2:11" ht="15" thickBot="1" x14ac:dyDescent="0.2">
      <c r="B30" s="642" t="s">
        <v>3</v>
      </c>
      <c r="C30" s="643">
        <f>C19+C28</f>
        <v>3614089.396280352</v>
      </c>
      <c r="D30" s="644"/>
      <c r="E30" s="651">
        <f>E19+E28</f>
        <v>977250</v>
      </c>
      <c r="F30" s="652">
        <f t="shared" ref="F30:K30" si="9">F19+F28</f>
        <v>342000</v>
      </c>
      <c r="G30" s="647">
        <f t="shared" si="9"/>
        <v>426920.3935873275</v>
      </c>
      <c r="H30" s="646">
        <f t="shared" si="9"/>
        <v>760969.81717816694</v>
      </c>
      <c r="I30" s="648"/>
      <c r="J30" s="645">
        <f t="shared" si="9"/>
        <v>734580.76446222595</v>
      </c>
      <c r="K30" s="649">
        <f t="shared" si="9"/>
        <v>372368.42105263157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8E6B-0574-6243-9BBE-308EECCDE9B1}">
  <sheetPr codeName="Foglio29"/>
  <dimension ref="B3:L48"/>
  <sheetViews>
    <sheetView showGridLines="0" topLeftCell="A20" zoomScale="200" zoomScaleNormal="200" workbookViewId="0">
      <selection activeCell="C35" sqref="C35:D35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3" spans="2:3" x14ac:dyDescent="0.2">
      <c r="B3" s="2" t="s">
        <v>841</v>
      </c>
    </row>
    <row r="5" spans="2:3" x14ac:dyDescent="0.2">
      <c r="B5" s="572"/>
      <c r="C5" s="574" t="s">
        <v>196</v>
      </c>
    </row>
    <row r="6" spans="2:3" x14ac:dyDescent="0.2">
      <c r="B6" s="519"/>
      <c r="C6" s="495" t="s">
        <v>822</v>
      </c>
    </row>
    <row r="7" spans="2:3" x14ac:dyDescent="0.2">
      <c r="B7" s="573" t="s">
        <v>189</v>
      </c>
      <c r="C7" s="497"/>
    </row>
    <row r="8" spans="2:3" x14ac:dyDescent="0.2">
      <c r="B8" s="519" t="s">
        <v>76</v>
      </c>
      <c r="C8" s="575">
        <f>'Tab. 6'!F8</f>
        <v>108.74965</v>
      </c>
    </row>
    <row r="9" spans="2:3" x14ac:dyDescent="0.2">
      <c r="B9" s="519" t="s">
        <v>861</v>
      </c>
      <c r="C9" s="575">
        <f>'All. 8'!C10*'Tab. 16'!C23+'All. 8'!D10*'Tab. 16'!C37</f>
        <v>4.6775891992374667</v>
      </c>
    </row>
    <row r="10" spans="2:3" x14ac:dyDescent="0.2">
      <c r="B10" s="576" t="s">
        <v>3</v>
      </c>
      <c r="C10" s="577">
        <f>SUM(C8:C9)</f>
        <v>113.42723919923748</v>
      </c>
    </row>
    <row r="11" spans="2:3" x14ac:dyDescent="0.2">
      <c r="B11" s="573" t="s">
        <v>190</v>
      </c>
      <c r="C11" s="497"/>
    </row>
    <row r="12" spans="2:3" x14ac:dyDescent="0.2">
      <c r="B12" s="519" t="s">
        <v>76</v>
      </c>
      <c r="C12" s="575">
        <f>'Tab. 6'!F17</f>
        <v>189</v>
      </c>
    </row>
    <row r="13" spans="2:3" x14ac:dyDescent="0.2">
      <c r="B13" s="519" t="s">
        <v>861</v>
      </c>
      <c r="C13" s="575">
        <f>'All. 8'!C17*'Tab. 16'!D23+'All. 8'!D17*'Tab. 16'!D37</f>
        <v>8.6470101470855205</v>
      </c>
    </row>
    <row r="14" spans="2:3" x14ac:dyDescent="0.2">
      <c r="B14" s="576" t="s">
        <v>3</v>
      </c>
      <c r="C14" s="577">
        <f>SUM(C12:C13)</f>
        <v>197.64701014708552</v>
      </c>
    </row>
    <row r="17" spans="2:12" ht="15" thickBot="1" x14ac:dyDescent="0.25">
      <c r="D17" s="771"/>
    </row>
    <row r="18" spans="2:12" ht="15" thickBot="1" x14ac:dyDescent="0.25">
      <c r="B18" s="588" t="s">
        <v>830</v>
      </c>
      <c r="C18" s="589"/>
      <c r="D18" s="589"/>
      <c r="E18" s="590"/>
    </row>
    <row r="19" spans="2:12" x14ac:dyDescent="0.2">
      <c r="B19" s="591"/>
      <c r="C19" s="592" t="s">
        <v>790</v>
      </c>
      <c r="D19" s="592" t="s">
        <v>791</v>
      </c>
      <c r="E19" s="593" t="s">
        <v>179</v>
      </c>
    </row>
    <row r="20" spans="2:12" x14ac:dyDescent="0.2">
      <c r="B20" s="478" t="s">
        <v>824</v>
      </c>
      <c r="C20" s="578">
        <f>+'Tab. 12'!O17</f>
        <v>173264.00000000003</v>
      </c>
      <c r="D20" s="578">
        <f>+'Tab. 12'!O47</f>
        <v>19448</v>
      </c>
      <c r="E20" s="579">
        <f>SUM(C20:D20)</f>
        <v>192712.00000000003</v>
      </c>
    </row>
    <row r="21" spans="2:12" x14ac:dyDescent="0.2">
      <c r="B21" s="478" t="s">
        <v>831</v>
      </c>
      <c r="C21" s="484">
        <f>SUMIF(Tabella2[linea],'Tab. 16'!C$19,Tabella2[Costo totale])</f>
        <v>2327867.9765589996</v>
      </c>
      <c r="D21" s="484">
        <f>SUMIF(Tabella2[linea],'Tab. 16'!D$19,Tabella2[Costo totale])</f>
        <v>249539.0459073518</v>
      </c>
      <c r="E21" s="479">
        <f>SUM(C21:D21)</f>
        <v>2577407.0224663513</v>
      </c>
      <c r="F21" s="771"/>
      <c r="G21" s="499"/>
    </row>
    <row r="22" spans="2:12" x14ac:dyDescent="0.2">
      <c r="B22" s="478" t="s">
        <v>837</v>
      </c>
      <c r="C22" s="585">
        <f>C21/C20</f>
        <v>13.435381709755051</v>
      </c>
      <c r="D22" s="585">
        <f t="shared" ref="D22" si="0">D21/D20</f>
        <v>12.831090390135325</v>
      </c>
      <c r="E22" s="586"/>
    </row>
    <row r="23" spans="2:12" x14ac:dyDescent="0.2">
      <c r="B23" s="478" t="s">
        <v>838</v>
      </c>
      <c r="C23" s="584">
        <f>C21/(C20*60)</f>
        <v>0.22392302849591753</v>
      </c>
      <c r="D23" s="584">
        <f t="shared" ref="D23" si="1">D21/(D20*60)</f>
        <v>0.21385150650225543</v>
      </c>
      <c r="E23" s="587"/>
    </row>
    <row r="24" spans="2:12" x14ac:dyDescent="0.2">
      <c r="B24" s="478"/>
      <c r="E24" s="506"/>
    </row>
    <row r="25" spans="2:12" x14ac:dyDescent="0.2">
      <c r="B25" s="478" t="s">
        <v>832</v>
      </c>
      <c r="C25" s="578">
        <f>'Tab. 12'!O9</f>
        <v>666082.12060847704</v>
      </c>
      <c r="D25" s="578">
        <f>'Tab. 12'!O52</f>
        <v>42358.37112548334</v>
      </c>
      <c r="E25" s="579">
        <f t="shared" ref="E25:E26" si="2">SUM(C25:D25)</f>
        <v>708440.49173396034</v>
      </c>
      <c r="F25" s="421"/>
      <c r="G25" s="584"/>
    </row>
    <row r="26" spans="2:12" x14ac:dyDescent="0.2">
      <c r="B26" s="478" t="s">
        <v>1364</v>
      </c>
      <c r="C26" s="578">
        <f>'Tab. 12'!O23</f>
        <v>166520.53015211926</v>
      </c>
      <c r="D26" s="578">
        <f>'Tab. 12'!O53</f>
        <v>16943.348450193342</v>
      </c>
      <c r="E26" s="579">
        <f t="shared" si="2"/>
        <v>183463.87860231259</v>
      </c>
      <c r="G26" s="771"/>
    </row>
    <row r="27" spans="2:12" x14ac:dyDescent="0.2">
      <c r="B27" s="478" t="s">
        <v>1365</v>
      </c>
      <c r="C27" s="578">
        <f>+'Tab. 12'!O26</f>
        <v>283.00044968732618</v>
      </c>
      <c r="D27" s="578">
        <f>+'Tab. 12'!O56</f>
        <v>0</v>
      </c>
      <c r="E27" s="579"/>
      <c r="G27" s="771"/>
    </row>
    <row r="28" spans="2:12" x14ac:dyDescent="0.2">
      <c r="B28" s="478"/>
      <c r="E28" s="506"/>
      <c r="F28" s="584"/>
    </row>
    <row r="29" spans="2:12" ht="15" thickBot="1" x14ac:dyDescent="0.25">
      <c r="B29" s="478" t="s">
        <v>833</v>
      </c>
      <c r="C29" s="484">
        <f>C22*C26</f>
        <v>2237266.8851044974</v>
      </c>
      <c r="D29" s="484">
        <f>D22*D26</f>
        <v>217401.63547599004</v>
      </c>
      <c r="E29" s="479">
        <f t="shared" ref="E29:E30" si="3">SUM(C29:D29)</f>
        <v>2454668.5205804873</v>
      </c>
      <c r="G29" s="499"/>
      <c r="H29" s="499"/>
      <c r="I29" s="499"/>
      <c r="K29" s="499"/>
      <c r="L29" s="499"/>
    </row>
    <row r="30" spans="2:12" ht="15" thickBot="1" x14ac:dyDescent="0.25">
      <c r="B30" s="581" t="s">
        <v>834</v>
      </c>
      <c r="C30" s="510">
        <f>C22*(C20-C26+C27)</f>
        <v>94403.310520083527</v>
      </c>
      <c r="D30" s="510">
        <f>D22*(D20-D26+D27)</f>
        <v>32137.410431361761</v>
      </c>
      <c r="E30" s="513">
        <f t="shared" si="3"/>
        <v>126540.72095144528</v>
      </c>
      <c r="F30" s="996">
        <f>SUM(E29:E30)</f>
        <v>2581209.2415319327</v>
      </c>
      <c r="G30" s="499"/>
      <c r="H30" s="499"/>
      <c r="I30" s="499"/>
    </row>
    <row r="31" spans="2:12" ht="15" thickBot="1" x14ac:dyDescent="0.25"/>
    <row r="32" spans="2:12" ht="15" thickBot="1" x14ac:dyDescent="0.25">
      <c r="B32" s="588" t="s">
        <v>835</v>
      </c>
      <c r="C32" s="589"/>
      <c r="D32" s="589"/>
      <c r="E32" s="590"/>
    </row>
    <row r="33" spans="2:9" x14ac:dyDescent="0.2">
      <c r="B33" s="591"/>
      <c r="C33" s="592" t="s">
        <v>790</v>
      </c>
      <c r="D33" s="592" t="s">
        <v>791</v>
      </c>
      <c r="E33" s="593" t="s">
        <v>179</v>
      </c>
    </row>
    <row r="34" spans="2:9" x14ac:dyDescent="0.2">
      <c r="B34" s="478" t="s">
        <v>824</v>
      </c>
      <c r="C34" s="578">
        <f>'Tab. 13'!O26</f>
        <v>16056</v>
      </c>
      <c r="D34" s="578">
        <f>+'Tab. 13'!O48</f>
        <v>3568</v>
      </c>
      <c r="E34" s="579">
        <f>SUM(C34:D34)</f>
        <v>19624</v>
      </c>
    </row>
    <row r="35" spans="2:9" x14ac:dyDescent="0.2">
      <c r="B35" s="478" t="s">
        <v>836</v>
      </c>
      <c r="C35" s="653">
        <f>'Tab. 15'!E30</f>
        <v>977250</v>
      </c>
      <c r="D35" s="653">
        <f>'Tab. 15'!F30</f>
        <v>342000</v>
      </c>
      <c r="E35" s="654">
        <f>SUM(C35:D35)</f>
        <v>1319250</v>
      </c>
    </row>
    <row r="36" spans="2:9" x14ac:dyDescent="0.2">
      <c r="B36" s="478" t="s">
        <v>840</v>
      </c>
      <c r="C36" s="585">
        <f>C35/C34</f>
        <v>60.865097159940213</v>
      </c>
      <c r="D36" s="585">
        <f t="shared" ref="D36" si="4">D35/D34</f>
        <v>95.852017937219728</v>
      </c>
      <c r="E36" s="586"/>
    </row>
    <row r="37" spans="2:9" x14ac:dyDescent="0.2">
      <c r="B37" s="478" t="s">
        <v>839</v>
      </c>
      <c r="C37" s="584">
        <f>C35/(C34*60)</f>
        <v>1.0144182859990034</v>
      </c>
      <c r="D37" s="584">
        <f t="shared" ref="D37" si="5">D35/(D34*60)</f>
        <v>1.5975336322869955</v>
      </c>
      <c r="E37" s="587"/>
    </row>
    <row r="38" spans="2:9" x14ac:dyDescent="0.2">
      <c r="B38" s="478"/>
      <c r="E38" s="506"/>
    </row>
    <row r="39" spans="2:9" x14ac:dyDescent="0.2">
      <c r="B39" s="478" t="s">
        <v>832</v>
      </c>
      <c r="C39" s="578">
        <f>+C25</f>
        <v>666082.12060847704</v>
      </c>
      <c r="D39" s="578">
        <f>+D25</f>
        <v>42358.37112548334</v>
      </c>
      <c r="E39" s="579">
        <f t="shared" ref="E39:E40" si="6">SUM(C39:D39)</f>
        <v>708440.49173396034</v>
      </c>
    </row>
    <row r="40" spans="2:9" x14ac:dyDescent="0.2">
      <c r="B40" s="478" t="s">
        <v>801</v>
      </c>
      <c r="C40" s="578">
        <f>+'Tab. 13'!O22</f>
        <v>14431.779279850338</v>
      </c>
      <c r="D40" s="578">
        <f>+'Tab. 13'!O44</f>
        <v>1553.1402746010565</v>
      </c>
      <c r="E40" s="579">
        <f t="shared" si="6"/>
        <v>15984.919554451395</v>
      </c>
    </row>
    <row r="41" spans="2:9" x14ac:dyDescent="0.2">
      <c r="B41" s="478"/>
      <c r="E41" s="506"/>
    </row>
    <row r="42" spans="2:9" ht="15" thickBot="1" x14ac:dyDescent="0.25">
      <c r="B42" s="478" t="s">
        <v>843</v>
      </c>
      <c r="C42" s="484">
        <f>C36*C40</f>
        <v>878391.64805890282</v>
      </c>
      <c r="D42" s="484">
        <f>D36*D40</f>
        <v>148871.62946007884</v>
      </c>
      <c r="E42" s="479">
        <f t="shared" ref="E42:E43" si="7">SUM(C42:D42)</f>
        <v>1027263.2775189816</v>
      </c>
      <c r="G42" s="499"/>
      <c r="H42" s="499"/>
      <c r="I42" s="499"/>
    </row>
    <row r="43" spans="2:9" ht="15" thickBot="1" x14ac:dyDescent="0.25">
      <c r="B43" s="581" t="s">
        <v>844</v>
      </c>
      <c r="C43" s="510">
        <f>C36*(C34-C40)</f>
        <v>98858.351941097251</v>
      </c>
      <c r="D43" s="510">
        <f>D36*(D34-D40)</f>
        <v>193128.37053992116</v>
      </c>
      <c r="E43" s="513">
        <f t="shared" si="7"/>
        <v>291986.7224810184</v>
      </c>
      <c r="F43" s="996">
        <f>SUM(E42:E43)</f>
        <v>1319250</v>
      </c>
      <c r="G43" s="499"/>
      <c r="H43" s="499"/>
      <c r="I43" s="499"/>
    </row>
    <row r="44" spans="2:9" ht="15" thickBot="1" x14ac:dyDescent="0.25"/>
    <row r="45" spans="2:9" ht="15" thickBot="1" x14ac:dyDescent="0.25">
      <c r="B45" s="663" t="s">
        <v>869</v>
      </c>
      <c r="C45" s="664">
        <f>+C30+C43</f>
        <v>193261.66246118076</v>
      </c>
      <c r="D45" s="664">
        <f t="shared" ref="D45:E45" si="8">+D30+D43</f>
        <v>225265.78097128292</v>
      </c>
      <c r="E45" s="665">
        <f t="shared" si="8"/>
        <v>418527.44343246368</v>
      </c>
    </row>
    <row r="47" spans="2:9" x14ac:dyDescent="0.2">
      <c r="E47" s="772"/>
    </row>
    <row r="48" spans="2:9" x14ac:dyDescent="0.2">
      <c r="E48" s="7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 codeName="Foglio3">
    <pageSetUpPr fitToPage="1"/>
  </sheetPr>
  <dimension ref="B1:S34"/>
  <sheetViews>
    <sheetView showGridLines="0" topLeftCell="A17" zoomScale="189" zoomScaleNormal="180" workbookViewId="0">
      <selection activeCell="C15" sqref="C15"/>
    </sheetView>
  </sheetViews>
  <sheetFormatPr baseColWidth="10" defaultRowHeight="16" x14ac:dyDescent="0.2"/>
  <cols>
    <col min="1" max="1" width="2" style="3" customWidth="1"/>
    <col min="2" max="2" width="18.83203125" style="3" customWidth="1"/>
    <col min="3" max="3" width="8.1640625" style="3" customWidth="1"/>
    <col min="4" max="4" width="7.5" style="3" customWidth="1"/>
    <col min="5" max="5" width="13.5" style="3" customWidth="1"/>
    <col min="6" max="6" width="7.83203125" style="3" bestFit="1" customWidth="1"/>
    <col min="7" max="7" width="7.5" style="3" customWidth="1"/>
    <col min="8" max="8" width="13.6640625" style="3" customWidth="1"/>
    <col min="9" max="10" width="7.5" style="3" customWidth="1"/>
    <col min="11" max="11" width="13.83203125" style="3" customWidth="1"/>
    <col min="12" max="12" width="11.33203125" style="3" customWidth="1"/>
    <col min="13" max="13" width="7.5" style="3" customWidth="1"/>
    <col min="14" max="14" width="14.5" style="3" customWidth="1"/>
    <col min="15" max="15" width="5" style="3" customWidth="1"/>
    <col min="16" max="19" width="8.1640625" style="3" customWidth="1"/>
    <col min="20" max="16384" width="10.83203125" style="3"/>
  </cols>
  <sheetData>
    <row r="1" spans="2:19" x14ac:dyDescent="0.2">
      <c r="B1" s="91" t="s">
        <v>226</v>
      </c>
    </row>
    <row r="2" spans="2:19" ht="17" thickBot="1" x14ac:dyDescent="0.25"/>
    <row r="3" spans="2:19" x14ac:dyDescent="0.2">
      <c r="B3" s="1053"/>
      <c r="C3" s="1057" t="s">
        <v>170</v>
      </c>
      <c r="D3" s="1051"/>
      <c r="E3" s="1051"/>
      <c r="F3" s="1051"/>
      <c r="G3" s="1051"/>
      <c r="H3" s="1051"/>
      <c r="I3" s="1051"/>
      <c r="J3" s="1051"/>
      <c r="K3" s="1051"/>
      <c r="L3" s="1051"/>
      <c r="M3" s="1051"/>
      <c r="N3" s="1052"/>
      <c r="P3" s="1050" t="s">
        <v>195</v>
      </c>
      <c r="Q3" s="1051"/>
      <c r="R3" s="1051"/>
      <c r="S3" s="1052"/>
    </row>
    <row r="4" spans="2:19" x14ac:dyDescent="0.2">
      <c r="B4" s="1054"/>
      <c r="C4" s="1046" t="s">
        <v>192</v>
      </c>
      <c r="D4" s="1047"/>
      <c r="E4" s="1048"/>
      <c r="F4" s="1046" t="s">
        <v>193</v>
      </c>
      <c r="G4" s="1047"/>
      <c r="H4" s="1048"/>
      <c r="I4" s="1046" t="s">
        <v>194</v>
      </c>
      <c r="J4" s="1047"/>
      <c r="K4" s="1048"/>
      <c r="L4" s="1046" t="s">
        <v>3</v>
      </c>
      <c r="M4" s="1047"/>
      <c r="N4" s="1049"/>
      <c r="P4" s="141" t="s">
        <v>187</v>
      </c>
      <c r="Q4" s="142" t="s">
        <v>188</v>
      </c>
      <c r="R4" s="142" t="s">
        <v>168</v>
      </c>
      <c r="S4" s="293" t="s">
        <v>179</v>
      </c>
    </row>
    <row r="5" spans="2:19" x14ac:dyDescent="0.2">
      <c r="B5" s="1055"/>
      <c r="C5" s="278" t="s">
        <v>191</v>
      </c>
      <c r="D5" s="279" t="s">
        <v>9</v>
      </c>
      <c r="E5" s="280" t="s">
        <v>40</v>
      </c>
      <c r="F5" s="278" t="s">
        <v>191</v>
      </c>
      <c r="G5" s="279" t="s">
        <v>9</v>
      </c>
      <c r="H5" s="280" t="s">
        <v>40</v>
      </c>
      <c r="I5" s="278" t="s">
        <v>191</v>
      </c>
      <c r="J5" s="279" t="s">
        <v>9</v>
      </c>
      <c r="K5" s="280" t="s">
        <v>40</v>
      </c>
      <c r="L5" s="278" t="s">
        <v>191</v>
      </c>
      <c r="M5" s="279" t="s">
        <v>9</v>
      </c>
      <c r="N5" s="284" t="s">
        <v>40</v>
      </c>
      <c r="P5" s="141" t="s">
        <v>40</v>
      </c>
      <c r="Q5" s="142" t="s">
        <v>40</v>
      </c>
      <c r="R5" s="142" t="s">
        <v>40</v>
      </c>
      <c r="S5" s="293" t="s">
        <v>40</v>
      </c>
    </row>
    <row r="6" spans="2:19" x14ac:dyDescent="0.2">
      <c r="B6" s="285" t="s">
        <v>189</v>
      </c>
      <c r="C6" s="281">
        <f>+E6/D6</f>
        <v>151632.33333333334</v>
      </c>
      <c r="D6" s="282">
        <f>+'Tab 0'!$B33</f>
        <v>180</v>
      </c>
      <c r="E6" s="283">
        <f>+E$8*P6</f>
        <v>27293820</v>
      </c>
      <c r="F6" s="281">
        <f>+H6/G6</f>
        <v>441371.11111111112</v>
      </c>
      <c r="G6" s="282">
        <f>+'Tab 0'!$B33</f>
        <v>180</v>
      </c>
      <c r="H6" s="283">
        <f>+H$8*Q6</f>
        <v>79446800</v>
      </c>
      <c r="I6" s="281">
        <f>+K6/J6</f>
        <v>5125.6000000000004</v>
      </c>
      <c r="J6" s="282">
        <f>+'Tab 0'!$B33</f>
        <v>180</v>
      </c>
      <c r="K6" s="283">
        <f>+K$8*R6</f>
        <v>922608</v>
      </c>
      <c r="L6" s="281">
        <f t="shared" ref="L6:N7" si="0">+C6+F6+I6</f>
        <v>598129.04444444447</v>
      </c>
      <c r="M6" s="282">
        <f>+N6/L6</f>
        <v>180</v>
      </c>
      <c r="N6" s="286">
        <f t="shared" si="0"/>
        <v>107663228</v>
      </c>
      <c r="P6" s="300">
        <f>+'Tab 0'!B37</f>
        <v>0.71</v>
      </c>
      <c r="Q6" s="297">
        <f>+'Tab 0'!C37</f>
        <v>1</v>
      </c>
      <c r="R6" s="297">
        <f>+'Tab 0'!D37</f>
        <v>0.09</v>
      </c>
      <c r="S6" s="294">
        <f>N6/N$8</f>
        <v>0.84019999999999995</v>
      </c>
    </row>
    <row r="7" spans="2:19" x14ac:dyDescent="0.2">
      <c r="B7" s="95" t="s">
        <v>190</v>
      </c>
      <c r="C7" s="34">
        <f>+E7/D7</f>
        <v>22296.360000000004</v>
      </c>
      <c r="D7" s="100">
        <f>+'Tab 0'!$B34</f>
        <v>500</v>
      </c>
      <c r="E7" s="62">
        <f>+E$8*P7</f>
        <v>11148180.000000002</v>
      </c>
      <c r="F7" s="34">
        <f>+H7/G7</f>
        <v>0</v>
      </c>
      <c r="G7" s="100">
        <f>+'Tab 0'!$B34</f>
        <v>500</v>
      </c>
      <c r="H7" s="62">
        <f>+H$8*Q7</f>
        <v>0</v>
      </c>
      <c r="I7" s="34">
        <f>+K7/J7</f>
        <v>18657.184000000001</v>
      </c>
      <c r="J7" s="100">
        <f>+'Tab 0'!$B34</f>
        <v>500</v>
      </c>
      <c r="K7" s="62">
        <f>+K$8*R7</f>
        <v>9328592</v>
      </c>
      <c r="L7" s="34">
        <f t="shared" si="0"/>
        <v>40953.544000000009</v>
      </c>
      <c r="M7" s="100">
        <f>+N7/L7</f>
        <v>499.99999999999989</v>
      </c>
      <c r="N7" s="287">
        <f t="shared" si="0"/>
        <v>20476772</v>
      </c>
      <c r="P7" s="300">
        <f>+'Tab 0'!B38</f>
        <v>0.29000000000000004</v>
      </c>
      <c r="Q7" s="297">
        <f>+'Tab 0'!C38</f>
        <v>0</v>
      </c>
      <c r="R7" s="297">
        <f>+'Tab 0'!D38</f>
        <v>0.91</v>
      </c>
      <c r="S7" s="294">
        <f>N7/N$8</f>
        <v>0.1598</v>
      </c>
    </row>
    <row r="8" spans="2:19" ht="17" thickBot="1" x14ac:dyDescent="0.25">
      <c r="B8" s="288" t="s">
        <v>3</v>
      </c>
      <c r="C8" s="289"/>
      <c r="D8" s="290"/>
      <c r="E8" s="291">
        <f>+'Tab 1'!C11</f>
        <v>38442000</v>
      </c>
      <c r="F8" s="289"/>
      <c r="G8" s="290"/>
      <c r="H8" s="291">
        <f>+'Tab 1'!D11</f>
        <v>79446800</v>
      </c>
      <c r="I8" s="289"/>
      <c r="J8" s="290"/>
      <c r="K8" s="291">
        <f>+'Tab 1'!E11</f>
        <v>10251200</v>
      </c>
      <c r="L8" s="289"/>
      <c r="M8" s="290"/>
      <c r="N8" s="292">
        <f>+E8+H8+K8</f>
        <v>128140000</v>
      </c>
      <c r="P8" s="299"/>
      <c r="Q8" s="295"/>
      <c r="R8" s="295"/>
      <c r="S8" s="296"/>
    </row>
    <row r="10" spans="2:19" ht="17" thickBot="1" x14ac:dyDescent="0.25"/>
    <row r="11" spans="2:19" x14ac:dyDescent="0.2">
      <c r="B11" s="1053"/>
      <c r="C11" s="1056" t="s">
        <v>196</v>
      </c>
      <c r="D11" s="1044"/>
      <c r="E11" s="1044"/>
      <c r="F11" s="1044"/>
      <c r="G11" s="1044"/>
      <c r="H11" s="1044"/>
      <c r="I11" s="1044"/>
      <c r="J11" s="1044"/>
      <c r="K11" s="1044"/>
      <c r="L11" s="1044"/>
      <c r="M11" s="1044"/>
      <c r="N11" s="1045"/>
      <c r="P11" s="1043" t="s">
        <v>195</v>
      </c>
      <c r="Q11" s="1044"/>
      <c r="R11" s="1044"/>
      <c r="S11" s="1045"/>
    </row>
    <row r="12" spans="2:19" x14ac:dyDescent="0.2">
      <c r="B12" s="1054"/>
      <c r="C12" s="1046" t="s">
        <v>192</v>
      </c>
      <c r="D12" s="1047"/>
      <c r="E12" s="1048"/>
      <c r="F12" s="1046" t="s">
        <v>193</v>
      </c>
      <c r="G12" s="1047"/>
      <c r="H12" s="1048"/>
      <c r="I12" s="1046" t="s">
        <v>194</v>
      </c>
      <c r="J12" s="1047"/>
      <c r="K12" s="1048"/>
      <c r="L12" s="1046" t="s">
        <v>3</v>
      </c>
      <c r="M12" s="1047"/>
      <c r="N12" s="1049"/>
      <c r="P12" s="141" t="s">
        <v>187</v>
      </c>
      <c r="Q12" s="142" t="s">
        <v>188</v>
      </c>
      <c r="R12" s="142" t="s">
        <v>168</v>
      </c>
      <c r="S12" s="293" t="s">
        <v>179</v>
      </c>
    </row>
    <row r="13" spans="2:19" x14ac:dyDescent="0.2">
      <c r="B13" s="1055"/>
      <c r="C13" s="278" t="s">
        <v>191</v>
      </c>
      <c r="D13" s="279" t="s">
        <v>9</v>
      </c>
      <c r="E13" s="280" t="s">
        <v>40</v>
      </c>
      <c r="F13" s="278" t="s">
        <v>191</v>
      </c>
      <c r="G13" s="279" t="s">
        <v>9</v>
      </c>
      <c r="H13" s="280" t="s">
        <v>40</v>
      </c>
      <c r="I13" s="278" t="s">
        <v>191</v>
      </c>
      <c r="J13" s="279" t="s">
        <v>9</v>
      </c>
      <c r="K13" s="280" t="s">
        <v>40</v>
      </c>
      <c r="L13" s="278" t="s">
        <v>191</v>
      </c>
      <c r="M13" s="279" t="s">
        <v>9</v>
      </c>
      <c r="N13" s="284" t="s">
        <v>40</v>
      </c>
      <c r="P13" s="141" t="s">
        <v>40</v>
      </c>
      <c r="Q13" s="142" t="s">
        <v>40</v>
      </c>
      <c r="R13" s="142" t="s">
        <v>40</v>
      </c>
      <c r="S13" s="293" t="s">
        <v>40</v>
      </c>
    </row>
    <row r="14" spans="2:19" x14ac:dyDescent="0.2">
      <c r="B14" s="285" t="s">
        <v>189</v>
      </c>
      <c r="C14" s="281">
        <f>+E14/D14</f>
        <v>246271.12927419352</v>
      </c>
      <c r="D14" s="282">
        <f>+D6</f>
        <v>180</v>
      </c>
      <c r="E14" s="283">
        <f>+E$16*P14</f>
        <v>44328803.269354835</v>
      </c>
      <c r="F14" s="281">
        <f>+H14/G14</f>
        <v>432543.68888888886</v>
      </c>
      <c r="G14" s="282">
        <f>+G6</f>
        <v>180</v>
      </c>
      <c r="H14" s="283">
        <f>+H$16*Q14</f>
        <v>77857864</v>
      </c>
      <c r="I14" s="281">
        <f>+K14/J14</f>
        <v>3833.3333333333367</v>
      </c>
      <c r="J14" s="282">
        <f>+J6</f>
        <v>180</v>
      </c>
      <c r="K14" s="283">
        <f>+K$16*R14</f>
        <v>690000.00000000058</v>
      </c>
      <c r="L14" s="281">
        <f t="shared" ref="L14:L15" si="1">+C14+F14+I14</f>
        <v>682648.15149641572</v>
      </c>
      <c r="M14" s="282">
        <f>+N14/L14</f>
        <v>180</v>
      </c>
      <c r="N14" s="286">
        <f t="shared" ref="N14:N15" si="2">+E14+H14+K14</f>
        <v>122876667.26935484</v>
      </c>
      <c r="P14" s="301">
        <v>0.85</v>
      </c>
      <c r="Q14" s="297">
        <f>+Q6</f>
        <v>1</v>
      </c>
      <c r="R14" s="297">
        <f>1-R15</f>
        <v>5.0000000000000044E-2</v>
      </c>
      <c r="S14" s="294">
        <f>N14/N$8</f>
        <v>0.95892513867141282</v>
      </c>
    </row>
    <row r="15" spans="2:19" x14ac:dyDescent="0.2">
      <c r="B15" s="95" t="s">
        <v>190</v>
      </c>
      <c r="C15" s="34">
        <f>+E15/D15</f>
        <v>15645.459977419358</v>
      </c>
      <c r="D15" s="100">
        <f>+D7</f>
        <v>500</v>
      </c>
      <c r="E15" s="62">
        <f>+E$16*P15</f>
        <v>7822729.9887096789</v>
      </c>
      <c r="F15" s="34">
        <f>+H15/G15</f>
        <v>0</v>
      </c>
      <c r="G15" s="100">
        <f>+G7</f>
        <v>500</v>
      </c>
      <c r="H15" s="62">
        <f>+H$16*Q15</f>
        <v>0</v>
      </c>
      <c r="I15" s="34">
        <f>+K15/J15</f>
        <v>26220</v>
      </c>
      <c r="J15" s="100">
        <f>+J7</f>
        <v>500</v>
      </c>
      <c r="K15" s="62">
        <f>+K$16*R15</f>
        <v>13110000</v>
      </c>
      <c r="L15" s="34">
        <f t="shared" si="1"/>
        <v>41865.459977419356</v>
      </c>
      <c r="M15" s="100">
        <f>+N15/L15</f>
        <v>500.00000000000006</v>
      </c>
      <c r="N15" s="287">
        <f t="shared" si="2"/>
        <v>20932729.988709681</v>
      </c>
      <c r="P15" s="300">
        <f>1-P14</f>
        <v>0.15000000000000002</v>
      </c>
      <c r="Q15" s="297">
        <f>+Q7</f>
        <v>0</v>
      </c>
      <c r="R15" s="298">
        <v>0.95</v>
      </c>
      <c r="S15" s="294">
        <f>N15/N$8</f>
        <v>0.16335827991813393</v>
      </c>
    </row>
    <row r="16" spans="2:19" ht="17" thickBot="1" x14ac:dyDescent="0.25">
      <c r="B16" s="288" t="s">
        <v>3</v>
      </c>
      <c r="C16" s="289"/>
      <c r="D16" s="290"/>
      <c r="E16" s="291">
        <f>+'Tab 1'!G11</f>
        <v>52151533.258064516</v>
      </c>
      <c r="F16" s="289"/>
      <c r="G16" s="290"/>
      <c r="H16" s="291">
        <f>+'Tab 1'!H11</f>
        <v>77857864</v>
      </c>
      <c r="I16" s="289"/>
      <c r="J16" s="290"/>
      <c r="K16" s="291">
        <f>+'Tab 1'!I11</f>
        <v>13800000</v>
      </c>
      <c r="L16" s="289"/>
      <c r="M16" s="290"/>
      <c r="N16" s="292">
        <f>+E16+H16+K16</f>
        <v>143809397.25806451</v>
      </c>
      <c r="P16" s="299"/>
      <c r="Q16" s="295"/>
      <c r="R16" s="295"/>
      <c r="S16" s="296"/>
    </row>
    <row r="18" spans="2:19" x14ac:dyDescent="0.2">
      <c r="B18" s="3" t="s">
        <v>189</v>
      </c>
    </row>
    <row r="19" spans="2:19" x14ac:dyDescent="0.2">
      <c r="B19" s="3" t="s">
        <v>1009</v>
      </c>
      <c r="E19" s="73">
        <f>+E14-E20</f>
        <v>44138803.269354835</v>
      </c>
    </row>
    <row r="20" spans="2:19" x14ac:dyDescent="0.2">
      <c r="B20" s="3" t="s">
        <v>1010</v>
      </c>
      <c r="E20" s="54">
        <f>'Tab. 18'!I132</f>
        <v>190000</v>
      </c>
    </row>
    <row r="21" spans="2:19" x14ac:dyDescent="0.2">
      <c r="B21" s="3" t="s">
        <v>1011</v>
      </c>
      <c r="E21" s="104">
        <f>IFERROR((E19-E6)/E6,0)</f>
        <v>0.61717206566742344</v>
      </c>
      <c r="H21" s="104">
        <f>IFERROR((H14-H6)/H6,0)</f>
        <v>-0.02</v>
      </c>
      <c r="K21" s="104">
        <f>IFERROR((K14-K6)/K6,0)</f>
        <v>-0.25212007699911493</v>
      </c>
      <c r="N21" s="104">
        <f>IFERROR((N14-N6)/N6,0)</f>
        <v>0.14130580655964389</v>
      </c>
    </row>
    <row r="22" spans="2:19" x14ac:dyDescent="0.2">
      <c r="E22" s="104"/>
      <c r="H22" s="104"/>
      <c r="K22" s="104"/>
      <c r="N22" s="104"/>
    </row>
    <row r="23" spans="2:19" x14ac:dyDescent="0.2">
      <c r="B23" s="3" t="s">
        <v>190</v>
      </c>
      <c r="E23" s="104"/>
      <c r="H23" s="104"/>
      <c r="K23" s="104"/>
      <c r="N23" s="104"/>
    </row>
    <row r="24" spans="2:19" x14ac:dyDescent="0.2">
      <c r="B24" s="3" t="s">
        <v>1009</v>
      </c>
      <c r="E24" s="73">
        <f>+E15-E25</f>
        <v>7789729.9887096789</v>
      </c>
      <c r="H24" s="104"/>
      <c r="K24" s="104"/>
      <c r="N24" s="104"/>
    </row>
    <row r="25" spans="2:19" x14ac:dyDescent="0.2">
      <c r="B25" s="3" t="s">
        <v>1010</v>
      </c>
      <c r="E25" s="54">
        <f>+'Tab. 18'!J132</f>
        <v>33000</v>
      </c>
      <c r="H25" s="104"/>
      <c r="K25" s="104"/>
      <c r="N25" s="104"/>
    </row>
    <row r="26" spans="2:19" x14ac:dyDescent="0.2">
      <c r="B26" s="3" t="s">
        <v>1012</v>
      </c>
      <c r="E26" s="104">
        <f>IFERROR((E24-E7)/E7,0)</f>
        <v>-0.3012554525752475</v>
      </c>
      <c r="H26" s="104">
        <f>IFERROR((H15-H7)/H7,0)</f>
        <v>0</v>
      </c>
      <c r="K26" s="104">
        <f>IFERROR((K15-K7)/K7,0)</f>
        <v>0.40535677838627737</v>
      </c>
      <c r="N26" s="104">
        <f>IFERROR((N15-N7)/N7,0)</f>
        <v>2.2267083342515155E-2</v>
      </c>
    </row>
    <row r="27" spans="2:19" s="12" customFormat="1" x14ac:dyDescent="0.2">
      <c r="B27" s="12" t="s">
        <v>1006</v>
      </c>
      <c r="E27" s="666">
        <f>IFERROR((E16-E8)/E8,0)</f>
        <v>0.35662903225806453</v>
      </c>
      <c r="H27" s="666">
        <f>IFERROR((H16-H8)/H8,0)</f>
        <v>-0.02</v>
      </c>
      <c r="K27" s="666">
        <f>IFERROR((K16-K8)/K8,0)</f>
        <v>0.34618386140159202</v>
      </c>
      <c r="N27" s="666">
        <f>IFERROR((N16-N8)/N8,0)</f>
        <v>0.12228341858954665</v>
      </c>
    </row>
    <row r="28" spans="2:19" ht="17" thickBot="1" x14ac:dyDescent="0.25"/>
    <row r="29" spans="2:19" x14ac:dyDescent="0.2">
      <c r="B29" s="1053"/>
      <c r="C29" s="1056" t="s">
        <v>240</v>
      </c>
      <c r="D29" s="1044"/>
      <c r="E29" s="1044"/>
      <c r="F29" s="1044"/>
      <c r="G29" s="1044"/>
      <c r="H29" s="1044"/>
      <c r="I29" s="1044"/>
      <c r="J29" s="1044"/>
      <c r="K29" s="1044"/>
      <c r="L29" s="1044"/>
      <c r="M29" s="1044"/>
      <c r="N29" s="1045"/>
      <c r="P29" s="1043" t="s">
        <v>195</v>
      </c>
      <c r="Q29" s="1044"/>
      <c r="R29" s="1044"/>
      <c r="S29" s="1045"/>
    </row>
    <row r="30" spans="2:19" x14ac:dyDescent="0.2">
      <c r="B30" s="1054"/>
      <c r="C30" s="1046" t="s">
        <v>192</v>
      </c>
      <c r="D30" s="1047"/>
      <c r="E30" s="1048"/>
      <c r="F30" s="1046" t="s">
        <v>193</v>
      </c>
      <c r="G30" s="1047"/>
      <c r="H30" s="1048"/>
      <c r="I30" s="1046" t="s">
        <v>194</v>
      </c>
      <c r="J30" s="1047"/>
      <c r="K30" s="1048"/>
      <c r="L30" s="1046" t="s">
        <v>3</v>
      </c>
      <c r="M30" s="1047"/>
      <c r="N30" s="1049"/>
      <c r="P30" s="141" t="s">
        <v>187</v>
      </c>
      <c r="Q30" s="142" t="s">
        <v>188</v>
      </c>
      <c r="R30" s="142" t="s">
        <v>168</v>
      </c>
      <c r="S30" s="293" t="s">
        <v>179</v>
      </c>
    </row>
    <row r="31" spans="2:19" x14ac:dyDescent="0.2">
      <c r="B31" s="1055"/>
      <c r="C31" s="278" t="s">
        <v>191</v>
      </c>
      <c r="D31" s="279" t="s">
        <v>9</v>
      </c>
      <c r="E31" s="280" t="s">
        <v>40</v>
      </c>
      <c r="F31" s="278" t="s">
        <v>191</v>
      </c>
      <c r="G31" s="279" t="s">
        <v>9</v>
      </c>
      <c r="H31" s="280" t="s">
        <v>40</v>
      </c>
      <c r="I31" s="278" t="s">
        <v>191</v>
      </c>
      <c r="J31" s="279" t="s">
        <v>9</v>
      </c>
      <c r="K31" s="280" t="s">
        <v>40</v>
      </c>
      <c r="L31" s="278" t="s">
        <v>191</v>
      </c>
      <c r="M31" s="279" t="s">
        <v>9</v>
      </c>
      <c r="N31" s="284" t="s">
        <v>40</v>
      </c>
      <c r="P31" s="141" t="s">
        <v>40</v>
      </c>
      <c r="Q31" s="142" t="s">
        <v>40</v>
      </c>
      <c r="R31" s="142" t="s">
        <v>40</v>
      </c>
      <c r="S31" s="293" t="s">
        <v>40</v>
      </c>
    </row>
    <row r="32" spans="2:19" x14ac:dyDescent="0.2">
      <c r="B32" s="285" t="s">
        <v>189</v>
      </c>
      <c r="C32" s="281">
        <f>+E32/D32</f>
        <v>251196.55185967742</v>
      </c>
      <c r="D32" s="282">
        <f>+D14</f>
        <v>180</v>
      </c>
      <c r="E32" s="283">
        <f>+E$34*P32</f>
        <v>45215379.334741935</v>
      </c>
      <c r="F32" s="281">
        <f>+H32/G32</f>
        <v>415241.94133333332</v>
      </c>
      <c r="G32" s="282">
        <f>+G14</f>
        <v>180</v>
      </c>
      <c r="H32" s="283">
        <f>+H$34*Q32</f>
        <v>74743549.439999998</v>
      </c>
      <c r="I32" s="281">
        <f>+K32/J32</f>
        <v>4140.0000000000036</v>
      </c>
      <c r="J32" s="282">
        <f>+J14</f>
        <v>180</v>
      </c>
      <c r="K32" s="283">
        <f>+K$34*R32</f>
        <v>745200.0000000007</v>
      </c>
      <c r="L32" s="281">
        <f t="shared" ref="L32:L33" si="3">+C32+F32+I32</f>
        <v>670578.4931930108</v>
      </c>
      <c r="M32" s="282">
        <f>+N32/L32</f>
        <v>179.99999999999997</v>
      </c>
      <c r="N32" s="286">
        <f t="shared" ref="N32:N33" si="4">+E32+H32+K32</f>
        <v>120704128.77474193</v>
      </c>
      <c r="P32" s="300">
        <f t="shared" ref="P32:R33" si="5">+P14</f>
        <v>0.85</v>
      </c>
      <c r="Q32" s="297">
        <f t="shared" si="5"/>
        <v>1</v>
      </c>
      <c r="R32" s="297">
        <f t="shared" si="5"/>
        <v>5.0000000000000044E-2</v>
      </c>
      <c r="S32" s="294">
        <f>N32/N$8</f>
        <v>0.94197072557157746</v>
      </c>
    </row>
    <row r="33" spans="2:19" x14ac:dyDescent="0.2">
      <c r="B33" s="95" t="s">
        <v>190</v>
      </c>
      <c r="C33" s="34">
        <f>+E33/D33</f>
        <v>15958.369176967744</v>
      </c>
      <c r="D33" s="100">
        <f>+D15</f>
        <v>500</v>
      </c>
      <c r="E33" s="62">
        <f>+E$34*P33</f>
        <v>7979184.5884838719</v>
      </c>
      <c r="F33" s="34">
        <f>+H33/G33</f>
        <v>0</v>
      </c>
      <c r="G33" s="100">
        <f>+G15</f>
        <v>500</v>
      </c>
      <c r="H33" s="62">
        <f>+H$34*Q33</f>
        <v>0</v>
      </c>
      <c r="I33" s="34">
        <f>+K33/J33</f>
        <v>28317.599999999999</v>
      </c>
      <c r="J33" s="100">
        <f>+J15</f>
        <v>500</v>
      </c>
      <c r="K33" s="62">
        <f>+K$34*R33</f>
        <v>14158800</v>
      </c>
      <c r="L33" s="34">
        <f t="shared" si="3"/>
        <v>44275.969176967745</v>
      </c>
      <c r="M33" s="100">
        <f>+N33/L33</f>
        <v>499.99999999999994</v>
      </c>
      <c r="N33" s="287">
        <f t="shared" si="4"/>
        <v>22137984.58848387</v>
      </c>
      <c r="P33" s="300">
        <f t="shared" si="5"/>
        <v>0.15000000000000002</v>
      </c>
      <c r="Q33" s="297">
        <f t="shared" si="5"/>
        <v>0</v>
      </c>
      <c r="R33" s="297">
        <f t="shared" si="5"/>
        <v>0.95</v>
      </c>
      <c r="S33" s="294">
        <f>N33/N$8</f>
        <v>0.17276404392448783</v>
      </c>
    </row>
    <row r="34" spans="2:19" ht="17" thickBot="1" x14ac:dyDescent="0.25">
      <c r="B34" s="288" t="s">
        <v>3</v>
      </c>
      <c r="C34" s="289"/>
      <c r="D34" s="290"/>
      <c r="E34" s="291">
        <f>+'Tab 1'!Q11</f>
        <v>53194563.923225805</v>
      </c>
      <c r="F34" s="289"/>
      <c r="G34" s="290"/>
      <c r="H34" s="291">
        <f>+'Tab 1'!R11</f>
        <v>74743549.439999998</v>
      </c>
      <c r="I34" s="289"/>
      <c r="J34" s="290"/>
      <c r="K34" s="291">
        <f>+'Tab 1'!S11</f>
        <v>14904000</v>
      </c>
      <c r="L34" s="289"/>
      <c r="M34" s="290"/>
      <c r="N34" s="292">
        <f>+E34+H34+K34</f>
        <v>142842113.36322582</v>
      </c>
      <c r="P34" s="299"/>
      <c r="Q34" s="295"/>
      <c r="R34" s="295"/>
      <c r="S34" s="296"/>
    </row>
  </sheetData>
  <mergeCells count="21">
    <mergeCell ref="B29:B31"/>
    <mergeCell ref="C29:N29"/>
    <mergeCell ref="P29:S29"/>
    <mergeCell ref="C30:E30"/>
    <mergeCell ref="F30:H30"/>
    <mergeCell ref="I30:K30"/>
    <mergeCell ref="L30:N30"/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</mergeCells>
  <pageMargins left="0.7" right="0.7" top="0.75" bottom="0.75" header="0.3" footer="0.3"/>
  <pageSetup paperSize="9" scale="76" orientation="landscape" horizontalDpi="0" verticalDpi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C5F4-CC89-D343-9601-F79C621C5224}">
  <sheetPr codeName="Foglio30"/>
  <dimension ref="B2:F49"/>
  <sheetViews>
    <sheetView showGridLines="0" topLeftCell="A21" zoomScale="200" zoomScaleNormal="200" workbookViewId="0">
      <selection activeCell="C29" sqref="C29"/>
    </sheetView>
  </sheetViews>
  <sheetFormatPr baseColWidth="10" defaultRowHeight="14" x14ac:dyDescent="0.2"/>
  <cols>
    <col min="1" max="1" width="10.83203125" style="2"/>
    <col min="2" max="2" width="26" style="2" customWidth="1"/>
    <col min="3" max="5" width="12.1640625" style="2" customWidth="1"/>
    <col min="6" max="16384" width="10.83203125" style="2"/>
  </cols>
  <sheetData>
    <row r="2" spans="2:3" x14ac:dyDescent="0.2">
      <c r="B2" s="2" t="s">
        <v>860</v>
      </c>
    </row>
    <row r="4" spans="2:3" x14ac:dyDescent="0.2">
      <c r="B4" s="572"/>
      <c r="C4" s="574" t="s">
        <v>196</v>
      </c>
    </row>
    <row r="5" spans="2:3" x14ac:dyDescent="0.2">
      <c r="B5" s="519"/>
      <c r="C5" s="495" t="s">
        <v>822</v>
      </c>
    </row>
    <row r="6" spans="2:3" x14ac:dyDescent="0.2">
      <c r="B6" s="573" t="s">
        <v>189</v>
      </c>
      <c r="C6" s="497"/>
    </row>
    <row r="7" spans="2:3" x14ac:dyDescent="0.2">
      <c r="B7" s="519" t="s">
        <v>76</v>
      </c>
      <c r="C7" s="575">
        <f>'Tab. 14'!C8</f>
        <v>108.74965</v>
      </c>
    </row>
    <row r="8" spans="2:3" x14ac:dyDescent="0.2">
      <c r="B8" s="519" t="s">
        <v>821</v>
      </c>
      <c r="C8" s="575">
        <f>'Tab. 14'!C9</f>
        <v>0.40663326317397169</v>
      </c>
    </row>
    <row r="9" spans="2:3" x14ac:dyDescent="0.2">
      <c r="B9" s="519" t="s">
        <v>861</v>
      </c>
      <c r="C9" s="575">
        <f>'Tab. 16'!C9</f>
        <v>4.6775891992374667</v>
      </c>
    </row>
    <row r="10" spans="2:3" x14ac:dyDescent="0.2">
      <c r="B10" s="519" t="s">
        <v>862</v>
      </c>
      <c r="C10" s="575">
        <f>'All. 8'!C10*'Tab. 17'!C26+'All. 8'!D10*'Tab. 17'!C41</f>
        <v>1.3014203949681009</v>
      </c>
    </row>
    <row r="11" spans="2:3" x14ac:dyDescent="0.2">
      <c r="B11" s="576" t="s">
        <v>3</v>
      </c>
      <c r="C11" s="577">
        <f>SUM(C7:C10)</f>
        <v>115.13529285737955</v>
      </c>
    </row>
    <row r="12" spans="2:3" x14ac:dyDescent="0.2">
      <c r="B12" s="573" t="s">
        <v>190</v>
      </c>
      <c r="C12" s="497"/>
    </row>
    <row r="13" spans="2:3" x14ac:dyDescent="0.2">
      <c r="B13" s="519" t="s">
        <v>76</v>
      </c>
      <c r="C13" s="575">
        <f>'Tab. 14'!C12</f>
        <v>189</v>
      </c>
    </row>
    <row r="14" spans="2:3" x14ac:dyDescent="0.2">
      <c r="B14" s="519" t="s">
        <v>821</v>
      </c>
      <c r="C14" s="575">
        <f>'Tab. 14'!C13</f>
        <v>0.68814859921749061</v>
      </c>
    </row>
    <row r="15" spans="2:3" x14ac:dyDescent="0.2">
      <c r="B15" s="519" t="s">
        <v>861</v>
      </c>
      <c r="C15" s="575">
        <f>'Tab. 16'!C13</f>
        <v>8.6470101470855205</v>
      </c>
    </row>
    <row r="16" spans="2:3" x14ac:dyDescent="0.2">
      <c r="B16" s="519" t="s">
        <v>862</v>
      </c>
      <c r="C16" s="575">
        <f>'All. 8'!C17*'Tab. 17'!D26+'All. 8'!D17*'Tab. 17'!D41</f>
        <v>2.8802301916741344</v>
      </c>
    </row>
    <row r="17" spans="2:5" x14ac:dyDescent="0.2">
      <c r="B17" s="576" t="s">
        <v>3</v>
      </c>
      <c r="C17" s="577">
        <f>SUM(C13:C16)</f>
        <v>201.21538893797717</v>
      </c>
    </row>
    <row r="20" spans="2:5" ht="15" thickBot="1" x14ac:dyDescent="0.25"/>
    <row r="21" spans="2:5" ht="15" thickBot="1" x14ac:dyDescent="0.25">
      <c r="B21" s="588" t="s">
        <v>863</v>
      </c>
      <c r="C21" s="589"/>
      <c r="D21" s="589"/>
      <c r="E21" s="590"/>
    </row>
    <row r="22" spans="2:5" x14ac:dyDescent="0.2">
      <c r="B22" s="591"/>
      <c r="C22" s="592" t="s">
        <v>790</v>
      </c>
      <c r="D22" s="592" t="s">
        <v>791</v>
      </c>
      <c r="E22" s="593" t="s">
        <v>179</v>
      </c>
    </row>
    <row r="23" spans="2:5" x14ac:dyDescent="0.2">
      <c r="B23" s="478" t="s">
        <v>824</v>
      </c>
      <c r="C23" s="578">
        <f>+'Tab. 16'!C20</f>
        <v>173264.00000000003</v>
      </c>
      <c r="D23" s="578">
        <f>+'Tab. 16'!D20</f>
        <v>19448</v>
      </c>
      <c r="E23" s="579">
        <f>SUM(C23:D23)</f>
        <v>192712.00000000003</v>
      </c>
    </row>
    <row r="24" spans="2:5" x14ac:dyDescent="0.2">
      <c r="B24" s="478" t="s">
        <v>864</v>
      </c>
      <c r="C24" s="657">
        <f>E24/E23*C23</f>
        <v>312663.7240199665</v>
      </c>
      <c r="D24" s="657">
        <f>E24/E23*D23</f>
        <v>35094.907798159496</v>
      </c>
      <c r="E24" s="658">
        <f>'Tab. 15'!G19+'Tab. 15'!H19</f>
        <v>347758.63181812596</v>
      </c>
    </row>
    <row r="25" spans="2:5" x14ac:dyDescent="0.2">
      <c r="B25" s="478" t="s">
        <v>837</v>
      </c>
      <c r="C25" s="585">
        <f>C24/C23</f>
        <v>1.8045509974372429</v>
      </c>
      <c r="D25" s="585">
        <f t="shared" ref="D25:E25" si="0">D24/D23</f>
        <v>1.8045509974372427</v>
      </c>
      <c r="E25" s="586">
        <f t="shared" si="0"/>
        <v>1.8045509974372427</v>
      </c>
    </row>
    <row r="26" spans="2:5" x14ac:dyDescent="0.2">
      <c r="B26" s="478" t="s">
        <v>838</v>
      </c>
      <c r="C26" s="584">
        <f>C24/(C23*60)</f>
        <v>3.007584995728738E-2</v>
      </c>
      <c r="D26" s="584">
        <f t="shared" ref="D26:E26" si="1">D24/(D23*60)</f>
        <v>3.007584995728738E-2</v>
      </c>
      <c r="E26" s="587">
        <f t="shared" si="1"/>
        <v>3.0075849957287376E-2</v>
      </c>
    </row>
    <row r="27" spans="2:5" x14ac:dyDescent="0.2">
      <c r="B27" s="478"/>
      <c r="E27" s="506"/>
    </row>
    <row r="28" spans="2:5" x14ac:dyDescent="0.2">
      <c r="B28" s="478" t="s">
        <v>832</v>
      </c>
      <c r="C28" s="578">
        <f>'Tab. 12'!O9</f>
        <v>666082.12060847704</v>
      </c>
      <c r="D28" s="578">
        <f>'Tab. 12'!O52</f>
        <v>42358.37112548334</v>
      </c>
      <c r="E28" s="579">
        <f t="shared" ref="E28:E29" si="2">SUM(C28:D28)</f>
        <v>708440.49173396034</v>
      </c>
    </row>
    <row r="29" spans="2:5" x14ac:dyDescent="0.2">
      <c r="B29" s="478" t="s">
        <v>801</v>
      </c>
      <c r="C29" s="578">
        <f>'Tab. 12'!O23-'Tab. 16'!C27</f>
        <v>166237.52970243193</v>
      </c>
      <c r="D29" s="578">
        <f>'Tab. 12'!O53</f>
        <v>16943.348450193342</v>
      </c>
      <c r="E29" s="579">
        <f t="shared" si="2"/>
        <v>183180.87815262529</v>
      </c>
    </row>
    <row r="30" spans="2:5" x14ac:dyDescent="0.2">
      <c r="B30" s="478"/>
      <c r="C30" s="578"/>
      <c r="D30" s="578"/>
      <c r="E30" s="579"/>
    </row>
    <row r="31" spans="2:5" x14ac:dyDescent="0.2">
      <c r="B31" s="478"/>
      <c r="E31" s="506"/>
    </row>
    <row r="32" spans="2:5" ht="15" thickBot="1" x14ac:dyDescent="0.25">
      <c r="B32" s="478" t="s">
        <v>833</v>
      </c>
      <c r="C32" s="484">
        <f>C25*C29</f>
        <v>299984.10003602685</v>
      </c>
      <c r="D32" s="484">
        <f>D25*D29</f>
        <v>30575.136345723156</v>
      </c>
      <c r="E32" s="479">
        <f t="shared" ref="E32:E33" si="3">SUM(C32:D32)</f>
        <v>330559.23638175003</v>
      </c>
    </row>
    <row r="33" spans="2:6" ht="15" thickBot="1" x14ac:dyDescent="0.25">
      <c r="B33" s="581" t="s">
        <v>834</v>
      </c>
      <c r="C33" s="510">
        <f>C25*(C23-C29)</f>
        <v>12679.623983939675</v>
      </c>
      <c r="D33" s="510">
        <f>D25*(D23-D29)</f>
        <v>4519.771452436341</v>
      </c>
      <c r="E33" s="513">
        <f t="shared" si="3"/>
        <v>17199.395436376017</v>
      </c>
      <c r="F33" s="996">
        <f>SUM(E32:E33)</f>
        <v>347758.63181812607</v>
      </c>
    </row>
    <row r="34" spans="2:6" ht="15" thickBot="1" x14ac:dyDescent="0.25"/>
    <row r="35" spans="2:6" ht="15" thickBot="1" x14ac:dyDescent="0.25">
      <c r="B35" s="588" t="s">
        <v>1045</v>
      </c>
      <c r="C35" s="589"/>
      <c r="D35" s="589"/>
      <c r="E35" s="590"/>
    </row>
    <row r="36" spans="2:6" x14ac:dyDescent="0.2">
      <c r="B36" s="591"/>
      <c r="C36" s="592" t="s">
        <v>790</v>
      </c>
      <c r="D36" s="592" t="s">
        <v>791</v>
      </c>
      <c r="E36" s="593" t="s">
        <v>179</v>
      </c>
    </row>
    <row r="37" spans="2:6" x14ac:dyDescent="0.2">
      <c r="B37" s="478" t="s">
        <v>824</v>
      </c>
      <c r="C37" s="578">
        <f>'Tab. 13'!O26</f>
        <v>16056</v>
      </c>
      <c r="D37" s="578">
        <f>+'Tab. 13'!O48</f>
        <v>3568</v>
      </c>
      <c r="E37" s="579">
        <f>SUM(C37:D37)</f>
        <v>19624</v>
      </c>
    </row>
    <row r="38" spans="2:6" x14ac:dyDescent="0.2">
      <c r="B38" s="478" t="s">
        <v>865</v>
      </c>
      <c r="C38" s="657">
        <f>$E$38/$E$39*C39</f>
        <v>630098.68421052629</v>
      </c>
      <c r="D38" s="657">
        <f>$E$38/$E$39*D39</f>
        <v>210032.89473684211</v>
      </c>
      <c r="E38" s="662">
        <f>'Tab. 15'!G28+'Tab. 15'!H28</f>
        <v>840131.57894736843</v>
      </c>
    </row>
    <row r="39" spans="2:6" x14ac:dyDescent="0.2">
      <c r="B39" s="478" t="s">
        <v>849</v>
      </c>
      <c r="C39" s="661">
        <f>'Tab. 15'!E9</f>
        <v>3000</v>
      </c>
      <c r="D39" s="661">
        <f>'Tab. 15'!F9</f>
        <v>1000</v>
      </c>
      <c r="E39" s="654">
        <f>SUM(C39:D39)</f>
        <v>4000</v>
      </c>
    </row>
    <row r="40" spans="2:6" x14ac:dyDescent="0.2">
      <c r="B40" s="478" t="s">
        <v>866</v>
      </c>
      <c r="C40" s="585">
        <f>C38/C37</f>
        <v>39.243814412713398</v>
      </c>
      <c r="D40" s="585">
        <f t="shared" ref="D40:E40" si="4">D38/D37</f>
        <v>58.865721619070101</v>
      </c>
      <c r="E40" s="586">
        <f t="shared" si="4"/>
        <v>42.811433904778255</v>
      </c>
    </row>
    <row r="41" spans="2:6" x14ac:dyDescent="0.2">
      <c r="B41" s="478" t="s">
        <v>867</v>
      </c>
      <c r="C41" s="584">
        <f>C38/(C37*60)</f>
        <v>0.65406357354522326</v>
      </c>
      <c r="D41" s="584">
        <f t="shared" ref="D41:E41" si="5">D38/(D37*60)</f>
        <v>0.98109536031783495</v>
      </c>
      <c r="E41" s="587">
        <f t="shared" si="5"/>
        <v>0.71352389841297092</v>
      </c>
    </row>
    <row r="42" spans="2:6" x14ac:dyDescent="0.2">
      <c r="B42" s="478"/>
      <c r="E42" s="506"/>
    </row>
    <row r="43" spans="2:6" x14ac:dyDescent="0.2">
      <c r="B43" s="478" t="s">
        <v>832</v>
      </c>
      <c r="C43" s="578">
        <f>+C28</f>
        <v>666082.12060847704</v>
      </c>
      <c r="D43" s="578">
        <f>+D28</f>
        <v>42358.37112548334</v>
      </c>
      <c r="E43" s="579">
        <f t="shared" ref="E43:E44" si="6">SUM(C43:D43)</f>
        <v>708440.49173396034</v>
      </c>
    </row>
    <row r="44" spans="2:6" x14ac:dyDescent="0.2">
      <c r="B44" s="478" t="s">
        <v>801</v>
      </c>
      <c r="C44" s="578">
        <f>+'Tab. 13'!O22</f>
        <v>14431.779279850338</v>
      </c>
      <c r="D44" s="578">
        <f>+'Tab. 13'!O44</f>
        <v>1553.1402746010565</v>
      </c>
      <c r="E44" s="579">
        <f t="shared" si="6"/>
        <v>15984.919554451395</v>
      </c>
    </row>
    <row r="45" spans="2:6" x14ac:dyDescent="0.2">
      <c r="B45" s="478"/>
      <c r="E45" s="506"/>
    </row>
    <row r="46" spans="2:6" x14ac:dyDescent="0.2">
      <c r="B46" s="478" t="s">
        <v>843</v>
      </c>
      <c r="C46" s="484">
        <f>C40*C44</f>
        <v>566358.06770368922</v>
      </c>
      <c r="D46" s="484">
        <f>D40*D44</f>
        <v>91426.72304003188</v>
      </c>
      <c r="E46" s="479">
        <f t="shared" ref="E46:E47" si="7">SUM(C46:D46)</f>
        <v>657784.79074372107</v>
      </c>
    </row>
    <row r="47" spans="2:6" ht="15" thickBot="1" x14ac:dyDescent="0.25">
      <c r="B47" s="581" t="s">
        <v>844</v>
      </c>
      <c r="C47" s="510">
        <f>C40*(C37-C44)</f>
        <v>63740.616506837046</v>
      </c>
      <c r="D47" s="510">
        <f>D40*(D37-D44)</f>
        <v>118606.17169681024</v>
      </c>
      <c r="E47" s="513">
        <f t="shared" si="7"/>
        <v>182346.7882036473</v>
      </c>
    </row>
    <row r="48" spans="2:6" ht="15" thickBot="1" x14ac:dyDescent="0.25"/>
    <row r="49" spans="2:5" ht="15" thickBot="1" x14ac:dyDescent="0.25">
      <c r="B49" s="663" t="s">
        <v>868</v>
      </c>
      <c r="C49" s="664">
        <f>C33+C47</f>
        <v>76420.24049077672</v>
      </c>
      <c r="D49" s="664">
        <f t="shared" ref="D49:E49" si="8">D33+D47</f>
        <v>123125.94314924658</v>
      </c>
      <c r="E49" s="665">
        <f t="shared" si="8"/>
        <v>199546.18364002332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8849-CAEB-FA49-9241-9295A4E2F68F}">
  <sheetPr codeName="Foglio31">
    <tabColor rgb="FFFF0000"/>
  </sheetPr>
  <dimension ref="B2:Q60"/>
  <sheetViews>
    <sheetView zoomScale="170" zoomScaleNormal="170" workbookViewId="0">
      <selection activeCell="A38" sqref="A38:XFD40"/>
    </sheetView>
  </sheetViews>
  <sheetFormatPr baseColWidth="10" defaultRowHeight="14" outlineLevelRow="1" x14ac:dyDescent="0.2"/>
  <cols>
    <col min="1" max="1" width="10.83203125" style="2"/>
    <col min="2" max="2" width="26.6640625" style="2" customWidth="1"/>
    <col min="3" max="13" width="12" style="2" bestFit="1" customWidth="1"/>
    <col min="14" max="14" width="11" style="2" bestFit="1" customWidth="1"/>
    <col min="15" max="16384" width="10.83203125" style="2"/>
  </cols>
  <sheetData>
    <row r="2" spans="2:17" ht="15" thickBot="1" x14ac:dyDescent="0.25"/>
    <row r="3" spans="2:17" ht="16" x14ac:dyDescent="0.2">
      <c r="B3" s="977"/>
      <c r="C3" s="1034" t="s">
        <v>196</v>
      </c>
      <c r="D3" s="1034"/>
      <c r="E3" s="1034"/>
      <c r="F3" s="1034"/>
      <c r="G3" s="1034"/>
      <c r="H3" s="1034"/>
      <c r="I3" s="1034"/>
      <c r="J3" s="1034"/>
      <c r="K3" s="1034"/>
      <c r="L3" s="1034"/>
      <c r="M3" s="1034"/>
      <c r="N3" s="1034"/>
      <c r="O3" s="1035"/>
    </row>
    <row r="4" spans="2:17" ht="16" x14ac:dyDescent="0.2">
      <c r="B4" s="230"/>
      <c r="C4" s="337" t="s">
        <v>211</v>
      </c>
      <c r="D4" s="337" t="s">
        <v>212</v>
      </c>
      <c r="E4" s="337" t="s">
        <v>213</v>
      </c>
      <c r="F4" s="337" t="s">
        <v>214</v>
      </c>
      <c r="G4" s="337" t="s">
        <v>215</v>
      </c>
      <c r="H4" s="337" t="s">
        <v>216</v>
      </c>
      <c r="I4" s="337" t="s">
        <v>217</v>
      </c>
      <c r="J4" s="337" t="s">
        <v>218</v>
      </c>
      <c r="K4" s="337" t="s">
        <v>219</v>
      </c>
      <c r="L4" s="337" t="s">
        <v>220</v>
      </c>
      <c r="M4" s="337" t="s">
        <v>221</v>
      </c>
      <c r="N4" s="337" t="s">
        <v>222</v>
      </c>
      <c r="O4" s="342" t="s">
        <v>179</v>
      </c>
    </row>
    <row r="5" spans="2:17" ht="16" x14ac:dyDescent="0.2">
      <c r="B5" s="28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338"/>
    </row>
    <row r="6" spans="2:17" ht="16" x14ac:dyDescent="0.2">
      <c r="B6" s="978" t="s">
        <v>1367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970"/>
    </row>
    <row r="7" spans="2:17" ht="16" x14ac:dyDescent="0.2">
      <c r="B7" s="438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970"/>
    </row>
    <row r="8" spans="2:17" x14ac:dyDescent="0.2">
      <c r="B8" s="979" t="s">
        <v>189</v>
      </c>
      <c r="O8" s="506"/>
    </row>
    <row r="9" spans="2:17" x14ac:dyDescent="0.2">
      <c r="B9" s="503"/>
      <c r="O9" s="506"/>
    </row>
    <row r="10" spans="2:17" x14ac:dyDescent="0.2">
      <c r="B10" s="503" t="s">
        <v>1346</v>
      </c>
      <c r="C10" s="578">
        <f>'Tab. 12'!C23-C11</f>
        <v>13271.285106382978</v>
      </c>
      <c r="D10" s="578">
        <f>'Tab. 12'!D23-D11</f>
        <v>14745.872340425531</v>
      </c>
      <c r="E10" s="578">
        <f>'Tab. 12'!E23-E11</f>
        <v>16851.798063372233</v>
      </c>
      <c r="F10" s="578">
        <f>'Tab. 12'!F23-F11</f>
        <v>15483.165957446807</v>
      </c>
      <c r="G10" s="578">
        <f>'Tab. 12'!G23-G11</f>
        <v>15483.165957446807</v>
      </c>
      <c r="H10" s="578">
        <f>'Tab. 12'!H23-H11</f>
        <v>16220.45957446807</v>
      </c>
      <c r="I10" s="578">
        <f>'Tab. 12'!I23-I11</f>
        <v>14260.459574468092</v>
      </c>
      <c r="J10" s="578">
        <f>'Tab. 12'!J23-J11</f>
        <v>8847.5234042553184</v>
      </c>
      <c r="K10" s="578">
        <f>'Tab. 12'!K23-K11</f>
        <v>15250.650193005036</v>
      </c>
      <c r="L10" s="578">
        <f>'Tab. 12'!L23-L11</f>
        <v>13452.460169458936</v>
      </c>
      <c r="M10" s="578">
        <f>'Tab. 12'!M23-M11</f>
        <v>13523.165957446809</v>
      </c>
      <c r="N10" s="578">
        <f>'Tab. 12'!N23-N11</f>
        <v>8847.5234042553184</v>
      </c>
      <c r="O10" s="506"/>
    </row>
    <row r="11" spans="2:17" x14ac:dyDescent="0.2">
      <c r="B11" s="503" t="s">
        <v>1347</v>
      </c>
      <c r="C11" s="578">
        <f>'Tab. 12'!C26</f>
        <v>0</v>
      </c>
      <c r="D11" s="578">
        <f>'Tab. 12'!D26</f>
        <v>283.00044968732618</v>
      </c>
      <c r="E11" s="578">
        <f>'Tab. 12'!E26</f>
        <v>0</v>
      </c>
      <c r="F11" s="578">
        <f>'Tab. 12'!F26</f>
        <v>0</v>
      </c>
      <c r="G11" s="578">
        <f>'Tab. 12'!G26</f>
        <v>0</v>
      </c>
      <c r="H11" s="578">
        <f>'Tab. 12'!H26</f>
        <v>0</v>
      </c>
      <c r="I11" s="578">
        <f>'Tab. 12'!I26</f>
        <v>0</v>
      </c>
      <c r="J11" s="578">
        <f>'Tab. 12'!J26</f>
        <v>0</v>
      </c>
      <c r="K11" s="578">
        <f>'Tab. 12'!K26</f>
        <v>0</v>
      </c>
      <c r="L11" s="578">
        <f>'Tab. 12'!L26</f>
        <v>0</v>
      </c>
      <c r="M11" s="578">
        <f>'Tab. 12'!M26</f>
        <v>0</v>
      </c>
      <c r="N11" s="578">
        <f>'Tab. 12'!N26</f>
        <v>0</v>
      </c>
      <c r="O11" s="506"/>
    </row>
    <row r="12" spans="2:17" x14ac:dyDescent="0.2">
      <c r="B12" s="503" t="s">
        <v>1348</v>
      </c>
      <c r="C12" s="578">
        <f>+'Tab. 12'!C28</f>
        <v>0</v>
      </c>
      <c r="D12" s="578">
        <f>+'Tab. 12'!D28</f>
        <v>0</v>
      </c>
      <c r="E12" s="578">
        <f>+'Tab. 12'!E28</f>
        <v>105.95512811712979</v>
      </c>
      <c r="F12" s="578">
        <f>+'Tab. 12'!F28</f>
        <v>0</v>
      </c>
      <c r="G12" s="578">
        <f>+'Tab. 12'!G28</f>
        <v>0</v>
      </c>
      <c r="H12" s="578">
        <f>+'Tab. 12'!H28</f>
        <v>1.4551915228366852E-11</v>
      </c>
      <c r="I12" s="578">
        <f>+'Tab. 12'!I28</f>
        <v>1959.9999999999927</v>
      </c>
      <c r="J12" s="578">
        <f>+'Tab. 12'!J28</f>
        <v>0</v>
      </c>
      <c r="K12" s="578">
        <f>+'Tab. 12'!K28</f>
        <v>969.80938146304834</v>
      </c>
      <c r="L12" s="578">
        <f>+'Tab. 12'!L28</f>
        <v>2030.7057879878721</v>
      </c>
      <c r="M12" s="578">
        <f>+'Tab. 12'!M28</f>
        <v>1960</v>
      </c>
      <c r="N12" s="578">
        <f>+'Tab. 12'!N28</f>
        <v>0</v>
      </c>
      <c r="O12" s="506"/>
    </row>
    <row r="13" spans="2:17" s="427" customFormat="1" x14ac:dyDescent="0.2">
      <c r="B13" s="504"/>
      <c r="C13" s="971">
        <f>+C10+C12</f>
        <v>13271.285106382978</v>
      </c>
      <c r="D13" s="971">
        <f t="shared" ref="D13:N13" si="0">+D10+D12</f>
        <v>14745.872340425531</v>
      </c>
      <c r="E13" s="971">
        <f t="shared" si="0"/>
        <v>16957.753191489363</v>
      </c>
      <c r="F13" s="971">
        <f t="shared" si="0"/>
        <v>15483.165957446807</v>
      </c>
      <c r="G13" s="971">
        <f t="shared" si="0"/>
        <v>15483.165957446807</v>
      </c>
      <c r="H13" s="971">
        <f t="shared" si="0"/>
        <v>16220.459574468085</v>
      </c>
      <c r="I13" s="971">
        <f t="shared" si="0"/>
        <v>16220.459574468085</v>
      </c>
      <c r="J13" s="971">
        <f t="shared" si="0"/>
        <v>8847.5234042553184</v>
      </c>
      <c r="K13" s="971">
        <f t="shared" si="0"/>
        <v>16220.459574468085</v>
      </c>
      <c r="L13" s="971">
        <f t="shared" si="0"/>
        <v>15483.165957446809</v>
      </c>
      <c r="M13" s="971">
        <f t="shared" si="0"/>
        <v>15483.165957446809</v>
      </c>
      <c r="N13" s="971">
        <f t="shared" si="0"/>
        <v>8847.5234042553184</v>
      </c>
      <c r="O13" s="972">
        <f>SUM(C13:N13)</f>
        <v>173264.00000000003</v>
      </c>
      <c r="P13" s="968"/>
    </row>
    <row r="14" spans="2:17" x14ac:dyDescent="0.2">
      <c r="B14" s="503"/>
      <c r="O14" s="506"/>
    </row>
    <row r="15" spans="2:17" x14ac:dyDescent="0.2">
      <c r="B15" s="503" t="s">
        <v>1351</v>
      </c>
      <c r="C15" s="484">
        <f>C10*'Tab. 16'!$C$22</f>
        <v>178304.78118324248</v>
      </c>
      <c r="D15" s="484">
        <f>D10*'Tab. 16'!$C$22</f>
        <v>198116.42353693608</v>
      </c>
      <c r="E15" s="484">
        <f>E10*'Tab. 16'!$C$22</f>
        <v>226410.33947711688</v>
      </c>
      <c r="F15" s="484">
        <f>F10*'Tab. 16'!$C$22</f>
        <v>208022.24471378289</v>
      </c>
      <c r="G15" s="484">
        <f>G10*'Tab. 16'!$C$22</f>
        <v>208022.24471378289</v>
      </c>
      <c r="H15" s="484">
        <f>H10*'Tab. 16'!$C$22</f>
        <v>217928.06589062951</v>
      </c>
      <c r="I15" s="484">
        <f>I10*'Tab. 16'!$C$22</f>
        <v>191594.71773950988</v>
      </c>
      <c r="J15" s="484">
        <f>J10*'Tab. 16'!$C$22</f>
        <v>118869.85412216165</v>
      </c>
      <c r="K15" s="484">
        <f>K10*'Tab. 16'!$C$22</f>
        <v>204898.30666497219</v>
      </c>
      <c r="L15" s="484">
        <f>L10*'Tab. 16'!$C$22</f>
        <v>180738.93731195692</v>
      </c>
      <c r="M15" s="484">
        <f>M10*'Tab. 16'!$C$22</f>
        <v>181688.89656266299</v>
      </c>
      <c r="N15" s="484">
        <f>N10*'Tab. 16'!$C$22</f>
        <v>118869.85412216165</v>
      </c>
      <c r="O15" s="502">
        <f t="shared" ref="O15:O16" si="1">SUM(C15:N15)</f>
        <v>2233464.666038916</v>
      </c>
      <c r="P15" s="499"/>
      <c r="Q15" s="499"/>
    </row>
    <row r="16" spans="2:17" x14ac:dyDescent="0.2">
      <c r="B16" s="503" t="s">
        <v>1352</v>
      </c>
      <c r="C16" s="484">
        <f>C11*'Tab. 16'!$C$22</f>
        <v>0</v>
      </c>
      <c r="D16" s="484">
        <f>D11*'Tab. 16'!$C$22</f>
        <v>3802.2190655815566</v>
      </c>
      <c r="E16" s="484">
        <f>E11*'Tab. 16'!$C$22</f>
        <v>0</v>
      </c>
      <c r="F16" s="484">
        <f>F11*'Tab. 16'!$C$22</f>
        <v>0</v>
      </c>
      <c r="G16" s="484">
        <f>G11*'Tab. 16'!$C$22</f>
        <v>0</v>
      </c>
      <c r="H16" s="484">
        <f>H11*'Tab. 16'!$C$22</f>
        <v>0</v>
      </c>
      <c r="I16" s="484">
        <f>I11*'Tab. 16'!$C$22</f>
        <v>0</v>
      </c>
      <c r="J16" s="484">
        <f>J11*'Tab. 16'!$C$22</f>
        <v>0</v>
      </c>
      <c r="K16" s="484">
        <f>K11*'Tab. 16'!$C$22</f>
        <v>0</v>
      </c>
      <c r="L16" s="484">
        <f>L11*'Tab. 16'!$C$22</f>
        <v>0</v>
      </c>
      <c r="M16" s="484">
        <f>M11*'Tab. 16'!$C$22</f>
        <v>0</v>
      </c>
      <c r="N16" s="484">
        <f>N11*'Tab. 16'!$C$22</f>
        <v>0</v>
      </c>
      <c r="O16" s="502">
        <f t="shared" si="1"/>
        <v>3802.2190655815566</v>
      </c>
    </row>
    <row r="17" spans="2:17" x14ac:dyDescent="0.2">
      <c r="B17" s="503" t="s">
        <v>1353</v>
      </c>
      <c r="C17" s="484">
        <f>C12*'Tab. 16'!$C$22</f>
        <v>0</v>
      </c>
      <c r="D17" s="484">
        <f>D12*'Tab. 16'!$C$22</f>
        <v>0</v>
      </c>
      <c r="E17" s="484">
        <f>E12*'Tab. 16'!$C$22</f>
        <v>1423.5475903596387</v>
      </c>
      <c r="F17" s="484">
        <f>F12*'Tab. 16'!$C$22</f>
        <v>0</v>
      </c>
      <c r="G17" s="484">
        <f>G12*'Tab. 16'!$C$22</f>
        <v>0</v>
      </c>
      <c r="H17" s="484">
        <f>H12*'Tab. 16'!$C$22</f>
        <v>1.9551053570110599E-10</v>
      </c>
      <c r="I17" s="484">
        <f>I12*'Tab. 16'!$C$22</f>
        <v>26333.348151119801</v>
      </c>
      <c r="J17" s="484">
        <f>J12*'Tab. 16'!$C$22</f>
        <v>0</v>
      </c>
      <c r="K17" s="484">
        <f>K12*'Tab. 16'!$C$22</f>
        <v>13029.759225657499</v>
      </c>
      <c r="L17" s="484">
        <f>L12*'Tab. 16'!$C$22</f>
        <v>27283.307401825976</v>
      </c>
      <c r="M17" s="484">
        <f>M12*'Tab. 16'!$C$22</f>
        <v>26333.348151119899</v>
      </c>
      <c r="N17" s="484">
        <f>N12*'Tab. 16'!$C$22</f>
        <v>0</v>
      </c>
      <c r="O17" s="502">
        <f>SUM(C17:N17)</f>
        <v>94403.310520083003</v>
      </c>
    </row>
    <row r="18" spans="2:17" s="427" customFormat="1" x14ac:dyDescent="0.2">
      <c r="B18" s="504" t="s">
        <v>1354</v>
      </c>
      <c r="C18" s="963">
        <f>SUM(C15:C17)</f>
        <v>178304.78118324248</v>
      </c>
      <c r="D18" s="963">
        <f t="shared" ref="D18:O18" si="2">SUM(D15:D17)</f>
        <v>201918.64260251765</v>
      </c>
      <c r="E18" s="963">
        <f t="shared" si="2"/>
        <v>227833.88706747652</v>
      </c>
      <c r="F18" s="963">
        <f t="shared" si="2"/>
        <v>208022.24471378289</v>
      </c>
      <c r="G18" s="963">
        <f t="shared" si="2"/>
        <v>208022.24471378289</v>
      </c>
      <c r="H18" s="963">
        <f t="shared" si="2"/>
        <v>217928.06589062972</v>
      </c>
      <c r="I18" s="963">
        <f t="shared" si="2"/>
        <v>217928.06589062969</v>
      </c>
      <c r="J18" s="963">
        <f t="shared" si="2"/>
        <v>118869.85412216165</v>
      </c>
      <c r="K18" s="963">
        <f t="shared" si="2"/>
        <v>217928.06589062969</v>
      </c>
      <c r="L18" s="963">
        <f t="shared" si="2"/>
        <v>208022.24471378289</v>
      </c>
      <c r="M18" s="963">
        <f t="shared" si="2"/>
        <v>208022.24471378289</v>
      </c>
      <c r="N18" s="963">
        <f t="shared" si="2"/>
        <v>118869.85412216165</v>
      </c>
      <c r="O18" s="973">
        <f t="shared" si="2"/>
        <v>2331670.1956245806</v>
      </c>
    </row>
    <row r="19" spans="2:17" x14ac:dyDescent="0.2">
      <c r="B19" s="503"/>
      <c r="O19" s="506"/>
    </row>
    <row r="20" spans="2:17" x14ac:dyDescent="0.2">
      <c r="B20" s="979" t="s">
        <v>190</v>
      </c>
      <c r="O20" s="506"/>
    </row>
    <row r="21" spans="2:17" x14ac:dyDescent="0.2">
      <c r="B21" s="503"/>
      <c r="O21" s="506"/>
    </row>
    <row r="22" spans="2:17" x14ac:dyDescent="0.2">
      <c r="B22" s="503" t="s">
        <v>1355</v>
      </c>
      <c r="C22" s="578">
        <f>'Tab. 12'!C53-C23</f>
        <v>1443.3493074866187</v>
      </c>
      <c r="D22" s="578">
        <f>'Tab. 12'!D53-D23</f>
        <v>1496.4675055758457</v>
      </c>
      <c r="E22" s="578">
        <f>'Tab. 12'!E53-E23</f>
        <v>1567.7278629842185</v>
      </c>
      <c r="F22" s="578">
        <f>'Tab. 12'!F53-F23</f>
        <v>1567.7278629842128</v>
      </c>
      <c r="G22" s="578">
        <f>'Tab. 12'!G53-G23</f>
        <v>1001.3701417597827</v>
      </c>
      <c r="H22" s="578">
        <f>'Tab. 12'!H53-H23</f>
        <v>1820.6638297872328</v>
      </c>
      <c r="I22" s="578">
        <f>'Tab. 12'!I53-I23</f>
        <v>1600.663829787235</v>
      </c>
      <c r="J22" s="578">
        <f>'Tab. 12'!J53-J23</f>
        <v>993.08936170212769</v>
      </c>
      <c r="K22" s="578">
        <f>'Tab. 12'!K53-K23</f>
        <v>1203.3866204664926</v>
      </c>
      <c r="L22" s="578">
        <f>'Tab. 12'!L53-L23</f>
        <v>1737.9063829787233</v>
      </c>
      <c r="M22" s="578">
        <f>'Tab. 12'!M53-M23</f>
        <v>1517.9063829787233</v>
      </c>
      <c r="N22" s="578">
        <f>'Tab. 12'!N53-N23</f>
        <v>993.08936170212769</v>
      </c>
      <c r="O22" s="506"/>
    </row>
    <row r="23" spans="2:17" x14ac:dyDescent="0.2">
      <c r="B23" s="503" t="s">
        <v>1359</v>
      </c>
      <c r="C23" s="578">
        <f>+'Tab. 12'!C56</f>
        <v>0</v>
      </c>
      <c r="D23" s="578">
        <f>+'Tab. 12'!D56</f>
        <v>0</v>
      </c>
      <c r="E23" s="578">
        <f>+'Tab. 12'!E56</f>
        <v>0</v>
      </c>
      <c r="F23" s="578">
        <f>+'Tab. 12'!F56</f>
        <v>0</v>
      </c>
      <c r="G23" s="578">
        <f>+'Tab. 12'!G56</f>
        <v>0</v>
      </c>
      <c r="H23" s="578">
        <f>+'Tab. 12'!H56</f>
        <v>0</v>
      </c>
      <c r="I23" s="578">
        <f>+'Tab. 12'!I56</f>
        <v>0</v>
      </c>
      <c r="J23" s="578">
        <f>+'Tab. 12'!J56</f>
        <v>0</v>
      </c>
      <c r="K23" s="578">
        <f>+'Tab. 12'!K56</f>
        <v>0</v>
      </c>
      <c r="L23" s="578">
        <f>+'Tab. 12'!L56</f>
        <v>0</v>
      </c>
      <c r="M23" s="578">
        <f>+'Tab. 12'!M56</f>
        <v>0</v>
      </c>
      <c r="N23" s="578">
        <f>+'Tab. 12'!N56</f>
        <v>0</v>
      </c>
      <c r="O23" s="506"/>
    </row>
    <row r="24" spans="2:17" x14ac:dyDescent="0.2">
      <c r="B24" s="503" t="s">
        <v>1356</v>
      </c>
      <c r="C24" s="578">
        <f>+'Tab. 12'!C58</f>
        <v>46.284735066572694</v>
      </c>
      <c r="D24" s="578">
        <f>+'Tab. 12'!D58</f>
        <v>158.68143059436693</v>
      </c>
      <c r="E24" s="578">
        <f>+'Tab. 12'!E58</f>
        <v>335.69341361152601</v>
      </c>
      <c r="F24" s="578">
        <f>+'Tab. 12'!F58</f>
        <v>170.17851999451045</v>
      </c>
      <c r="G24" s="578">
        <f>+'Tab. 12'!G58</f>
        <v>736.53624121894063</v>
      </c>
      <c r="H24" s="578">
        <f>+'Tab. 12'!H58</f>
        <v>0</v>
      </c>
      <c r="I24" s="578">
        <f>+'Tab. 12'!I58</f>
        <v>219.99999999999886</v>
      </c>
      <c r="J24" s="578">
        <f>+'Tab. 12'!J58</f>
        <v>0</v>
      </c>
      <c r="K24" s="578">
        <f>+'Tab. 12'!K58</f>
        <v>617.27720932074135</v>
      </c>
      <c r="L24" s="578">
        <f>+'Tab. 12'!L58</f>
        <v>0</v>
      </c>
      <c r="M24" s="578">
        <f>+'Tab. 12'!M58</f>
        <v>220</v>
      </c>
      <c r="N24" s="578">
        <f>+'Tab. 12'!N58</f>
        <v>0</v>
      </c>
      <c r="O24" s="506"/>
    </row>
    <row r="25" spans="2:17" s="427" customFormat="1" x14ac:dyDescent="0.2">
      <c r="B25" s="504"/>
      <c r="C25" s="971">
        <f>+C22+C24</f>
        <v>1489.6340425531914</v>
      </c>
      <c r="D25" s="971">
        <f t="shared" ref="D25" si="3">+D22+D24</f>
        <v>1655.1489361702127</v>
      </c>
      <c r="E25" s="971">
        <f t="shared" ref="E25" si="4">+E22+E24</f>
        <v>1903.4212765957445</v>
      </c>
      <c r="F25" s="971">
        <f t="shared" ref="F25" si="5">+F22+F24</f>
        <v>1737.9063829787233</v>
      </c>
      <c r="G25" s="971">
        <f t="shared" ref="G25" si="6">+G22+G24</f>
        <v>1737.9063829787233</v>
      </c>
      <c r="H25" s="971">
        <f t="shared" ref="H25" si="7">+H22+H24</f>
        <v>1820.6638297872328</v>
      </c>
      <c r="I25" s="971">
        <f t="shared" ref="I25" si="8">+I22+I24</f>
        <v>1820.6638297872339</v>
      </c>
      <c r="J25" s="971">
        <f t="shared" ref="J25" si="9">+J22+J24</f>
        <v>993.08936170212769</v>
      </c>
      <c r="K25" s="971">
        <f t="shared" ref="K25" si="10">+K22+K24</f>
        <v>1820.6638297872339</v>
      </c>
      <c r="L25" s="971">
        <f t="shared" ref="L25" si="11">+L22+L24</f>
        <v>1737.9063829787233</v>
      </c>
      <c r="M25" s="971">
        <f t="shared" ref="M25" si="12">+M22+M24</f>
        <v>1737.9063829787233</v>
      </c>
      <c r="N25" s="971">
        <f t="shared" ref="N25" si="13">+N22+N24</f>
        <v>993.08936170212769</v>
      </c>
      <c r="O25" s="972">
        <f>SUM(C25:N25)</f>
        <v>19448</v>
      </c>
      <c r="P25" s="968"/>
    </row>
    <row r="26" spans="2:17" x14ac:dyDescent="0.2">
      <c r="B26" s="503"/>
      <c r="O26" s="506"/>
    </row>
    <row r="27" spans="2:17" x14ac:dyDescent="0.2">
      <c r="B27" s="503" t="s">
        <v>1357</v>
      </c>
      <c r="C27" s="484">
        <f>C22*'Tab. 16'!$D$22</f>
        <v>18519.745428900031</v>
      </c>
      <c r="D27" s="484">
        <f>D22*'Tab. 16'!$D$22</f>
        <v>19201.309829944013</v>
      </c>
      <c r="E27" s="484">
        <f>E22*'Tab. 16'!$D$22</f>
        <v>20115.657917084194</v>
      </c>
      <c r="F27" s="484">
        <f>F22*'Tab. 16'!$D$22</f>
        <v>20115.657917084121</v>
      </c>
      <c r="G27" s="484">
        <f>G22*'Tab. 16'!$D$22</f>
        <v>12848.670802902396</v>
      </c>
      <c r="H27" s="484">
        <f>H22*'Tab. 16'!$D$22</f>
        <v>23361.10217004994</v>
      </c>
      <c r="I27" s="484">
        <f>I22*'Tab. 16'!$D$22</f>
        <v>20538.262284220196</v>
      </c>
      <c r="J27" s="484">
        <f>J22*'Tab. 16'!$D$22</f>
        <v>12742.419365481794</v>
      </c>
      <c r="K27" s="484">
        <f>K22*'Tab. 16'!$D$22</f>
        <v>15440.762501485038</v>
      </c>
      <c r="L27" s="484">
        <f>L22*'Tab. 16'!$D$22</f>
        <v>22299.233889593139</v>
      </c>
      <c r="M27" s="484">
        <f>M22*'Tab. 16'!$D$22</f>
        <v>19476.394003763366</v>
      </c>
      <c r="N27" s="484">
        <f>N22*'Tab. 16'!$D$22</f>
        <v>12742.419365481794</v>
      </c>
      <c r="O27" s="502">
        <f t="shared" ref="O27:O28" si="14">SUM(C27:N27)</f>
        <v>217401.63547599001</v>
      </c>
      <c r="P27" s="499"/>
      <c r="Q27" s="499"/>
    </row>
    <row r="28" spans="2:17" x14ac:dyDescent="0.2">
      <c r="B28" s="503" t="s">
        <v>1361</v>
      </c>
      <c r="C28" s="484">
        <f>C23*'Tab. 16'!$D$22</f>
        <v>0</v>
      </c>
      <c r="D28" s="484">
        <f>D23*'Tab. 16'!$D$22</f>
        <v>0</v>
      </c>
      <c r="E28" s="484">
        <f>E23*'Tab. 16'!$D$22</f>
        <v>0</v>
      </c>
      <c r="F28" s="484">
        <f>F23*'Tab. 16'!$D$22</f>
        <v>0</v>
      </c>
      <c r="G28" s="484">
        <f>G23*'Tab. 16'!$D$22</f>
        <v>0</v>
      </c>
      <c r="H28" s="484">
        <f>H23*'Tab. 16'!$D$22</f>
        <v>0</v>
      </c>
      <c r="I28" s="484">
        <f>I23*'Tab. 16'!$D$22</f>
        <v>0</v>
      </c>
      <c r="J28" s="484">
        <f>J23*'Tab. 16'!$D$22</f>
        <v>0</v>
      </c>
      <c r="K28" s="484">
        <f>K23*'Tab. 16'!$D$22</f>
        <v>0</v>
      </c>
      <c r="L28" s="484">
        <f>L23*'Tab. 16'!$D$22</f>
        <v>0</v>
      </c>
      <c r="M28" s="484">
        <f>M23*'Tab. 16'!$D$22</f>
        <v>0</v>
      </c>
      <c r="N28" s="484">
        <f>N23*'Tab. 16'!$D$22</f>
        <v>0</v>
      </c>
      <c r="O28" s="502">
        <f t="shared" si="14"/>
        <v>0</v>
      </c>
    </row>
    <row r="29" spans="2:17" x14ac:dyDescent="0.2">
      <c r="B29" s="503" t="s">
        <v>1358</v>
      </c>
      <c r="C29" s="484">
        <f>C24*'Tab. 16'!$D$22</f>
        <v>593.88361932266037</v>
      </c>
      <c r="D29" s="484">
        <f>D24*'Tab. 16'!$D$22</f>
        <v>2036.055779192307</v>
      </c>
      <c r="E29" s="484">
        <f>E24*'Tab. 16'!$D$22</f>
        <v>4307.3125334225742</v>
      </c>
      <c r="F29" s="484">
        <f>F24*'Tab. 16'!$D$22</f>
        <v>2183.5759725090152</v>
      </c>
      <c r="G29" s="484">
        <f>G24*'Tab. 16'!$D$22</f>
        <v>9450.5630866907431</v>
      </c>
      <c r="H29" s="484">
        <f>H24*'Tab. 16'!$D$22</f>
        <v>0</v>
      </c>
      <c r="I29" s="484">
        <f>I24*'Tab. 16'!$D$22</f>
        <v>2822.8398858297569</v>
      </c>
      <c r="J29" s="484">
        <f>J24*'Tab. 16'!$D$22</f>
        <v>0</v>
      </c>
      <c r="K29" s="484">
        <f>K24*'Tab. 16'!$D$22</f>
        <v>7920.3396685649159</v>
      </c>
      <c r="L29" s="484">
        <f>L24*'Tab. 16'!$D$22</f>
        <v>0</v>
      </c>
      <c r="M29" s="484">
        <f>M24*'Tab. 16'!$D$22</f>
        <v>2822.8398858297714</v>
      </c>
      <c r="N29" s="484">
        <f>N24*'Tab. 16'!$D$22</f>
        <v>0</v>
      </c>
      <c r="O29" s="502">
        <f>SUM(C29:N29)</f>
        <v>32137.410431361743</v>
      </c>
    </row>
    <row r="30" spans="2:17" s="427" customFormat="1" x14ac:dyDescent="0.2">
      <c r="B30" s="504" t="s">
        <v>1354</v>
      </c>
      <c r="C30" s="963">
        <f t="shared" ref="C30:N30" si="15">SUM(C27:C29)</f>
        <v>19113.62904822269</v>
      </c>
      <c r="D30" s="963">
        <f t="shared" si="15"/>
        <v>21237.365609136319</v>
      </c>
      <c r="E30" s="963">
        <f t="shared" si="15"/>
        <v>24422.970450506768</v>
      </c>
      <c r="F30" s="963">
        <f t="shared" si="15"/>
        <v>22299.233889593135</v>
      </c>
      <c r="G30" s="963">
        <f t="shared" si="15"/>
        <v>22299.233889593139</v>
      </c>
      <c r="H30" s="963">
        <f t="shared" si="15"/>
        <v>23361.10217004994</v>
      </c>
      <c r="I30" s="963">
        <f t="shared" si="15"/>
        <v>23361.102170049955</v>
      </c>
      <c r="J30" s="963">
        <f t="shared" si="15"/>
        <v>12742.419365481794</v>
      </c>
      <c r="K30" s="963">
        <f t="shared" si="15"/>
        <v>23361.102170049955</v>
      </c>
      <c r="L30" s="963">
        <f t="shared" si="15"/>
        <v>22299.233889593139</v>
      </c>
      <c r="M30" s="963">
        <f t="shared" si="15"/>
        <v>22299.233889593139</v>
      </c>
      <c r="N30" s="963">
        <f t="shared" si="15"/>
        <v>12742.419365481794</v>
      </c>
      <c r="O30" s="973">
        <f t="shared" ref="O30" si="16">SUM(O27:O29)</f>
        <v>249539.04590735177</v>
      </c>
    </row>
    <row r="31" spans="2:17" x14ac:dyDescent="0.2">
      <c r="B31" s="503"/>
      <c r="O31" s="506"/>
    </row>
    <row r="32" spans="2:17" x14ac:dyDescent="0.2">
      <c r="B32" s="980" t="s">
        <v>3</v>
      </c>
      <c r="C32" s="981"/>
      <c r="D32" s="981"/>
      <c r="E32" s="981"/>
      <c r="F32" s="981"/>
      <c r="G32" s="981"/>
      <c r="H32" s="981"/>
      <c r="I32" s="981"/>
      <c r="J32" s="981"/>
      <c r="K32" s="981"/>
      <c r="L32" s="981"/>
      <c r="M32" s="981"/>
      <c r="N32" s="981"/>
      <c r="O32" s="982"/>
    </row>
    <row r="33" spans="2:17" x14ac:dyDescent="0.2">
      <c r="B33" s="503"/>
      <c r="O33" s="506"/>
    </row>
    <row r="34" spans="2:17" x14ac:dyDescent="0.2">
      <c r="B34" s="503" t="s">
        <v>1349</v>
      </c>
      <c r="C34" s="484">
        <f t="shared" ref="C34:N34" si="17">+C15+C27</f>
        <v>196824.52661214251</v>
      </c>
      <c r="D34" s="484">
        <f t="shared" si="17"/>
        <v>217317.7333668801</v>
      </c>
      <c r="E34" s="484">
        <f t="shared" si="17"/>
        <v>246525.99739420108</v>
      </c>
      <c r="F34" s="484">
        <f t="shared" si="17"/>
        <v>228137.902630867</v>
      </c>
      <c r="G34" s="484">
        <f t="shared" si="17"/>
        <v>220870.91551668529</v>
      </c>
      <c r="H34" s="484">
        <f t="shared" si="17"/>
        <v>241289.16806067945</v>
      </c>
      <c r="I34" s="484">
        <f t="shared" si="17"/>
        <v>212132.98002373008</v>
      </c>
      <c r="J34" s="484">
        <f t="shared" si="17"/>
        <v>131612.27348764346</v>
      </c>
      <c r="K34" s="484">
        <f t="shared" si="17"/>
        <v>220339.06916645722</v>
      </c>
      <c r="L34" s="484">
        <f t="shared" si="17"/>
        <v>203038.17120155005</v>
      </c>
      <c r="M34" s="484">
        <f t="shared" si="17"/>
        <v>201165.29056642635</v>
      </c>
      <c r="N34" s="484">
        <f t="shared" si="17"/>
        <v>131612.27348764346</v>
      </c>
      <c r="O34" s="502">
        <f>SUM(C34:N34)</f>
        <v>2450866.3015149059</v>
      </c>
      <c r="Q34" s="499"/>
    </row>
    <row r="35" spans="2:17" x14ac:dyDescent="0.2">
      <c r="B35" s="503" t="s">
        <v>1360</v>
      </c>
      <c r="C35" s="484">
        <f t="shared" ref="C35:N35" si="18">+C16+C28</f>
        <v>0</v>
      </c>
      <c r="D35" s="484">
        <f t="shared" si="18"/>
        <v>3802.2190655815566</v>
      </c>
      <c r="E35" s="484">
        <f t="shared" si="18"/>
        <v>0</v>
      </c>
      <c r="F35" s="484">
        <f t="shared" si="18"/>
        <v>0</v>
      </c>
      <c r="G35" s="484">
        <f t="shared" si="18"/>
        <v>0</v>
      </c>
      <c r="H35" s="484">
        <f t="shared" si="18"/>
        <v>0</v>
      </c>
      <c r="I35" s="484">
        <f t="shared" si="18"/>
        <v>0</v>
      </c>
      <c r="J35" s="484">
        <f t="shared" si="18"/>
        <v>0</v>
      </c>
      <c r="K35" s="484">
        <f t="shared" si="18"/>
        <v>0</v>
      </c>
      <c r="L35" s="484">
        <f t="shared" si="18"/>
        <v>0</v>
      </c>
      <c r="M35" s="484">
        <f t="shared" si="18"/>
        <v>0</v>
      </c>
      <c r="N35" s="484">
        <f t="shared" si="18"/>
        <v>0</v>
      </c>
      <c r="O35" s="502">
        <f t="shared" ref="O35" si="19">SUM(C35:N35)</f>
        <v>3802.2190655815566</v>
      </c>
      <c r="Q35" s="499"/>
    </row>
    <row r="36" spans="2:17" x14ac:dyDescent="0.2">
      <c r="B36" s="503" t="s">
        <v>1350</v>
      </c>
      <c r="C36" s="484">
        <f t="shared" ref="C36:N36" si="20">+C17+C29</f>
        <v>593.88361932266037</v>
      </c>
      <c r="D36" s="484">
        <f t="shared" si="20"/>
        <v>2036.055779192307</v>
      </c>
      <c r="E36" s="484">
        <f t="shared" si="20"/>
        <v>5730.8601237822131</v>
      </c>
      <c r="F36" s="484">
        <f t="shared" si="20"/>
        <v>2183.5759725090152</v>
      </c>
      <c r="G36" s="484">
        <f t="shared" si="20"/>
        <v>9450.5630866907431</v>
      </c>
      <c r="H36" s="484">
        <f t="shared" si="20"/>
        <v>1.9551053570110599E-10</v>
      </c>
      <c r="I36" s="484">
        <f t="shared" si="20"/>
        <v>29156.188036949556</v>
      </c>
      <c r="J36" s="484">
        <f t="shared" si="20"/>
        <v>0</v>
      </c>
      <c r="K36" s="484">
        <f t="shared" si="20"/>
        <v>20950.098894222414</v>
      </c>
      <c r="L36" s="484">
        <f t="shared" si="20"/>
        <v>27283.307401825976</v>
      </c>
      <c r="M36" s="484">
        <f t="shared" si="20"/>
        <v>29156.188036949672</v>
      </c>
      <c r="N36" s="484">
        <f t="shared" si="20"/>
        <v>0</v>
      </c>
      <c r="O36" s="502">
        <f>SUM(C36:N36)</f>
        <v>126540.72095144476</v>
      </c>
    </row>
    <row r="37" spans="2:17" s="427" customFormat="1" ht="15" thickBot="1" x14ac:dyDescent="0.25">
      <c r="B37" s="983" t="s">
        <v>1354</v>
      </c>
      <c r="C37" s="984">
        <f>SUM(C34:C36)</f>
        <v>197418.41023146518</v>
      </c>
      <c r="D37" s="984">
        <f t="shared" ref="D37:N37" si="21">SUM(D34:D36)</f>
        <v>223156.00821165397</v>
      </c>
      <c r="E37" s="984">
        <f t="shared" si="21"/>
        <v>252256.8575179833</v>
      </c>
      <c r="F37" s="984">
        <f t="shared" si="21"/>
        <v>230321.47860337602</v>
      </c>
      <c r="G37" s="984">
        <f t="shared" si="21"/>
        <v>230321.47860337602</v>
      </c>
      <c r="H37" s="984">
        <f t="shared" si="21"/>
        <v>241289.16806067966</v>
      </c>
      <c r="I37" s="984">
        <f t="shared" si="21"/>
        <v>241289.16806067963</v>
      </c>
      <c r="J37" s="984">
        <f t="shared" si="21"/>
        <v>131612.27348764346</v>
      </c>
      <c r="K37" s="984">
        <f t="shared" si="21"/>
        <v>241289.16806067963</v>
      </c>
      <c r="L37" s="984">
        <f t="shared" si="21"/>
        <v>230321.47860337602</v>
      </c>
      <c r="M37" s="984">
        <f t="shared" si="21"/>
        <v>230321.47860337602</v>
      </c>
      <c r="N37" s="984">
        <f t="shared" si="21"/>
        <v>131612.27348764346</v>
      </c>
      <c r="O37" s="985">
        <f>SUM(O34:O36)</f>
        <v>2581209.2415319323</v>
      </c>
      <c r="Q37" s="963">
        <f>+O37-'Tab. 16'!F30</f>
        <v>0</v>
      </c>
    </row>
    <row r="38" spans="2:17" s="427" customFormat="1" x14ac:dyDescent="0.2">
      <c r="B38" s="986" t="s">
        <v>1368</v>
      </c>
      <c r="C38" s="992">
        <f>C34+C35</f>
        <v>196824.52661214251</v>
      </c>
      <c r="D38" s="987">
        <f t="shared" ref="D38:O38" si="22">D34+D35</f>
        <v>221119.95243246167</v>
      </c>
      <c r="E38" s="987">
        <f t="shared" si="22"/>
        <v>246525.99739420108</v>
      </c>
      <c r="F38" s="987">
        <f t="shared" si="22"/>
        <v>228137.902630867</v>
      </c>
      <c r="G38" s="987">
        <f t="shared" si="22"/>
        <v>220870.91551668529</v>
      </c>
      <c r="H38" s="987">
        <f t="shared" si="22"/>
        <v>241289.16806067945</v>
      </c>
      <c r="I38" s="987">
        <f t="shared" si="22"/>
        <v>212132.98002373008</v>
      </c>
      <c r="J38" s="987">
        <f t="shared" si="22"/>
        <v>131612.27348764346</v>
      </c>
      <c r="K38" s="987">
        <f t="shared" si="22"/>
        <v>220339.06916645722</v>
      </c>
      <c r="L38" s="987">
        <f t="shared" si="22"/>
        <v>203038.17120155005</v>
      </c>
      <c r="M38" s="987">
        <f t="shared" si="22"/>
        <v>201165.29056642635</v>
      </c>
      <c r="N38" s="994">
        <f t="shared" si="22"/>
        <v>131612.27348764346</v>
      </c>
      <c r="O38" s="988">
        <f t="shared" si="22"/>
        <v>2454668.5205804873</v>
      </c>
    </row>
    <row r="39" spans="2:17" s="427" customFormat="1" ht="15" thickBot="1" x14ac:dyDescent="0.25">
      <c r="B39" s="989" t="s">
        <v>1369</v>
      </c>
      <c r="C39" s="993">
        <f>+C36</f>
        <v>593.88361932266037</v>
      </c>
      <c r="D39" s="990">
        <f t="shared" ref="D39:O39" si="23">+D36</f>
        <v>2036.055779192307</v>
      </c>
      <c r="E39" s="990">
        <f t="shared" si="23"/>
        <v>5730.8601237822131</v>
      </c>
      <c r="F39" s="990">
        <f t="shared" si="23"/>
        <v>2183.5759725090152</v>
      </c>
      <c r="G39" s="990">
        <f t="shared" si="23"/>
        <v>9450.5630866907431</v>
      </c>
      <c r="H39" s="990">
        <f t="shared" si="23"/>
        <v>1.9551053570110599E-10</v>
      </c>
      <c r="I39" s="990">
        <f t="shared" si="23"/>
        <v>29156.188036949556</v>
      </c>
      <c r="J39" s="990">
        <f t="shared" si="23"/>
        <v>0</v>
      </c>
      <c r="K39" s="990">
        <f t="shared" si="23"/>
        <v>20950.098894222414</v>
      </c>
      <c r="L39" s="990">
        <f t="shared" si="23"/>
        <v>27283.307401825976</v>
      </c>
      <c r="M39" s="990">
        <f t="shared" si="23"/>
        <v>29156.188036949672</v>
      </c>
      <c r="N39" s="995">
        <f t="shared" si="23"/>
        <v>0</v>
      </c>
      <c r="O39" s="991">
        <f t="shared" si="23"/>
        <v>126540.72095144476</v>
      </c>
    </row>
    <row r="40" spans="2:17" x14ac:dyDescent="0.2">
      <c r="C40" s="499">
        <f>+C37-C35-'Tab. 11'!C38</f>
        <v>-2.9103830456733704E-10</v>
      </c>
      <c r="D40" s="499">
        <f>+D37-D35-'Tab. 11'!D38</f>
        <v>-2.6193447411060333E-10</v>
      </c>
      <c r="E40" s="499">
        <f>+E37-E35-'Tab. 11'!E38</f>
        <v>-3.4924596548080444E-10</v>
      </c>
      <c r="F40" s="499">
        <f>+F37-F35-'Tab. 11'!F38</f>
        <v>-3.7834979593753815E-10</v>
      </c>
      <c r="G40" s="499">
        <f>+G37-G35-'Tab. 11'!G38</f>
        <v>-3.7834979593753815E-10</v>
      </c>
      <c r="H40" s="499">
        <f>+H37-H35-'Tab. 11'!H38</f>
        <v>-3.2014213502407074E-10</v>
      </c>
      <c r="I40" s="499">
        <f>+I37-I35-'Tab. 11'!I38</f>
        <v>-3.4924596548080444E-10</v>
      </c>
      <c r="J40" s="499">
        <f>+J37-J35-'Tab. 11'!J38</f>
        <v>0</v>
      </c>
      <c r="K40" s="499">
        <f>+K37-K35-'Tab. 11'!K38</f>
        <v>-3.4924596548080444E-10</v>
      </c>
      <c r="L40" s="499">
        <f>+L37-L35-'Tab. 11'!L38</f>
        <v>-3.7834979593753815E-10</v>
      </c>
      <c r="M40" s="499">
        <f>+M37-M35-'Tab. 11'!M38</f>
        <v>-3.7834979593753815E-10</v>
      </c>
      <c r="N40" s="499">
        <f>+N37-N35-'Tab. 11'!N38</f>
        <v>0</v>
      </c>
      <c r="O40" s="499">
        <f>+O37-O35-'Tab. 11'!O38</f>
        <v>-4.1909515857696533E-9</v>
      </c>
    </row>
    <row r="41" spans="2:17" ht="15" thickBot="1" x14ac:dyDescent="0.25"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</row>
    <row r="42" spans="2:17" x14ac:dyDescent="0.2">
      <c r="B42" s="476" t="s">
        <v>1371</v>
      </c>
      <c r="C42" s="997">
        <f>'Tab. 13'!C22</f>
        <v>1150.1780425531915</v>
      </c>
      <c r="D42" s="997">
        <f>'Tab. 13'!D22</f>
        <v>1302.5023084764475</v>
      </c>
      <c r="E42" s="997">
        <f>'Tab. 13'!E22</f>
        <v>1460.4891654922603</v>
      </c>
      <c r="F42" s="997">
        <f>'Tab. 13'!F22</f>
        <v>1341.8743829787234</v>
      </c>
      <c r="G42" s="997">
        <f>'Tab. 13'!G22</f>
        <v>1341.8743829787234</v>
      </c>
      <c r="H42" s="997">
        <f>'Tab. 13'!H22</f>
        <v>1405.7731631205661</v>
      </c>
      <c r="I42" s="997">
        <f>'Tab. 13'!I22</f>
        <v>1235.9064964539014</v>
      </c>
      <c r="J42" s="997">
        <f>'Tab. 13'!J22</f>
        <v>766.7853617021276</v>
      </c>
      <c r="K42" s="997">
        <f>'Tab. 13'!K22</f>
        <v>1321.7230167271032</v>
      </c>
      <c r="L42" s="997">
        <f>'Tab. 13'!L22</f>
        <v>1165.879881353108</v>
      </c>
      <c r="M42" s="997">
        <f>'Tab. 13'!M22</f>
        <v>1172.0077163120568</v>
      </c>
      <c r="N42" s="997">
        <f>'Tab. 13'!N22</f>
        <v>766.7853617021276</v>
      </c>
      <c r="O42" s="998"/>
    </row>
    <row r="43" spans="2:17" x14ac:dyDescent="0.2">
      <c r="B43" s="478" t="s">
        <v>1372</v>
      </c>
      <c r="C43" s="578">
        <f>'Tab. 13'!C27</f>
        <v>73.821957446808483</v>
      </c>
      <c r="D43" s="578">
        <f>'Tab. 13'!D27</f>
        <v>65.497691523552476</v>
      </c>
      <c r="E43" s="578">
        <f>'Tab. 13'!E27</f>
        <v>123.51083450773967</v>
      </c>
      <c r="F43" s="578">
        <f>'Tab. 13'!F27</f>
        <v>98.125617021276639</v>
      </c>
      <c r="G43" s="578">
        <f>'Tab. 13'!G27</f>
        <v>98.125617021276639</v>
      </c>
      <c r="H43" s="578">
        <f>'Tab. 13'!H27</f>
        <v>106.2268368794339</v>
      </c>
      <c r="I43" s="578">
        <f>'Tab. 13'!I27</f>
        <v>276.09350354609865</v>
      </c>
      <c r="J43" s="578">
        <f>'Tab. 13'!J27</f>
        <v>25.214638297872398</v>
      </c>
      <c r="K43" s="578">
        <f>'Tab. 13'!K27</f>
        <v>190.27698327289681</v>
      </c>
      <c r="L43" s="578">
        <f>'Tab. 13'!L27</f>
        <v>274.12011864689202</v>
      </c>
      <c r="M43" s="578">
        <f>'Tab. 13'!M27</f>
        <v>267.9922836879432</v>
      </c>
      <c r="N43" s="578">
        <f>'Tab. 13'!N27</f>
        <v>25.214638297872398</v>
      </c>
      <c r="O43" s="506"/>
    </row>
    <row r="44" spans="2:17" x14ac:dyDescent="0.2">
      <c r="B44" s="478"/>
      <c r="C44" s="971">
        <f>SUM(C42:C43)</f>
        <v>1224</v>
      </c>
      <c r="D44" s="971">
        <f t="shared" ref="D44:N44" si="24">SUM(D42:D43)</f>
        <v>1368</v>
      </c>
      <c r="E44" s="971">
        <f t="shared" si="24"/>
        <v>1584</v>
      </c>
      <c r="F44" s="971">
        <f t="shared" si="24"/>
        <v>1440</v>
      </c>
      <c r="G44" s="971">
        <f t="shared" si="24"/>
        <v>1440</v>
      </c>
      <c r="H44" s="971">
        <f t="shared" si="24"/>
        <v>1512</v>
      </c>
      <c r="I44" s="971">
        <f t="shared" si="24"/>
        <v>1512</v>
      </c>
      <c r="J44" s="971">
        <f t="shared" si="24"/>
        <v>792</v>
      </c>
      <c r="K44" s="971">
        <f t="shared" si="24"/>
        <v>1512</v>
      </c>
      <c r="L44" s="971">
        <f t="shared" si="24"/>
        <v>1440</v>
      </c>
      <c r="M44" s="971">
        <f t="shared" si="24"/>
        <v>1440</v>
      </c>
      <c r="N44" s="971">
        <f t="shared" si="24"/>
        <v>792</v>
      </c>
      <c r="O44" s="1005">
        <f>SUM(C44:N44)</f>
        <v>16056</v>
      </c>
    </row>
    <row r="45" spans="2:17" x14ac:dyDescent="0.2">
      <c r="B45" s="478" t="s">
        <v>1376</v>
      </c>
      <c r="C45" s="578">
        <f>'Tab. 13'!C44</f>
        <v>132.30701985294004</v>
      </c>
      <c r="D45" s="578">
        <f>'Tab. 13'!D44</f>
        <v>137.17618801111919</v>
      </c>
      <c r="E45" s="578">
        <f>'Tab. 13'!E44</f>
        <v>143.70838744022004</v>
      </c>
      <c r="F45" s="578">
        <f>'Tab. 13'!F44</f>
        <v>143.7083874402195</v>
      </c>
      <c r="G45" s="578">
        <f>'Tab. 13'!G44</f>
        <v>91.792262994646734</v>
      </c>
      <c r="H45" s="578">
        <f>'Tab. 13'!H44</f>
        <v>166.894184397163</v>
      </c>
      <c r="I45" s="578">
        <f>'Tab. 13'!I44</f>
        <v>146.72751773049654</v>
      </c>
      <c r="J45" s="578">
        <f>'Tab. 13'!J44</f>
        <v>91.033191489361698</v>
      </c>
      <c r="K45" s="578">
        <f>'Tab. 13'!K44</f>
        <v>110.31044020942849</v>
      </c>
      <c r="L45" s="578">
        <f>'Tab. 13'!L44</f>
        <v>159.30808510638295</v>
      </c>
      <c r="M45" s="578">
        <f>'Tab. 13'!M44</f>
        <v>139.14141843971629</v>
      </c>
      <c r="N45" s="578">
        <f>'Tab. 13'!N44</f>
        <v>91.033191489361698</v>
      </c>
      <c r="O45" s="506"/>
    </row>
    <row r="46" spans="2:17" x14ac:dyDescent="0.2">
      <c r="B46" s="478" t="s">
        <v>1377</v>
      </c>
      <c r="C46" s="578">
        <f>'Tab. 13'!C49</f>
        <v>139.69298014705996</v>
      </c>
      <c r="D46" s="578">
        <f>'Tab. 13'!D49</f>
        <v>166.82381198888081</v>
      </c>
      <c r="E46" s="578">
        <f>'Tab. 13'!E49</f>
        <v>208.29161255977996</v>
      </c>
      <c r="F46" s="578">
        <f>'Tab. 13'!F49</f>
        <v>176.2916125597805</v>
      </c>
      <c r="G46" s="578">
        <f>'Tab. 13'!G49</f>
        <v>228.20773700535327</v>
      </c>
      <c r="H46" s="578">
        <f>'Tab. 13'!H49</f>
        <v>169.105815602837</v>
      </c>
      <c r="I46" s="578">
        <f>'Tab. 13'!I49</f>
        <v>189.27248226950346</v>
      </c>
      <c r="J46" s="578">
        <f>'Tab. 13'!J49</f>
        <v>84.966808510638302</v>
      </c>
      <c r="K46" s="578">
        <f>'Tab. 13'!K49</f>
        <v>225.68955979057151</v>
      </c>
      <c r="L46" s="578">
        <f>'Tab. 13'!L49</f>
        <v>160.69191489361705</v>
      </c>
      <c r="M46" s="578">
        <f>'Tab. 13'!M49</f>
        <v>180.85858156028371</v>
      </c>
      <c r="N46" s="578">
        <f>'Tab. 13'!N49</f>
        <v>84.966808510638302</v>
      </c>
      <c r="O46" s="506"/>
    </row>
    <row r="47" spans="2:17" x14ac:dyDescent="0.2">
      <c r="B47" s="478"/>
      <c r="C47" s="971">
        <f>SUM(C45:C46)</f>
        <v>272</v>
      </c>
      <c r="D47" s="971">
        <f t="shared" ref="D47" si="25">SUM(D45:D46)</f>
        <v>304</v>
      </c>
      <c r="E47" s="971">
        <f t="shared" ref="E47" si="26">SUM(E45:E46)</f>
        <v>352</v>
      </c>
      <c r="F47" s="971">
        <f t="shared" ref="F47" si="27">SUM(F45:F46)</f>
        <v>320</v>
      </c>
      <c r="G47" s="971">
        <f t="shared" ref="G47" si="28">SUM(G45:G46)</f>
        <v>320</v>
      </c>
      <c r="H47" s="971">
        <f t="shared" ref="H47" si="29">SUM(H45:H46)</f>
        <v>336</v>
      </c>
      <c r="I47" s="971">
        <f t="shared" ref="I47" si="30">SUM(I45:I46)</f>
        <v>336</v>
      </c>
      <c r="J47" s="971">
        <f t="shared" ref="J47" si="31">SUM(J45:J46)</f>
        <v>176</v>
      </c>
      <c r="K47" s="971">
        <f t="shared" ref="K47" si="32">SUM(K45:K46)</f>
        <v>336</v>
      </c>
      <c r="L47" s="971">
        <f t="shared" ref="L47" si="33">SUM(L45:L46)</f>
        <v>320</v>
      </c>
      <c r="M47" s="971">
        <f t="shared" ref="M47" si="34">SUM(M45:M46)</f>
        <v>320</v>
      </c>
      <c r="N47" s="971">
        <f t="shared" ref="N47" si="35">SUM(N45:N46)</f>
        <v>176</v>
      </c>
      <c r="O47" s="1005">
        <f>SUM(C47:N47)</f>
        <v>3568</v>
      </c>
    </row>
    <row r="48" spans="2:17" x14ac:dyDescent="0.2">
      <c r="B48" s="478"/>
      <c r="C48" s="971"/>
      <c r="O48" s="506"/>
    </row>
    <row r="49" spans="2:17" x14ac:dyDescent="0.2">
      <c r="B49" s="999" t="s">
        <v>1373</v>
      </c>
      <c r="C49" s="1000">
        <f>+C42*'Tab. 16'!$C$36+C45*'Tab. 16'!$D$36</f>
        <v>82687.593151393943</v>
      </c>
      <c r="D49" s="1000">
        <f>+D42*'Tab. 16'!$C$36+D45*'Tab. 16'!$D$36</f>
        <v>92425.543990266626</v>
      </c>
      <c r="E49" s="1000">
        <f>+E42*'Tab. 16'!$C$36+E45*'Tab. 16'!$D$36</f>
        <v>102667.55388937531</v>
      </c>
      <c r="F49" s="1000">
        <f>+F42*'Tab. 16'!$C$36+F45*'Tab. 16'!$D$36</f>
        <v>95448.053627083675</v>
      </c>
      <c r="G49" s="1000">
        <f>+G42*'Tab. 16'!$C$36+G45*'Tab. 16'!$D$36</f>
        <v>90471.788335495701</v>
      </c>
      <c r="H49" s="1000">
        <f>+H42*'Tab. 16'!$C$36+H45*'Tab. 16'!$D$36</f>
        <v>101559.66451462425</v>
      </c>
      <c r="I49" s="1000">
        <f>+I42*'Tab. 16'!$C$36+I45*'Tab. 16'!$D$36</f>
        <v>89287.697648655289</v>
      </c>
      <c r="J49" s="1000">
        <f>+J42*'Tab. 16'!$C$36+J45*'Tab. 16'!$D$36</f>
        <v>55396.180644340551</v>
      </c>
      <c r="K49" s="1000">
        <f>+K42*'Tab. 16'!$C$36+K45*'Tab. 16'!$D$36</f>
        <v>91020.278125241166</v>
      </c>
      <c r="L49" s="1000">
        <f>+L42*'Tab. 16'!$C$36+L45*'Tab. 16'!$D$36</f>
        <v>86231.393686537631</v>
      </c>
      <c r="M49" s="1000">
        <f>+M42*'Tab. 16'!$C$36+M45*'Tab. 16'!$D$36</f>
        <v>84671.349261626863</v>
      </c>
      <c r="N49" s="1000">
        <f>+N42*'Tab. 16'!$C$36+N45*'Tab. 16'!$D$36</f>
        <v>55396.180644340551</v>
      </c>
      <c r="O49" s="1001">
        <f t="shared" ref="O49" si="36">SUM(C49:N49)</f>
        <v>1027263.2775189815</v>
      </c>
    </row>
    <row r="50" spans="2:17" x14ac:dyDescent="0.2">
      <c r="B50" s="999" t="s">
        <v>1374</v>
      </c>
      <c r="C50" s="1000">
        <f>+C43*'Tab. 16'!$C$36+C46*'Tab. 16'!$D$36</f>
        <v>17883.034651296639</v>
      </c>
      <c r="D50" s="1000">
        <f>+D43*'Tab. 16'!$C$36+D46*'Tab. 16'!$D$36</f>
        <v>19976.92237744639</v>
      </c>
      <c r="E50" s="1000">
        <f>+E43*'Tab. 16'!$C$36+E46*'Tab. 16'!$D$36</f>
        <v>27482.670325871324</v>
      </c>
      <c r="F50" s="1000">
        <f>+F43*'Tab. 16'!$C$36+F46*'Tab. 16'!$D$36</f>
        <v>22870.33202314056</v>
      </c>
      <c r="G50" s="1000">
        <f>+G43*'Tab. 16'!$C$36+G46*'Tab. 16'!$D$36</f>
        <v>27846.597314728529</v>
      </c>
      <c r="H50" s="1000">
        <f>+H43*'Tab. 16'!$C$36+H46*'Tab. 16'!$D$36</f>
        <v>22674.640418111168</v>
      </c>
      <c r="I50" s="1000">
        <f>+I43*'Tab. 16'!$C$36+I46*'Tab. 16'!$D$36</f>
        <v>34946.607284080135</v>
      </c>
      <c r="J50" s="1000">
        <f>+J43*'Tab. 16'!$C$36+J46*'Tab. 16'!$D$36</f>
        <v>9678.9314632827682</v>
      </c>
      <c r="K50" s="1000">
        <f>+K43*'Tab. 16'!$C$36+K46*'Tab. 16'!$D$36</f>
        <v>33214.026807494265</v>
      </c>
      <c r="L50" s="1000">
        <f>+L43*'Tab. 16'!$C$36+L46*'Tab. 16'!$D$36</f>
        <v>32086.991963686589</v>
      </c>
      <c r="M50" s="1000">
        <f>+M43*'Tab. 16'!$C$36+M46*'Tab. 16'!$D$36</f>
        <v>33647.036388597357</v>
      </c>
      <c r="N50" s="1000">
        <f>+N43*'Tab. 16'!$C$36+N46*'Tab. 16'!$D$36</f>
        <v>9678.9314632827682</v>
      </c>
      <c r="O50" s="1001">
        <f>SUM(C50:N50)</f>
        <v>291986.72248101846</v>
      </c>
    </row>
    <row r="51" spans="2:17" ht="15" thickBot="1" x14ac:dyDescent="0.25">
      <c r="B51" s="1002" t="s">
        <v>1375</v>
      </c>
      <c r="C51" s="1003">
        <f>SUM(C49:C50)</f>
        <v>100570.62780269058</v>
      </c>
      <c r="D51" s="1003">
        <f t="shared" ref="D51:N51" si="37">SUM(D49:D50)</f>
        <v>112402.46636771302</v>
      </c>
      <c r="E51" s="1003">
        <f t="shared" si="37"/>
        <v>130150.22421524664</v>
      </c>
      <c r="F51" s="1003">
        <f t="shared" si="37"/>
        <v>118318.38565022423</v>
      </c>
      <c r="G51" s="1003">
        <f t="shared" si="37"/>
        <v>118318.38565022423</v>
      </c>
      <c r="H51" s="1003">
        <f t="shared" si="37"/>
        <v>124234.30493273542</v>
      </c>
      <c r="I51" s="1003">
        <f t="shared" si="37"/>
        <v>124234.30493273542</v>
      </c>
      <c r="J51" s="1003">
        <f t="shared" si="37"/>
        <v>65075.112107623318</v>
      </c>
      <c r="K51" s="1003">
        <f t="shared" si="37"/>
        <v>124234.30493273542</v>
      </c>
      <c r="L51" s="1003">
        <f t="shared" si="37"/>
        <v>118318.38565022423</v>
      </c>
      <c r="M51" s="1003">
        <f t="shared" si="37"/>
        <v>118318.38565022423</v>
      </c>
      <c r="N51" s="1003">
        <f t="shared" si="37"/>
        <v>65075.112107623318</v>
      </c>
      <c r="O51" s="1004">
        <f>SUM(O48:O50)</f>
        <v>1319250</v>
      </c>
      <c r="Q51" s="499">
        <f>+O51-'Tab. 16'!E35</f>
        <v>0</v>
      </c>
    </row>
    <row r="52" spans="2:17" x14ac:dyDescent="0.2">
      <c r="B52" s="476" t="s">
        <v>747</v>
      </c>
      <c r="C52" s="1006"/>
      <c r="D52" s="1006"/>
      <c r="E52" s="1006"/>
      <c r="F52" s="1006"/>
      <c r="G52" s="1006"/>
      <c r="H52" s="1006"/>
      <c r="I52" s="1006"/>
      <c r="J52" s="1006"/>
      <c r="K52" s="1006"/>
      <c r="L52" s="1006"/>
      <c r="M52" s="1006"/>
      <c r="N52" s="1006"/>
      <c r="O52" s="998"/>
    </row>
    <row r="53" spans="2:17" x14ac:dyDescent="0.2">
      <c r="B53" s="478" t="s">
        <v>1378</v>
      </c>
      <c r="C53" s="484">
        <f>'Tab. 15'!$E$24/'Mens costi industriali DIR'!$O$44*'Mens costi industriali DIR'!C44+'Tab. 15'!$F$24/'Mens costi industriali DIR'!$O$47*'Mens costi industriali DIR'!C47</f>
        <v>87763.45291479821</v>
      </c>
      <c r="D53" s="484">
        <f>'Tab. 15'!$E$24/'Mens costi industriali DIR'!$O$44*'Mens costi industriali DIR'!D44+'Tab. 15'!$F$24/'Mens costi industriali DIR'!$O$47*'Mens costi industriali DIR'!D47</f>
        <v>98088.565022421521</v>
      </c>
      <c r="E53" s="484">
        <f>'Tab. 15'!$E$24/'Mens costi industriali DIR'!$O$44*'Mens costi industriali DIR'!E44+'Tab. 15'!$F$24/'Mens costi industriali DIR'!$O$47*'Mens costi industriali DIR'!E47</f>
        <v>113576.2331838565</v>
      </c>
      <c r="F53" s="484">
        <f>'Tab. 15'!$E$24/'Mens costi industriali DIR'!$O$44*'Mens costi industriali DIR'!F44+'Tab. 15'!$F$24/'Mens costi industriali DIR'!$O$47*'Mens costi industriali DIR'!F47</f>
        <v>103251.12107623319</v>
      </c>
      <c r="G53" s="484">
        <f>'Tab. 15'!$E$24/'Mens costi industriali DIR'!$O$44*'Mens costi industriali DIR'!G44+'Tab. 15'!$F$24/'Mens costi industriali DIR'!$O$47*'Mens costi industriali DIR'!G47</f>
        <v>103251.12107623319</v>
      </c>
      <c r="H53" s="484">
        <f>'Tab. 15'!$E$24/'Mens costi industriali DIR'!$O$44*'Mens costi industriali DIR'!H44+'Tab. 15'!$F$24/'Mens costi industriali DIR'!$O$47*'Mens costi industriali DIR'!H47</f>
        <v>108413.67713004485</v>
      </c>
      <c r="I53" s="484">
        <f>'Tab. 15'!$E$24/'Mens costi industriali DIR'!$O$44*'Mens costi industriali DIR'!I44+'Tab. 15'!$F$24/'Mens costi industriali DIR'!$O$47*'Mens costi industriali DIR'!I47</f>
        <v>108413.67713004485</v>
      </c>
      <c r="J53" s="484">
        <f>'Tab. 15'!$E$24/'Mens costi industriali DIR'!$O$44*'Mens costi industriali DIR'!J44+'Tab. 15'!$F$24/'Mens costi industriali DIR'!$O$47*'Mens costi industriali DIR'!J47</f>
        <v>56788.11659192825</v>
      </c>
      <c r="K53" s="484">
        <f>'Tab. 15'!$E$24/'Mens costi industriali DIR'!$O$44*'Mens costi industriali DIR'!K44+'Tab. 15'!$F$24/'Mens costi industriali DIR'!$O$47*'Mens costi industriali DIR'!K47</f>
        <v>108413.67713004485</v>
      </c>
      <c r="L53" s="484">
        <f>'Tab. 15'!$E$24/'Mens costi industriali DIR'!$O$44*'Mens costi industriali DIR'!L44+'Tab. 15'!$F$24/'Mens costi industriali DIR'!$O$47*'Mens costi industriali DIR'!L47</f>
        <v>103251.12107623319</v>
      </c>
      <c r="M53" s="484">
        <f>'Tab. 15'!$E$24/'Mens costi industriali DIR'!$O$44*'Mens costi industriali DIR'!M44+'Tab. 15'!$F$24/'Mens costi industriali DIR'!$O$47*'Mens costi industriali DIR'!M47</f>
        <v>103251.12107623319</v>
      </c>
      <c r="N53" s="484">
        <f>'Tab. 15'!$E$24/'Mens costi industriali DIR'!$O$44*'Mens costi industriali DIR'!N44+'Tab. 15'!$F$24/'Mens costi industriali DIR'!$O$47*'Mens costi industriali DIR'!N47</f>
        <v>56788.11659192825</v>
      </c>
      <c r="O53" s="479">
        <f>'Tab. 15'!$E$24/'Mens costi industriali DIR'!$O$44*'Mens costi industriali DIR'!O44+'Tab. 15'!$F$24/'Mens costi industriali DIR'!$O$47*'Mens costi industriali DIR'!O47</f>
        <v>1151250</v>
      </c>
    </row>
    <row r="54" spans="2:17" x14ac:dyDescent="0.2">
      <c r="B54" s="478" t="s">
        <v>697</v>
      </c>
      <c r="C54" s="484">
        <f>'Tab. 15'!$E$26/'Mens costi industriali DIR'!$O$44*'Mens costi industriali DIR'!C44+'Tab. 15'!$F$26/'Mens costi industriali DIR'!$O$47*'Mens costi industriali DIR'!C47</f>
        <v>9147.9820627802692</v>
      </c>
      <c r="D54" s="484">
        <f>'Tab. 15'!$E$26/'Mens costi industriali DIR'!$O$44*'Mens costi industriali DIR'!D44+'Tab. 15'!$F$26/'Mens costi industriali DIR'!$O$47*'Mens costi industriali DIR'!D47</f>
        <v>10224.21524663677</v>
      </c>
      <c r="E54" s="484">
        <f>'Tab. 15'!$E$26/'Mens costi industriali DIR'!$O$44*'Mens costi industriali DIR'!E44+'Tab. 15'!$F$26/'Mens costi industriali DIR'!$O$47*'Mens costi industriali DIR'!E47</f>
        <v>11838.565022421524</v>
      </c>
      <c r="F54" s="484">
        <f>'Tab. 15'!$E$26/'Mens costi industriali DIR'!$O$44*'Mens costi industriali DIR'!F44+'Tab. 15'!$F$26/'Mens costi industriali DIR'!$O$47*'Mens costi industriali DIR'!F47</f>
        <v>10762.331838565022</v>
      </c>
      <c r="G54" s="484">
        <f>'Tab. 15'!$E$26/'Mens costi industriali DIR'!$O$44*'Mens costi industriali DIR'!G44+'Tab. 15'!$F$26/'Mens costi industriali DIR'!$O$47*'Mens costi industriali DIR'!G47</f>
        <v>10762.331838565022</v>
      </c>
      <c r="H54" s="484">
        <f>'Tab. 15'!$E$26/'Mens costi industriali DIR'!$O$44*'Mens costi industriali DIR'!H44+'Tab. 15'!$F$26/'Mens costi industriali DIR'!$O$47*'Mens costi industriali DIR'!H47</f>
        <v>11300.448430493272</v>
      </c>
      <c r="I54" s="484">
        <f>'Tab. 15'!$E$26/'Mens costi industriali DIR'!$O$44*'Mens costi industriali DIR'!I44+'Tab. 15'!$F$26/'Mens costi industriali DIR'!$O$47*'Mens costi industriali DIR'!I47</f>
        <v>11300.448430493272</v>
      </c>
      <c r="J54" s="484">
        <f>'Tab. 15'!$E$26/'Mens costi industriali DIR'!$O$44*'Mens costi industriali DIR'!J44+'Tab. 15'!$F$26/'Mens costi industriali DIR'!$O$47*'Mens costi industriali DIR'!J47</f>
        <v>5919.2825112107621</v>
      </c>
      <c r="K54" s="484">
        <f>'Tab. 15'!$E$26/'Mens costi industriali DIR'!$O$44*'Mens costi industriali DIR'!K44+'Tab. 15'!$F$26/'Mens costi industriali DIR'!$O$47*'Mens costi industriali DIR'!K47</f>
        <v>11300.448430493272</v>
      </c>
      <c r="L54" s="484">
        <f>'Tab. 15'!$E$26/'Mens costi industriali DIR'!$O$44*'Mens costi industriali DIR'!L44+'Tab. 15'!$F$26/'Mens costi industriali DIR'!$O$47*'Mens costi industriali DIR'!L47</f>
        <v>10762.331838565022</v>
      </c>
      <c r="M54" s="484">
        <f>'Tab. 15'!$E$26/'Mens costi industriali DIR'!$O$44*'Mens costi industriali DIR'!M44+'Tab. 15'!$F$26/'Mens costi industriali DIR'!$O$47*'Mens costi industriali DIR'!M47</f>
        <v>10762.331838565022</v>
      </c>
      <c r="N54" s="484">
        <f>'Tab. 15'!$E$26/'Mens costi industriali DIR'!$O$44*'Mens costi industriali DIR'!N44+'Tab. 15'!$F$26/'Mens costi industriali DIR'!$O$47*'Mens costi industriali DIR'!N47</f>
        <v>5919.2825112107621</v>
      </c>
      <c r="O54" s="479">
        <f>'Tab. 15'!$E$26/'Mens costi industriali DIR'!$O$44*'Mens costi industriali DIR'!O44+'Tab. 15'!$F$26/'Mens costi industriali DIR'!$O$47*'Mens costi industriali DIR'!O47</f>
        <v>120000</v>
      </c>
    </row>
    <row r="55" spans="2:17" x14ac:dyDescent="0.2">
      <c r="B55" s="478" t="s">
        <v>699</v>
      </c>
      <c r="C55" s="484">
        <f>'Tab. 15'!$E$27/'Mens costi industriali DIR'!$O$44*'Mens costi industriali DIR'!C44+'Tab. 15'!$F$27/'Mens costi industriali DIR'!$O$47*'Mens costi industriali DIR'!C47</f>
        <v>3659.1928251121076</v>
      </c>
      <c r="D55" s="484">
        <f>'Tab. 15'!$E$27/'Mens costi industriali DIR'!$O$44*'Mens costi industriali DIR'!D44+'Tab. 15'!$F$27/'Mens costi industriali DIR'!$O$47*'Mens costi industriali DIR'!D47</f>
        <v>4089.6860986547085</v>
      </c>
      <c r="E55" s="484">
        <f>'Tab. 15'!$E$27/'Mens costi industriali DIR'!$O$44*'Mens costi industriali DIR'!E44+'Tab. 15'!$F$27/'Mens costi industriali DIR'!$O$47*'Mens costi industriali DIR'!E47</f>
        <v>4735.4260089686095</v>
      </c>
      <c r="F55" s="484">
        <f>'Tab. 15'!$E$27/'Mens costi industriali DIR'!$O$44*'Mens costi industriali DIR'!F44+'Tab. 15'!$F$27/'Mens costi industriali DIR'!$O$47*'Mens costi industriali DIR'!F47</f>
        <v>4304.9327354260085</v>
      </c>
      <c r="G55" s="484">
        <f>'Tab. 15'!$E$27/'Mens costi industriali DIR'!$O$44*'Mens costi industriali DIR'!G44+'Tab. 15'!$F$27/'Mens costi industriali DIR'!$O$47*'Mens costi industriali DIR'!G47</f>
        <v>4304.9327354260085</v>
      </c>
      <c r="H55" s="484">
        <f>'Tab. 15'!$E$27/'Mens costi industriali DIR'!$O$44*'Mens costi industriali DIR'!H44+'Tab. 15'!$F$27/'Mens costi industriali DIR'!$O$47*'Mens costi industriali DIR'!H47</f>
        <v>4520.179372197309</v>
      </c>
      <c r="I55" s="484">
        <f>'Tab. 15'!$E$27/'Mens costi industriali DIR'!$O$44*'Mens costi industriali DIR'!I44+'Tab. 15'!$F$27/'Mens costi industriali DIR'!$O$47*'Mens costi industriali DIR'!I47</f>
        <v>4520.179372197309</v>
      </c>
      <c r="J55" s="484">
        <f>'Tab. 15'!$E$27/'Mens costi industriali DIR'!$O$44*'Mens costi industriali DIR'!J44+'Tab. 15'!$F$27/'Mens costi industriali DIR'!$O$47*'Mens costi industriali DIR'!J47</f>
        <v>2367.7130044843047</v>
      </c>
      <c r="K55" s="484">
        <f>'Tab. 15'!$E$27/'Mens costi industriali DIR'!$O$44*'Mens costi industriali DIR'!K44+'Tab. 15'!$F$27/'Mens costi industriali DIR'!$O$47*'Mens costi industriali DIR'!K47</f>
        <v>4520.179372197309</v>
      </c>
      <c r="L55" s="484">
        <f>'Tab. 15'!$E$27/'Mens costi industriali DIR'!$O$44*'Mens costi industriali DIR'!L44+'Tab. 15'!$F$27/'Mens costi industriali DIR'!$O$47*'Mens costi industriali DIR'!L47</f>
        <v>4304.9327354260085</v>
      </c>
      <c r="M55" s="484">
        <f>'Tab. 15'!$E$27/'Mens costi industriali DIR'!$O$44*'Mens costi industriali DIR'!M44+'Tab. 15'!$F$27/'Mens costi industriali DIR'!$O$47*'Mens costi industriali DIR'!M47</f>
        <v>4304.9327354260085</v>
      </c>
      <c r="N55" s="484">
        <f>'Tab. 15'!$E$27/'Mens costi industriali DIR'!$O$44*'Mens costi industriali DIR'!N44+'Tab. 15'!$F$27/'Mens costi industriali DIR'!$O$47*'Mens costi industriali DIR'!N47</f>
        <v>2367.7130044843047</v>
      </c>
      <c r="O55" s="479">
        <f>'Tab. 15'!$E$27/'Mens costi industriali DIR'!$O$44*'Mens costi industriali DIR'!O44+'Tab. 15'!$F$27/'Mens costi industriali DIR'!$O$47*'Mens costi industriali DIR'!O47</f>
        <v>48000</v>
      </c>
    </row>
    <row r="56" spans="2:17" s="427" customFormat="1" ht="15" thickBot="1" x14ac:dyDescent="0.25">
      <c r="B56" s="974"/>
      <c r="C56" s="975">
        <f>SUM(C53:C55)</f>
        <v>100570.62780269059</v>
      </c>
      <c r="D56" s="975">
        <f t="shared" ref="D56:O56" si="38">SUM(D53:D55)</f>
        <v>112402.466367713</v>
      </c>
      <c r="E56" s="975">
        <f t="shared" si="38"/>
        <v>130150.22421524664</v>
      </c>
      <c r="F56" s="975">
        <f t="shared" si="38"/>
        <v>118318.38565022421</v>
      </c>
      <c r="G56" s="975">
        <f t="shared" si="38"/>
        <v>118318.38565022421</v>
      </c>
      <c r="H56" s="975">
        <f t="shared" si="38"/>
        <v>124234.30493273542</v>
      </c>
      <c r="I56" s="975">
        <f t="shared" si="38"/>
        <v>124234.30493273542</v>
      </c>
      <c r="J56" s="975">
        <f t="shared" si="38"/>
        <v>65075.112107623318</v>
      </c>
      <c r="K56" s="975">
        <f t="shared" si="38"/>
        <v>124234.30493273542</v>
      </c>
      <c r="L56" s="975">
        <f t="shared" si="38"/>
        <v>118318.38565022421</v>
      </c>
      <c r="M56" s="975">
        <f t="shared" si="38"/>
        <v>118318.38565022421</v>
      </c>
      <c r="N56" s="975">
        <f t="shared" si="38"/>
        <v>65075.112107623318</v>
      </c>
      <c r="O56" s="976">
        <f t="shared" si="38"/>
        <v>1319250</v>
      </c>
    </row>
    <row r="57" spans="2:17" hidden="1" outlineLevel="1" x14ac:dyDescent="0.2">
      <c r="B57" s="1007"/>
      <c r="C57" s="1008"/>
      <c r="D57" s="1008"/>
      <c r="E57" s="1008"/>
      <c r="F57" s="1008"/>
      <c r="G57" s="1008"/>
      <c r="H57" s="1008"/>
      <c r="I57" s="1008"/>
      <c r="J57" s="1008"/>
      <c r="K57" s="1008"/>
      <c r="L57" s="1008"/>
      <c r="M57" s="1008"/>
      <c r="N57" s="1008"/>
      <c r="O57" s="1009"/>
    </row>
    <row r="58" spans="2:17" hidden="1" outlineLevel="1" x14ac:dyDescent="0.2">
      <c r="B58" s="1010"/>
      <c r="C58" s="1011">
        <f>+C38+C49</f>
        <v>279512.11976353644</v>
      </c>
      <c r="D58" s="1011">
        <f t="shared" ref="D58:O58" si="39">+D38+D49</f>
        <v>313545.49642272829</v>
      </c>
      <c r="E58" s="1011">
        <f t="shared" si="39"/>
        <v>349193.55128357641</v>
      </c>
      <c r="F58" s="1011">
        <f t="shared" si="39"/>
        <v>323585.95625795069</v>
      </c>
      <c r="G58" s="1011">
        <f t="shared" si="39"/>
        <v>311342.70385218097</v>
      </c>
      <c r="H58" s="1011">
        <f t="shared" si="39"/>
        <v>342848.83257530374</v>
      </c>
      <c r="I58" s="1011">
        <f t="shared" si="39"/>
        <v>301420.67767238535</v>
      </c>
      <c r="J58" s="1011">
        <f t="shared" si="39"/>
        <v>187008.45413198401</v>
      </c>
      <c r="K58" s="1011">
        <f t="shared" si="39"/>
        <v>311359.34729169839</v>
      </c>
      <c r="L58" s="1011">
        <f t="shared" si="39"/>
        <v>289269.56488808768</v>
      </c>
      <c r="M58" s="1011">
        <f t="shared" si="39"/>
        <v>285836.63982805319</v>
      </c>
      <c r="N58" s="1011">
        <f t="shared" si="39"/>
        <v>187008.45413198401</v>
      </c>
      <c r="O58" s="1012">
        <f t="shared" si="39"/>
        <v>3481931.7980994689</v>
      </c>
    </row>
    <row r="59" spans="2:17" ht="15" hidden="1" outlineLevel="1" thickBot="1" x14ac:dyDescent="0.25">
      <c r="B59" s="1013"/>
      <c r="C59" s="1014">
        <f>+C58-CE_3_mens!C17</f>
        <v>0</v>
      </c>
      <c r="D59" s="1014">
        <f>+D58-CE_3_mens!D17</f>
        <v>0</v>
      </c>
      <c r="E59" s="1014">
        <f>+E58-CE_3_mens!E17</f>
        <v>0</v>
      </c>
      <c r="F59" s="1014">
        <f>+F58-CE_3_mens!F17</f>
        <v>0</v>
      </c>
      <c r="G59" s="1014">
        <f>+G58-CE_3_mens!G17</f>
        <v>0</v>
      </c>
      <c r="H59" s="1014">
        <f>+H58-CE_3_mens!H17</f>
        <v>0</v>
      </c>
      <c r="I59" s="1014">
        <f>+I58-CE_3_mens!I17</f>
        <v>0</v>
      </c>
      <c r="J59" s="1014">
        <f>+J58-CE_3_mens!J17</f>
        <v>0</v>
      </c>
      <c r="K59" s="1014">
        <f>+K58-CE_3_mens!K17</f>
        <v>0</v>
      </c>
      <c r="L59" s="1014">
        <f>+L58-CE_3_mens!L17</f>
        <v>0</v>
      </c>
      <c r="M59" s="1014">
        <f>+M58-CE_3_mens!M17</f>
        <v>0</v>
      </c>
      <c r="N59" s="1014">
        <f>+N58-CE_3_mens!N17</f>
        <v>0</v>
      </c>
      <c r="O59" s="1015">
        <f>+O58-CE_3_mens!O17</f>
        <v>0</v>
      </c>
    </row>
    <row r="60" spans="2:17" collapsed="1" x14ac:dyDescent="0.2"/>
  </sheetData>
  <mergeCells count="1">
    <mergeCell ref="C3:O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9F25-955B-644F-B669-17F0B68E0C1B}">
  <sheetPr codeName="Foglio62">
    <tabColor rgb="FFFF0000"/>
  </sheetPr>
  <dimension ref="B2:Q62"/>
  <sheetViews>
    <sheetView topLeftCell="A28" zoomScale="170" zoomScaleNormal="170" workbookViewId="0">
      <selection activeCell="C61" sqref="C61:O61"/>
    </sheetView>
  </sheetViews>
  <sheetFormatPr baseColWidth="10" defaultRowHeight="14" outlineLevelRow="1" x14ac:dyDescent="0.2"/>
  <cols>
    <col min="1" max="1" width="10.83203125" style="2"/>
    <col min="2" max="2" width="26.6640625" style="2" customWidth="1"/>
    <col min="3" max="13" width="12" style="2" bestFit="1" customWidth="1"/>
    <col min="14" max="14" width="11" style="2" bestFit="1" customWidth="1"/>
    <col min="15" max="16384" width="10.83203125" style="2"/>
  </cols>
  <sheetData>
    <row r="2" spans="2:17" ht="15" thickBot="1" x14ac:dyDescent="0.25"/>
    <row r="3" spans="2:17" ht="16" x14ac:dyDescent="0.2">
      <c r="B3" s="977"/>
      <c r="C3" s="1034" t="s">
        <v>196</v>
      </c>
      <c r="D3" s="1034"/>
      <c r="E3" s="1034"/>
      <c r="F3" s="1034"/>
      <c r="G3" s="1034"/>
      <c r="H3" s="1034"/>
      <c r="I3" s="1034"/>
      <c r="J3" s="1034"/>
      <c r="K3" s="1034"/>
      <c r="L3" s="1034"/>
      <c r="M3" s="1034"/>
      <c r="N3" s="1034"/>
      <c r="O3" s="1035"/>
    </row>
    <row r="4" spans="2:17" ht="16" x14ac:dyDescent="0.2">
      <c r="B4" s="230"/>
      <c r="C4" s="337" t="s">
        <v>211</v>
      </c>
      <c r="D4" s="337" t="s">
        <v>212</v>
      </c>
      <c r="E4" s="337" t="s">
        <v>213</v>
      </c>
      <c r="F4" s="337" t="s">
        <v>214</v>
      </c>
      <c r="G4" s="337" t="s">
        <v>215</v>
      </c>
      <c r="H4" s="337" t="s">
        <v>216</v>
      </c>
      <c r="I4" s="337" t="s">
        <v>217</v>
      </c>
      <c r="J4" s="337" t="s">
        <v>218</v>
      </c>
      <c r="K4" s="337" t="s">
        <v>219</v>
      </c>
      <c r="L4" s="337" t="s">
        <v>220</v>
      </c>
      <c r="M4" s="337" t="s">
        <v>221</v>
      </c>
      <c r="N4" s="337" t="s">
        <v>222</v>
      </c>
      <c r="O4" s="342" t="s">
        <v>179</v>
      </c>
    </row>
    <row r="5" spans="2:17" ht="16" x14ac:dyDescent="0.2">
      <c r="B5" s="28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338"/>
    </row>
    <row r="6" spans="2:17" ht="16" x14ac:dyDescent="0.2">
      <c r="B6" s="978" t="s">
        <v>1370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970"/>
    </row>
    <row r="7" spans="2:17" ht="16" x14ac:dyDescent="0.2">
      <c r="B7" s="438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970"/>
    </row>
    <row r="8" spans="2:17" x14ac:dyDescent="0.2">
      <c r="B8" s="979" t="s">
        <v>189</v>
      </c>
      <c r="O8" s="506"/>
    </row>
    <row r="9" spans="2:17" x14ac:dyDescent="0.2">
      <c r="B9" s="503"/>
      <c r="O9" s="506"/>
    </row>
    <row r="10" spans="2:17" x14ac:dyDescent="0.2">
      <c r="B10" s="503" t="s">
        <v>1346</v>
      </c>
      <c r="C10" s="578">
        <f>'Tab. 12'!C23-C11</f>
        <v>13271.285106382978</v>
      </c>
      <c r="D10" s="578">
        <f>'Tab. 12'!D23-D11</f>
        <v>14745.872340425531</v>
      </c>
      <c r="E10" s="578">
        <f>'Tab. 12'!E23-E11</f>
        <v>16851.798063372233</v>
      </c>
      <c r="F10" s="578">
        <f>'Tab. 12'!F23-F11</f>
        <v>15483.165957446807</v>
      </c>
      <c r="G10" s="578">
        <f>'Tab. 12'!G23-G11</f>
        <v>15483.165957446807</v>
      </c>
      <c r="H10" s="578">
        <f>'Tab. 12'!H23-H11</f>
        <v>16220.45957446807</v>
      </c>
      <c r="I10" s="578">
        <f>'Tab. 12'!I23-I11</f>
        <v>14260.459574468092</v>
      </c>
      <c r="J10" s="578">
        <f>'Tab. 12'!J23-J11</f>
        <v>8847.5234042553184</v>
      </c>
      <c r="K10" s="578">
        <f>'Tab. 12'!K23-K11</f>
        <v>15250.650193005036</v>
      </c>
      <c r="L10" s="578">
        <f>'Tab. 12'!L23-L11</f>
        <v>13452.460169458936</v>
      </c>
      <c r="M10" s="578">
        <f>'Tab. 12'!M23-M11</f>
        <v>13523.165957446809</v>
      </c>
      <c r="N10" s="578">
        <f>'Tab. 12'!N23-N11</f>
        <v>8847.5234042553184</v>
      </c>
      <c r="O10" s="506"/>
    </row>
    <row r="11" spans="2:17" x14ac:dyDescent="0.2">
      <c r="B11" s="503" t="s">
        <v>1347</v>
      </c>
      <c r="C11" s="578">
        <f>'Tab. 12'!C26</f>
        <v>0</v>
      </c>
      <c r="D11" s="578">
        <f>'Tab. 12'!D26</f>
        <v>283.00044968732618</v>
      </c>
      <c r="E11" s="578">
        <f>'Tab. 12'!E26</f>
        <v>0</v>
      </c>
      <c r="F11" s="578">
        <f>'Tab. 12'!F26</f>
        <v>0</v>
      </c>
      <c r="G11" s="578">
        <f>'Tab. 12'!G26</f>
        <v>0</v>
      </c>
      <c r="H11" s="578">
        <f>'Tab. 12'!H26</f>
        <v>0</v>
      </c>
      <c r="I11" s="578">
        <f>'Tab. 12'!I26</f>
        <v>0</v>
      </c>
      <c r="J11" s="578">
        <f>'Tab. 12'!J26</f>
        <v>0</v>
      </c>
      <c r="K11" s="578">
        <f>'Tab. 12'!K26</f>
        <v>0</v>
      </c>
      <c r="L11" s="578">
        <f>'Tab. 12'!L26</f>
        <v>0</v>
      </c>
      <c r="M11" s="578">
        <f>'Tab. 12'!M26</f>
        <v>0</v>
      </c>
      <c r="N11" s="578">
        <f>'Tab. 12'!N26</f>
        <v>0</v>
      </c>
      <c r="O11" s="506"/>
    </row>
    <row r="12" spans="2:17" x14ac:dyDescent="0.2">
      <c r="B12" s="503" t="s">
        <v>1348</v>
      </c>
      <c r="C12" s="578">
        <f>+'Tab. 12'!C28</f>
        <v>0</v>
      </c>
      <c r="D12" s="578">
        <f>+'Tab. 12'!D28</f>
        <v>0</v>
      </c>
      <c r="E12" s="578">
        <f>+'Tab. 12'!E28</f>
        <v>105.95512811712979</v>
      </c>
      <c r="F12" s="578">
        <f>+'Tab. 12'!F28</f>
        <v>0</v>
      </c>
      <c r="G12" s="578">
        <f>+'Tab. 12'!G28</f>
        <v>0</v>
      </c>
      <c r="H12" s="578">
        <f>+'Tab. 12'!H28</f>
        <v>1.4551915228366852E-11</v>
      </c>
      <c r="I12" s="578">
        <f>+'Tab. 12'!I28</f>
        <v>1959.9999999999927</v>
      </c>
      <c r="J12" s="578">
        <f>+'Tab. 12'!J28</f>
        <v>0</v>
      </c>
      <c r="K12" s="578">
        <f>+'Tab. 12'!K28</f>
        <v>969.80938146304834</v>
      </c>
      <c r="L12" s="578">
        <f>+'Tab. 12'!L28</f>
        <v>2030.7057879878721</v>
      </c>
      <c r="M12" s="578">
        <f>+'Tab. 12'!M28</f>
        <v>1960</v>
      </c>
      <c r="N12" s="578">
        <f>+'Tab. 12'!N28</f>
        <v>0</v>
      </c>
      <c r="O12" s="506"/>
    </row>
    <row r="13" spans="2:17" s="427" customFormat="1" x14ac:dyDescent="0.2">
      <c r="B13" s="504"/>
      <c r="C13" s="971">
        <f>+C10+C12</f>
        <v>13271.285106382978</v>
      </c>
      <c r="D13" s="971">
        <f t="shared" ref="D13:N13" si="0">+D10+D12</f>
        <v>14745.872340425531</v>
      </c>
      <c r="E13" s="971">
        <f t="shared" si="0"/>
        <v>16957.753191489363</v>
      </c>
      <c r="F13" s="971">
        <f t="shared" si="0"/>
        <v>15483.165957446807</v>
      </c>
      <c r="G13" s="971">
        <f t="shared" si="0"/>
        <v>15483.165957446807</v>
      </c>
      <c r="H13" s="971">
        <f t="shared" si="0"/>
        <v>16220.459574468085</v>
      </c>
      <c r="I13" s="971">
        <f t="shared" si="0"/>
        <v>16220.459574468085</v>
      </c>
      <c r="J13" s="971">
        <f t="shared" si="0"/>
        <v>8847.5234042553184</v>
      </c>
      <c r="K13" s="971">
        <f t="shared" si="0"/>
        <v>16220.459574468085</v>
      </c>
      <c r="L13" s="971">
        <f t="shared" si="0"/>
        <v>15483.165957446809</v>
      </c>
      <c r="M13" s="971">
        <f t="shared" si="0"/>
        <v>15483.165957446809</v>
      </c>
      <c r="N13" s="971">
        <f t="shared" si="0"/>
        <v>8847.5234042553184</v>
      </c>
      <c r="O13" s="972">
        <f>SUM(C13:N13)</f>
        <v>173264.00000000003</v>
      </c>
      <c r="P13" s="968"/>
    </row>
    <row r="14" spans="2:17" x14ac:dyDescent="0.2">
      <c r="B14" s="503"/>
      <c r="O14" s="506"/>
    </row>
    <row r="15" spans="2:17" x14ac:dyDescent="0.2">
      <c r="B15" s="503" t="s">
        <v>1380</v>
      </c>
      <c r="C15" s="484">
        <f>C10*'Tab. 17'!$C$25</f>
        <v>23948.710775997431</v>
      </c>
      <c r="D15" s="484">
        <f>D10*'Tab. 17'!$C$25</f>
        <v>26609.678639997142</v>
      </c>
      <c r="E15" s="484">
        <f>E10*'Tab. 17'!$C$25</f>
        <v>30409.929003869362</v>
      </c>
      <c r="F15" s="484">
        <f>F10*'Tab. 17'!$C$25</f>
        <v>27940.162571997</v>
      </c>
      <c r="G15" s="484">
        <f>G10*'Tab. 17'!$C$25</f>
        <v>27940.162571997</v>
      </c>
      <c r="H15" s="484">
        <f>H10*'Tab. 17'!$C$25</f>
        <v>29270.646503996832</v>
      </c>
      <c r="I15" s="484">
        <f>I10*'Tab. 17'!$C$25</f>
        <v>25733.726549019877</v>
      </c>
      <c r="J15" s="484">
        <f>J10*'Tab. 17'!$C$25</f>
        <v>15965.807183998286</v>
      </c>
      <c r="K15" s="484">
        <f>K10*'Tab. 17'!$C$25</f>
        <v>27520.57601735372</v>
      </c>
      <c r="L15" s="484">
        <f>L10*'Tab. 17'!$C$25</f>
        <v>24275.650416781904</v>
      </c>
      <c r="M15" s="484">
        <f>M10*'Tab. 17'!$C$25</f>
        <v>24403.242617020005</v>
      </c>
      <c r="N15" s="484">
        <f>N10*'Tab. 17'!$C$25</f>
        <v>15965.807183998286</v>
      </c>
      <c r="O15" s="502">
        <f t="shared" ref="O15" si="1">SUM(C15:N15)</f>
        <v>299984.10003602685</v>
      </c>
      <c r="P15" s="499"/>
      <c r="Q15" s="499"/>
    </row>
    <row r="16" spans="2:17" x14ac:dyDescent="0.2">
      <c r="B16" s="503" t="s">
        <v>1395</v>
      </c>
      <c r="C16" s="484">
        <f>C11*'Tab. 17'!$C$25</f>
        <v>0</v>
      </c>
      <c r="D16" s="484">
        <f>D11*'Tab. 17'!$C$25</f>
        <v>510.68874375845274</v>
      </c>
      <c r="E16" s="484">
        <f>E11*'Tab. 17'!$C$25</f>
        <v>0</v>
      </c>
      <c r="F16" s="484">
        <f>F11*'Tab. 17'!$C$25</f>
        <v>0</v>
      </c>
      <c r="G16" s="484">
        <f>G11*'Tab. 17'!$C$25</f>
        <v>0</v>
      </c>
      <c r="H16" s="484">
        <f>H11*'Tab. 17'!$C$25</f>
        <v>0</v>
      </c>
      <c r="I16" s="484">
        <f>I11*'Tab. 17'!$C$25</f>
        <v>0</v>
      </c>
      <c r="J16" s="484">
        <f>J11*'Tab. 17'!$C$25</f>
        <v>0</v>
      </c>
      <c r="K16" s="484">
        <f>K11*'Tab. 17'!$C$25</f>
        <v>0</v>
      </c>
      <c r="L16" s="484">
        <f>L11*'Tab. 17'!$C$25</f>
        <v>0</v>
      </c>
      <c r="M16" s="484">
        <f>M11*'Tab. 17'!$C$25</f>
        <v>0</v>
      </c>
      <c r="N16" s="484">
        <f>N11*'Tab. 17'!$C$25</f>
        <v>0</v>
      </c>
      <c r="O16" s="502">
        <f t="shared" ref="O16" si="2">SUM(C16:N16)</f>
        <v>510.68874375845274</v>
      </c>
      <c r="P16" s="499"/>
      <c r="Q16" s="499"/>
    </row>
    <row r="17" spans="2:17" x14ac:dyDescent="0.2">
      <c r="B17" s="503" t="s">
        <v>1382</v>
      </c>
      <c r="C17" s="484">
        <f>C12*'Tab. 17'!$C$25</f>
        <v>0</v>
      </c>
      <c r="D17" s="484">
        <f>D12*'Tab. 17'!$C$25</f>
        <v>0</v>
      </c>
      <c r="E17" s="484">
        <f>E12*'Tab. 17'!$C$25</f>
        <v>191.20143212735741</v>
      </c>
      <c r="F17" s="484">
        <f>F12*'Tab. 17'!$C$25</f>
        <v>0</v>
      </c>
      <c r="G17" s="484">
        <f>G12*'Tab. 17'!$C$25</f>
        <v>0</v>
      </c>
      <c r="H17" s="484">
        <f>H12*'Tab. 17'!$C$25</f>
        <v>2.6259673139971607E-11</v>
      </c>
      <c r="I17" s="484">
        <f>I12*'Tab. 17'!$C$25</f>
        <v>3536.9199549769828</v>
      </c>
      <c r="J17" s="484">
        <f>J12*'Tab. 17'!$C$25</f>
        <v>0</v>
      </c>
      <c r="K17" s="484">
        <f>K12*'Tab. 17'!$C$25</f>
        <v>1750.0704866431395</v>
      </c>
      <c r="L17" s="484">
        <f>L12*'Tab. 17'!$C$25</f>
        <v>3664.5121552150968</v>
      </c>
      <c r="M17" s="484">
        <f>M12*'Tab. 17'!$C$25</f>
        <v>3536.919954976996</v>
      </c>
      <c r="N17" s="484">
        <f>N12*'Tab. 17'!$C$25</f>
        <v>0</v>
      </c>
      <c r="O17" s="502">
        <f>SUM(C17:N17)</f>
        <v>12679.623983939598</v>
      </c>
    </row>
    <row r="18" spans="2:17" s="427" customFormat="1" x14ac:dyDescent="0.2">
      <c r="B18" s="504" t="s">
        <v>1381</v>
      </c>
      <c r="C18" s="963">
        <f t="shared" ref="C18:O18" si="3">SUM(C15:C17)</f>
        <v>23948.710775997431</v>
      </c>
      <c r="D18" s="963">
        <f t="shared" si="3"/>
        <v>27120.367383755594</v>
      </c>
      <c r="E18" s="963">
        <f t="shared" si="3"/>
        <v>30601.130435996718</v>
      </c>
      <c r="F18" s="963">
        <f t="shared" si="3"/>
        <v>27940.162571997</v>
      </c>
      <c r="G18" s="963">
        <f t="shared" si="3"/>
        <v>27940.162571997</v>
      </c>
      <c r="H18" s="963">
        <f t="shared" si="3"/>
        <v>29270.646503996857</v>
      </c>
      <c r="I18" s="963">
        <f t="shared" si="3"/>
        <v>29270.646503996861</v>
      </c>
      <c r="J18" s="963">
        <f t="shared" si="3"/>
        <v>15965.807183998286</v>
      </c>
      <c r="K18" s="963">
        <f t="shared" si="3"/>
        <v>29270.646503996861</v>
      </c>
      <c r="L18" s="963">
        <f t="shared" si="3"/>
        <v>27940.162571997</v>
      </c>
      <c r="M18" s="963">
        <f t="shared" si="3"/>
        <v>27940.162571997</v>
      </c>
      <c r="N18" s="963">
        <f t="shared" si="3"/>
        <v>15965.807183998286</v>
      </c>
      <c r="O18" s="973">
        <f t="shared" si="3"/>
        <v>313174.41276372492</v>
      </c>
    </row>
    <row r="19" spans="2:17" x14ac:dyDescent="0.2">
      <c r="B19" s="503"/>
      <c r="O19" s="506"/>
    </row>
    <row r="20" spans="2:17" x14ac:dyDescent="0.2">
      <c r="B20" s="979" t="s">
        <v>190</v>
      </c>
      <c r="O20" s="506"/>
    </row>
    <row r="21" spans="2:17" x14ac:dyDescent="0.2">
      <c r="B21" s="503"/>
      <c r="O21" s="506"/>
    </row>
    <row r="22" spans="2:17" x14ac:dyDescent="0.2">
      <c r="B22" s="503" t="s">
        <v>1355</v>
      </c>
      <c r="C22" s="578">
        <f>'Tab. 12'!C53-C23</f>
        <v>1443.3493074866187</v>
      </c>
      <c r="D22" s="578">
        <f>'Tab. 12'!D53-D23</f>
        <v>1496.4675055758457</v>
      </c>
      <c r="E22" s="578">
        <f>'Tab. 12'!E53-E23</f>
        <v>1567.7278629842185</v>
      </c>
      <c r="F22" s="578">
        <f>'Tab. 12'!F53-F23</f>
        <v>1567.7278629842128</v>
      </c>
      <c r="G22" s="578">
        <f>'Tab. 12'!G53-G23</f>
        <v>1001.3701417597827</v>
      </c>
      <c r="H22" s="578">
        <f>'Tab. 12'!H53-H23</f>
        <v>1820.6638297872328</v>
      </c>
      <c r="I22" s="578">
        <f>'Tab. 12'!I53-I23</f>
        <v>1600.663829787235</v>
      </c>
      <c r="J22" s="578">
        <f>'Tab. 12'!J53-J23</f>
        <v>993.08936170212769</v>
      </c>
      <c r="K22" s="578">
        <f>'Tab. 12'!K53-K23</f>
        <v>1203.3866204664926</v>
      </c>
      <c r="L22" s="578">
        <f>'Tab. 12'!L53-L23</f>
        <v>1737.9063829787233</v>
      </c>
      <c r="M22" s="578">
        <f>'Tab. 12'!M53-M23</f>
        <v>1517.9063829787233</v>
      </c>
      <c r="N22" s="578">
        <f>'Tab. 12'!N53-N23</f>
        <v>993.08936170212769</v>
      </c>
      <c r="O22" s="506"/>
    </row>
    <row r="23" spans="2:17" x14ac:dyDescent="0.2">
      <c r="B23" s="503" t="s">
        <v>1359</v>
      </c>
      <c r="C23" s="578">
        <f>+'Tab. 12'!C56</f>
        <v>0</v>
      </c>
      <c r="D23" s="578">
        <f>+'Tab. 12'!D56</f>
        <v>0</v>
      </c>
      <c r="E23" s="578">
        <f>+'Tab. 12'!E56</f>
        <v>0</v>
      </c>
      <c r="F23" s="578">
        <f>+'Tab. 12'!F56</f>
        <v>0</v>
      </c>
      <c r="G23" s="578">
        <f>+'Tab. 12'!G56</f>
        <v>0</v>
      </c>
      <c r="H23" s="578">
        <f>+'Tab. 12'!H56</f>
        <v>0</v>
      </c>
      <c r="I23" s="578">
        <f>+'Tab. 12'!I56</f>
        <v>0</v>
      </c>
      <c r="J23" s="578">
        <f>+'Tab. 12'!J56</f>
        <v>0</v>
      </c>
      <c r="K23" s="578">
        <f>+'Tab. 12'!K56</f>
        <v>0</v>
      </c>
      <c r="L23" s="578">
        <f>+'Tab. 12'!L56</f>
        <v>0</v>
      </c>
      <c r="M23" s="578">
        <f>+'Tab. 12'!M56</f>
        <v>0</v>
      </c>
      <c r="N23" s="578">
        <f>+'Tab. 12'!N56</f>
        <v>0</v>
      </c>
      <c r="O23" s="506"/>
    </row>
    <row r="24" spans="2:17" x14ac:dyDescent="0.2">
      <c r="B24" s="503" t="s">
        <v>1356</v>
      </c>
      <c r="C24" s="578">
        <f>+'Tab. 12'!C58</f>
        <v>46.284735066572694</v>
      </c>
      <c r="D24" s="578">
        <f>+'Tab. 12'!D58</f>
        <v>158.68143059436693</v>
      </c>
      <c r="E24" s="578">
        <f>+'Tab. 12'!E58</f>
        <v>335.69341361152601</v>
      </c>
      <c r="F24" s="578">
        <f>+'Tab. 12'!F58</f>
        <v>170.17851999451045</v>
      </c>
      <c r="G24" s="578">
        <f>+'Tab. 12'!G58</f>
        <v>736.53624121894063</v>
      </c>
      <c r="H24" s="578">
        <f>+'Tab. 12'!H58</f>
        <v>0</v>
      </c>
      <c r="I24" s="578">
        <f>+'Tab. 12'!I58</f>
        <v>219.99999999999886</v>
      </c>
      <c r="J24" s="578">
        <f>+'Tab. 12'!J58</f>
        <v>0</v>
      </c>
      <c r="K24" s="578">
        <f>+'Tab. 12'!K58</f>
        <v>617.27720932074135</v>
      </c>
      <c r="L24" s="578">
        <f>+'Tab. 12'!L58</f>
        <v>0</v>
      </c>
      <c r="M24" s="578">
        <f>+'Tab. 12'!M58</f>
        <v>220</v>
      </c>
      <c r="N24" s="578">
        <f>+'Tab. 12'!N58</f>
        <v>0</v>
      </c>
      <c r="O24" s="506"/>
    </row>
    <row r="25" spans="2:17" s="427" customFormat="1" x14ac:dyDescent="0.2">
      <c r="B25" s="504"/>
      <c r="C25" s="971">
        <f>+C22+C24</f>
        <v>1489.6340425531914</v>
      </c>
      <c r="D25" s="971">
        <f t="shared" ref="D25:N25" si="4">+D22+D24</f>
        <v>1655.1489361702127</v>
      </c>
      <c r="E25" s="971">
        <f t="shared" si="4"/>
        <v>1903.4212765957445</v>
      </c>
      <c r="F25" s="971">
        <f t="shared" si="4"/>
        <v>1737.9063829787233</v>
      </c>
      <c r="G25" s="971">
        <f t="shared" si="4"/>
        <v>1737.9063829787233</v>
      </c>
      <c r="H25" s="971">
        <f t="shared" si="4"/>
        <v>1820.6638297872328</v>
      </c>
      <c r="I25" s="971">
        <f t="shared" si="4"/>
        <v>1820.6638297872339</v>
      </c>
      <c r="J25" s="971">
        <f t="shared" si="4"/>
        <v>993.08936170212769</v>
      </c>
      <c r="K25" s="971">
        <f t="shared" si="4"/>
        <v>1820.6638297872339</v>
      </c>
      <c r="L25" s="971">
        <f t="shared" si="4"/>
        <v>1737.9063829787233</v>
      </c>
      <c r="M25" s="971">
        <f t="shared" si="4"/>
        <v>1737.9063829787233</v>
      </c>
      <c r="N25" s="971">
        <f t="shared" si="4"/>
        <v>993.08936170212769</v>
      </c>
      <c r="O25" s="972">
        <f>SUM(C25:N25)</f>
        <v>19448</v>
      </c>
      <c r="P25" s="968"/>
    </row>
    <row r="26" spans="2:17" x14ac:dyDescent="0.2">
      <c r="B26" s="503"/>
      <c r="O26" s="506"/>
    </row>
    <row r="27" spans="2:17" x14ac:dyDescent="0.2">
      <c r="B27" s="503" t="s">
        <v>1383</v>
      </c>
      <c r="C27" s="484">
        <f>C22*'Tab. 17'!$D$25</f>
        <v>2604.5974324753315</v>
      </c>
      <c r="D27" s="484">
        <f>D22*'Tab. 17'!$D$25</f>
        <v>2700.451929819315</v>
      </c>
      <c r="E27" s="484">
        <f>E22*'Tab. 17'!$D$25</f>
        <v>2829.0448788583285</v>
      </c>
      <c r="F27" s="484">
        <f>F22*'Tab. 17'!$D$25</f>
        <v>2829.044878858318</v>
      </c>
      <c r="G27" s="484">
        <f>G22*'Tab. 17'!$D$25</f>
        <v>1807.0234881164888</v>
      </c>
      <c r="H27" s="484">
        <f>H22*'Tab. 17'!$D$25</f>
        <v>3285.4807300404609</v>
      </c>
      <c r="I27" s="484">
        <f>I22*'Tab. 17'!$D$25</f>
        <v>2888.479510604272</v>
      </c>
      <c r="J27" s="484">
        <f>J22*'Tab. 17'!$D$25</f>
        <v>1792.0803982038892</v>
      </c>
      <c r="K27" s="484">
        <f>K22*'Tab. 17'!$D$25</f>
        <v>2171.5725262654419</v>
      </c>
      <c r="L27" s="484">
        <f>L22*'Tab. 17'!$D$25</f>
        <v>3136.1406968568058</v>
      </c>
      <c r="M27" s="484">
        <f>M22*'Tab. 17'!$D$25</f>
        <v>2739.1394774206124</v>
      </c>
      <c r="N27" s="484">
        <f>N22*'Tab. 17'!$D$25</f>
        <v>1792.0803982038892</v>
      </c>
      <c r="O27" s="502">
        <f t="shared" ref="O27" si="5">SUM(C27:N27)</f>
        <v>30575.136345723153</v>
      </c>
      <c r="P27" s="499"/>
      <c r="Q27" s="499"/>
    </row>
    <row r="28" spans="2:17" x14ac:dyDescent="0.2">
      <c r="B28" s="503" t="s">
        <v>1396</v>
      </c>
      <c r="C28" s="484">
        <f>C23*'Tab. 17'!$D$25</f>
        <v>0</v>
      </c>
      <c r="D28" s="484">
        <f>D23*'Tab. 17'!$D$25</f>
        <v>0</v>
      </c>
      <c r="E28" s="484">
        <f>E23*'Tab. 17'!$D$25</f>
        <v>0</v>
      </c>
      <c r="F28" s="484">
        <f>F23*'Tab. 17'!$D$25</f>
        <v>0</v>
      </c>
      <c r="G28" s="484">
        <f>G23*'Tab. 17'!$D$25</f>
        <v>0</v>
      </c>
      <c r="H28" s="484">
        <f>H23*'Tab. 17'!$D$25</f>
        <v>0</v>
      </c>
      <c r="I28" s="484">
        <f>I23*'Tab. 17'!$D$25</f>
        <v>0</v>
      </c>
      <c r="J28" s="484">
        <f>J23*'Tab. 17'!$D$25</f>
        <v>0</v>
      </c>
      <c r="K28" s="484">
        <f>K23*'Tab. 17'!$D$25</f>
        <v>0</v>
      </c>
      <c r="L28" s="484">
        <f>L23*'Tab. 17'!$D$25</f>
        <v>0</v>
      </c>
      <c r="M28" s="484">
        <f>M23*'Tab. 17'!$D$25</f>
        <v>0</v>
      </c>
      <c r="N28" s="484">
        <f>N23*'Tab. 17'!$D$25</f>
        <v>0</v>
      </c>
      <c r="O28" s="502">
        <f t="shared" ref="O28" si="6">SUM(C28:N28)</f>
        <v>0</v>
      </c>
      <c r="P28" s="499"/>
      <c r="Q28" s="499"/>
    </row>
    <row r="29" spans="2:17" x14ac:dyDescent="0.2">
      <c r="B29" s="503" t="s">
        <v>1384</v>
      </c>
      <c r="C29" s="484">
        <f>C24*'Tab. 17'!$D$25</f>
        <v>83.523164830502282</v>
      </c>
      <c r="D29" s="484">
        <f>D24*'Tab. 17'!$D$25</f>
        <v>286.34873385383344</v>
      </c>
      <c r="E29" s="484">
        <f>E24*'Tab. 17'!$D$25</f>
        <v>605.77588436579208</v>
      </c>
      <c r="F29" s="484">
        <f>F24*'Tab. 17'!$D$25</f>
        <v>307.09581799848758</v>
      </c>
      <c r="G29" s="484">
        <f>G24*'Tab. 17'!$D$25</f>
        <v>1329.117208740317</v>
      </c>
      <c r="H29" s="484">
        <f>H24*'Tab. 17'!$D$25</f>
        <v>0</v>
      </c>
      <c r="I29" s="484">
        <f>I24*'Tab. 17'!$D$25</f>
        <v>397.00121943619132</v>
      </c>
      <c r="J29" s="484">
        <f>J24*'Tab. 17'!$D$25</f>
        <v>0</v>
      </c>
      <c r="K29" s="484">
        <f>K24*'Tab. 17'!$D$25</f>
        <v>1113.9082037750213</v>
      </c>
      <c r="L29" s="484">
        <f>L24*'Tab. 17'!$D$25</f>
        <v>0</v>
      </c>
      <c r="M29" s="484">
        <f>M24*'Tab. 17'!$D$25</f>
        <v>397.00121943619337</v>
      </c>
      <c r="N29" s="484">
        <f>N24*'Tab. 17'!$D$25</f>
        <v>0</v>
      </c>
      <c r="O29" s="502">
        <f>SUM(C29:N29)</f>
        <v>4519.7714524363382</v>
      </c>
    </row>
    <row r="30" spans="2:17" s="427" customFormat="1" x14ac:dyDescent="0.2">
      <c r="B30" s="504" t="s">
        <v>1381</v>
      </c>
      <c r="C30" s="963">
        <f t="shared" ref="C30:O30" si="7">SUM(C27:C29)</f>
        <v>2688.1205973058336</v>
      </c>
      <c r="D30" s="963">
        <f t="shared" si="7"/>
        <v>2986.8006636731484</v>
      </c>
      <c r="E30" s="963">
        <f t="shared" si="7"/>
        <v>3434.8207632241206</v>
      </c>
      <c r="F30" s="963">
        <f t="shared" si="7"/>
        <v>3136.1406968568058</v>
      </c>
      <c r="G30" s="963">
        <f t="shared" si="7"/>
        <v>3136.1406968568058</v>
      </c>
      <c r="H30" s="963">
        <f t="shared" si="7"/>
        <v>3285.4807300404609</v>
      </c>
      <c r="I30" s="963">
        <f t="shared" si="7"/>
        <v>3285.4807300404632</v>
      </c>
      <c r="J30" s="963">
        <f t="shared" si="7"/>
        <v>1792.0803982038892</v>
      </c>
      <c r="K30" s="963">
        <f t="shared" si="7"/>
        <v>3285.4807300404632</v>
      </c>
      <c r="L30" s="963">
        <f t="shared" si="7"/>
        <v>3136.1406968568058</v>
      </c>
      <c r="M30" s="963">
        <f t="shared" si="7"/>
        <v>3136.1406968568058</v>
      </c>
      <c r="N30" s="963">
        <f t="shared" si="7"/>
        <v>1792.0803982038892</v>
      </c>
      <c r="O30" s="973">
        <f t="shared" si="7"/>
        <v>35094.907798159489</v>
      </c>
    </row>
    <row r="31" spans="2:17" x14ac:dyDescent="0.2">
      <c r="B31" s="503"/>
      <c r="O31" s="506"/>
    </row>
    <row r="32" spans="2:17" x14ac:dyDescent="0.2">
      <c r="B32" s="980" t="s">
        <v>3</v>
      </c>
      <c r="C32" s="981"/>
      <c r="D32" s="981"/>
      <c r="E32" s="981"/>
      <c r="F32" s="981"/>
      <c r="G32" s="981"/>
      <c r="H32" s="981"/>
      <c r="I32" s="981"/>
      <c r="J32" s="981"/>
      <c r="K32" s="981"/>
      <c r="L32" s="981"/>
      <c r="M32" s="981"/>
      <c r="N32" s="981"/>
      <c r="O32" s="982"/>
    </row>
    <row r="33" spans="2:17" x14ac:dyDescent="0.2">
      <c r="B33" s="503"/>
      <c r="O33" s="506"/>
    </row>
    <row r="34" spans="2:17" x14ac:dyDescent="0.2">
      <c r="B34" s="503" t="s">
        <v>1385</v>
      </c>
      <c r="C34" s="661">
        <f t="shared" ref="C34:N34" si="8">+C15+C27</f>
        <v>26553.308208472765</v>
      </c>
      <c r="D34" s="661">
        <f t="shared" si="8"/>
        <v>29310.130569816458</v>
      </c>
      <c r="E34" s="661">
        <f t="shared" si="8"/>
        <v>33238.973882727689</v>
      </c>
      <c r="F34" s="661">
        <f t="shared" si="8"/>
        <v>30769.20745085532</v>
      </c>
      <c r="G34" s="661">
        <f t="shared" si="8"/>
        <v>29747.18606011349</v>
      </c>
      <c r="H34" s="661">
        <f t="shared" si="8"/>
        <v>32556.127234037293</v>
      </c>
      <c r="I34" s="661">
        <f t="shared" si="8"/>
        <v>28622.20605962415</v>
      </c>
      <c r="J34" s="661">
        <f t="shared" si="8"/>
        <v>17757.887582202176</v>
      </c>
      <c r="K34" s="661">
        <f t="shared" si="8"/>
        <v>29692.148543619162</v>
      </c>
      <c r="L34" s="661">
        <f t="shared" si="8"/>
        <v>27411.791113638708</v>
      </c>
      <c r="M34" s="661">
        <f t="shared" si="8"/>
        <v>27142.382094440618</v>
      </c>
      <c r="N34" s="661">
        <f t="shared" si="8"/>
        <v>17757.887582202176</v>
      </c>
      <c r="O34" s="502">
        <f>SUM(C34:N34)</f>
        <v>330559.23638175003</v>
      </c>
      <c r="Q34" s="499"/>
    </row>
    <row r="35" spans="2:17" x14ac:dyDescent="0.2">
      <c r="B35" s="503" t="s">
        <v>1397</v>
      </c>
      <c r="C35" s="661">
        <f t="shared" ref="C35:N35" si="9">+C16+C28</f>
        <v>0</v>
      </c>
      <c r="D35" s="661">
        <f t="shared" si="9"/>
        <v>510.68874375845274</v>
      </c>
      <c r="E35" s="661">
        <f t="shared" si="9"/>
        <v>0</v>
      </c>
      <c r="F35" s="661">
        <f t="shared" si="9"/>
        <v>0</v>
      </c>
      <c r="G35" s="661">
        <f t="shared" si="9"/>
        <v>0</v>
      </c>
      <c r="H35" s="661">
        <f t="shared" si="9"/>
        <v>0</v>
      </c>
      <c r="I35" s="661">
        <f t="shared" si="9"/>
        <v>0</v>
      </c>
      <c r="J35" s="661">
        <f t="shared" si="9"/>
        <v>0</v>
      </c>
      <c r="K35" s="661">
        <f t="shared" si="9"/>
        <v>0</v>
      </c>
      <c r="L35" s="661">
        <f t="shared" si="9"/>
        <v>0</v>
      </c>
      <c r="M35" s="661">
        <f t="shared" si="9"/>
        <v>0</v>
      </c>
      <c r="N35" s="661">
        <f t="shared" si="9"/>
        <v>0</v>
      </c>
      <c r="O35" s="502">
        <f>SUM(C35:N35)</f>
        <v>510.68874375845274</v>
      </c>
      <c r="Q35" s="499"/>
    </row>
    <row r="36" spans="2:17" x14ac:dyDescent="0.2">
      <c r="B36" s="503" t="s">
        <v>1386</v>
      </c>
      <c r="C36" s="661">
        <f t="shared" ref="C36:N36" si="10">+C17+C29</f>
        <v>83.523164830502282</v>
      </c>
      <c r="D36" s="661">
        <f t="shared" si="10"/>
        <v>286.34873385383344</v>
      </c>
      <c r="E36" s="661">
        <f t="shared" si="10"/>
        <v>796.97731649314949</v>
      </c>
      <c r="F36" s="661">
        <f t="shared" si="10"/>
        <v>307.09581799848758</v>
      </c>
      <c r="G36" s="661">
        <f t="shared" si="10"/>
        <v>1329.117208740317</v>
      </c>
      <c r="H36" s="661">
        <f t="shared" si="10"/>
        <v>2.6259673139971607E-11</v>
      </c>
      <c r="I36" s="661">
        <f t="shared" si="10"/>
        <v>3933.921174413174</v>
      </c>
      <c r="J36" s="661">
        <f t="shared" si="10"/>
        <v>0</v>
      </c>
      <c r="K36" s="661">
        <f t="shared" si="10"/>
        <v>2863.978690418161</v>
      </c>
      <c r="L36" s="661">
        <f t="shared" si="10"/>
        <v>3664.5121552150968</v>
      </c>
      <c r="M36" s="661">
        <f t="shared" si="10"/>
        <v>3933.9211744131894</v>
      </c>
      <c r="N36" s="661">
        <f t="shared" si="10"/>
        <v>0</v>
      </c>
      <c r="O36" s="502">
        <f>SUM(C36:N36)</f>
        <v>17199.395436375937</v>
      </c>
    </row>
    <row r="37" spans="2:17" s="427" customFormat="1" ht="15" thickBot="1" x14ac:dyDescent="0.25">
      <c r="B37" s="983" t="s">
        <v>1381</v>
      </c>
      <c r="C37" s="984">
        <f t="shared" ref="C37:O37" si="11">SUM(C34:C36)</f>
        <v>26636.831373303266</v>
      </c>
      <c r="D37" s="984">
        <f t="shared" si="11"/>
        <v>30107.168047428742</v>
      </c>
      <c r="E37" s="984">
        <f t="shared" si="11"/>
        <v>34035.951199220835</v>
      </c>
      <c r="F37" s="984">
        <f t="shared" si="11"/>
        <v>31076.303268853808</v>
      </c>
      <c r="G37" s="984">
        <f t="shared" si="11"/>
        <v>31076.303268853808</v>
      </c>
      <c r="H37" s="984">
        <f t="shared" si="11"/>
        <v>32556.127234037318</v>
      </c>
      <c r="I37" s="984">
        <f t="shared" si="11"/>
        <v>32556.127234037325</v>
      </c>
      <c r="J37" s="984">
        <f t="shared" si="11"/>
        <v>17757.887582202176</v>
      </c>
      <c r="K37" s="984">
        <f t="shared" si="11"/>
        <v>32556.127234037322</v>
      </c>
      <c r="L37" s="984">
        <f t="shared" si="11"/>
        <v>31076.303268853804</v>
      </c>
      <c r="M37" s="984">
        <f t="shared" si="11"/>
        <v>31076.303268853808</v>
      </c>
      <c r="N37" s="984">
        <f t="shared" si="11"/>
        <v>17757.887582202176</v>
      </c>
      <c r="O37" s="985">
        <f t="shared" si="11"/>
        <v>348269.32056188444</v>
      </c>
      <c r="Q37" s="963">
        <f>+O37-'Tab. 17'!F33</f>
        <v>510.68874375836458</v>
      </c>
    </row>
    <row r="38" spans="2:17" s="427" customFormat="1" x14ac:dyDescent="0.2">
      <c r="B38" s="986" t="s">
        <v>1398</v>
      </c>
      <c r="C38" s="992">
        <f>C34+C35</f>
        <v>26553.308208472765</v>
      </c>
      <c r="D38" s="987">
        <f t="shared" ref="D38:O38" si="12">D34+D35</f>
        <v>29820.81931357491</v>
      </c>
      <c r="E38" s="987">
        <f t="shared" si="12"/>
        <v>33238.973882727689</v>
      </c>
      <c r="F38" s="987">
        <f t="shared" si="12"/>
        <v>30769.20745085532</v>
      </c>
      <c r="G38" s="987">
        <f t="shared" si="12"/>
        <v>29747.18606011349</v>
      </c>
      <c r="H38" s="987">
        <f t="shared" si="12"/>
        <v>32556.127234037293</v>
      </c>
      <c r="I38" s="987">
        <f t="shared" si="12"/>
        <v>28622.20605962415</v>
      </c>
      <c r="J38" s="987">
        <f t="shared" si="12"/>
        <v>17757.887582202176</v>
      </c>
      <c r="K38" s="987">
        <f t="shared" si="12"/>
        <v>29692.148543619162</v>
      </c>
      <c r="L38" s="987">
        <f t="shared" si="12"/>
        <v>27411.791113638708</v>
      </c>
      <c r="M38" s="987">
        <f t="shared" si="12"/>
        <v>27142.382094440618</v>
      </c>
      <c r="N38" s="994">
        <f t="shared" si="12"/>
        <v>17757.887582202176</v>
      </c>
      <c r="O38" s="988">
        <f t="shared" si="12"/>
        <v>331069.92512550851</v>
      </c>
    </row>
    <row r="39" spans="2:17" s="427" customFormat="1" ht="15" thickBot="1" x14ac:dyDescent="0.25">
      <c r="B39" s="989" t="s">
        <v>1386</v>
      </c>
      <c r="C39" s="993">
        <f>+C36</f>
        <v>83.523164830502282</v>
      </c>
      <c r="D39" s="990">
        <f t="shared" ref="D39:O39" si="13">+D36</f>
        <v>286.34873385383344</v>
      </c>
      <c r="E39" s="990">
        <f t="shared" si="13"/>
        <v>796.97731649314949</v>
      </c>
      <c r="F39" s="990">
        <f t="shared" si="13"/>
        <v>307.09581799848758</v>
      </c>
      <c r="G39" s="990">
        <f t="shared" si="13"/>
        <v>1329.117208740317</v>
      </c>
      <c r="H39" s="990">
        <f t="shared" si="13"/>
        <v>2.6259673139971607E-11</v>
      </c>
      <c r="I39" s="990">
        <f t="shared" si="13"/>
        <v>3933.921174413174</v>
      </c>
      <c r="J39" s="990">
        <f t="shared" si="13"/>
        <v>0</v>
      </c>
      <c r="K39" s="990">
        <f t="shared" si="13"/>
        <v>2863.978690418161</v>
      </c>
      <c r="L39" s="990">
        <f t="shared" si="13"/>
        <v>3664.5121552150968</v>
      </c>
      <c r="M39" s="990">
        <f t="shared" si="13"/>
        <v>3933.9211744131894</v>
      </c>
      <c r="N39" s="995">
        <f t="shared" si="13"/>
        <v>0</v>
      </c>
      <c r="O39" s="991">
        <f t="shared" si="13"/>
        <v>17199.395436375937</v>
      </c>
    </row>
    <row r="40" spans="2:17" x14ac:dyDescent="0.2"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</row>
    <row r="41" spans="2:17" x14ac:dyDescent="0.2"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499"/>
    </row>
    <row r="42" spans="2:17" ht="15" thickBot="1" x14ac:dyDescent="0.25"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</row>
    <row r="43" spans="2:17" x14ac:dyDescent="0.2">
      <c r="B43" s="476" t="s">
        <v>1371</v>
      </c>
      <c r="C43" s="997">
        <f>'Tab. 13'!C22</f>
        <v>1150.1780425531915</v>
      </c>
      <c r="D43" s="997">
        <f>'Tab. 13'!D22</f>
        <v>1302.5023084764475</v>
      </c>
      <c r="E43" s="997">
        <f>'Tab. 13'!E22</f>
        <v>1460.4891654922603</v>
      </c>
      <c r="F43" s="997">
        <f>'Tab. 13'!F22</f>
        <v>1341.8743829787234</v>
      </c>
      <c r="G43" s="997">
        <f>'Tab. 13'!G22</f>
        <v>1341.8743829787234</v>
      </c>
      <c r="H43" s="997">
        <f>'Tab. 13'!H22</f>
        <v>1405.7731631205661</v>
      </c>
      <c r="I43" s="997">
        <f>'Tab. 13'!I22</f>
        <v>1235.9064964539014</v>
      </c>
      <c r="J43" s="997">
        <f>'Tab. 13'!J22</f>
        <v>766.7853617021276</v>
      </c>
      <c r="K43" s="997">
        <f>'Tab. 13'!K22</f>
        <v>1321.7230167271032</v>
      </c>
      <c r="L43" s="997">
        <f>'Tab. 13'!L22</f>
        <v>1165.879881353108</v>
      </c>
      <c r="M43" s="997">
        <f>'Tab. 13'!M22</f>
        <v>1172.0077163120568</v>
      </c>
      <c r="N43" s="997">
        <f>'Tab. 13'!N22</f>
        <v>766.7853617021276</v>
      </c>
      <c r="O43" s="998"/>
    </row>
    <row r="44" spans="2:17" x14ac:dyDescent="0.2">
      <c r="B44" s="478" t="s">
        <v>1372</v>
      </c>
      <c r="C44" s="578">
        <f>'Tab. 13'!C27</f>
        <v>73.821957446808483</v>
      </c>
      <c r="D44" s="578">
        <f>'Tab. 13'!D27</f>
        <v>65.497691523552476</v>
      </c>
      <c r="E44" s="578">
        <f>'Tab. 13'!E27</f>
        <v>123.51083450773967</v>
      </c>
      <c r="F44" s="578">
        <f>'Tab. 13'!F27</f>
        <v>98.125617021276639</v>
      </c>
      <c r="G44" s="578">
        <f>'Tab. 13'!G27</f>
        <v>98.125617021276639</v>
      </c>
      <c r="H44" s="578">
        <f>'Tab. 13'!H27</f>
        <v>106.2268368794339</v>
      </c>
      <c r="I44" s="578">
        <f>'Tab. 13'!I27</f>
        <v>276.09350354609865</v>
      </c>
      <c r="J44" s="578">
        <f>'Tab. 13'!J27</f>
        <v>25.214638297872398</v>
      </c>
      <c r="K44" s="578">
        <f>'Tab. 13'!K27</f>
        <v>190.27698327289681</v>
      </c>
      <c r="L44" s="578">
        <f>'Tab. 13'!L27</f>
        <v>274.12011864689202</v>
      </c>
      <c r="M44" s="578">
        <f>'Tab. 13'!M27</f>
        <v>267.9922836879432</v>
      </c>
      <c r="N44" s="578">
        <f>'Tab. 13'!N27</f>
        <v>25.214638297872398</v>
      </c>
      <c r="O44" s="506"/>
    </row>
    <row r="45" spans="2:17" x14ac:dyDescent="0.2">
      <c r="B45" s="478"/>
      <c r="C45" s="971">
        <f>SUM(C43:C44)</f>
        <v>1224</v>
      </c>
      <c r="D45" s="971">
        <f t="shared" ref="D45:N45" si="14">SUM(D43:D44)</f>
        <v>1368</v>
      </c>
      <c r="E45" s="971">
        <f t="shared" si="14"/>
        <v>1584</v>
      </c>
      <c r="F45" s="971">
        <f t="shared" si="14"/>
        <v>1440</v>
      </c>
      <c r="G45" s="971">
        <f t="shared" si="14"/>
        <v>1440</v>
      </c>
      <c r="H45" s="971">
        <f t="shared" si="14"/>
        <v>1512</v>
      </c>
      <c r="I45" s="971">
        <f t="shared" si="14"/>
        <v>1512</v>
      </c>
      <c r="J45" s="971">
        <f t="shared" si="14"/>
        <v>792</v>
      </c>
      <c r="K45" s="971">
        <f t="shared" si="14"/>
        <v>1512</v>
      </c>
      <c r="L45" s="971">
        <f t="shared" si="14"/>
        <v>1440</v>
      </c>
      <c r="M45" s="971">
        <f t="shared" si="14"/>
        <v>1440</v>
      </c>
      <c r="N45" s="971">
        <f t="shared" si="14"/>
        <v>792</v>
      </c>
      <c r="O45" s="1005">
        <f>SUM(C45:N45)</f>
        <v>16056</v>
      </c>
    </row>
    <row r="46" spans="2:17" x14ac:dyDescent="0.2">
      <c r="B46" s="478" t="s">
        <v>1376</v>
      </c>
      <c r="C46" s="578">
        <f>'Tab. 13'!C44</f>
        <v>132.30701985294004</v>
      </c>
      <c r="D46" s="578">
        <f>'Tab. 13'!D44</f>
        <v>137.17618801111919</v>
      </c>
      <c r="E46" s="578">
        <f>'Tab. 13'!E44</f>
        <v>143.70838744022004</v>
      </c>
      <c r="F46" s="578">
        <f>'Tab. 13'!F44</f>
        <v>143.7083874402195</v>
      </c>
      <c r="G46" s="578">
        <f>'Tab. 13'!G44</f>
        <v>91.792262994646734</v>
      </c>
      <c r="H46" s="578">
        <f>'Tab. 13'!H44</f>
        <v>166.894184397163</v>
      </c>
      <c r="I46" s="578">
        <f>'Tab. 13'!I44</f>
        <v>146.72751773049654</v>
      </c>
      <c r="J46" s="578">
        <f>'Tab. 13'!J44</f>
        <v>91.033191489361698</v>
      </c>
      <c r="K46" s="578">
        <f>'Tab. 13'!K44</f>
        <v>110.31044020942849</v>
      </c>
      <c r="L46" s="578">
        <f>'Tab. 13'!L44</f>
        <v>159.30808510638295</v>
      </c>
      <c r="M46" s="578">
        <f>'Tab. 13'!M44</f>
        <v>139.14141843971629</v>
      </c>
      <c r="N46" s="578">
        <f>'Tab. 13'!N44</f>
        <v>91.033191489361698</v>
      </c>
      <c r="O46" s="506"/>
    </row>
    <row r="47" spans="2:17" x14ac:dyDescent="0.2">
      <c r="B47" s="478" t="s">
        <v>1377</v>
      </c>
      <c r="C47" s="578">
        <f>'Tab. 13'!C49</f>
        <v>139.69298014705996</v>
      </c>
      <c r="D47" s="578">
        <f>'Tab. 13'!D49</f>
        <v>166.82381198888081</v>
      </c>
      <c r="E47" s="578">
        <f>'Tab. 13'!E49</f>
        <v>208.29161255977996</v>
      </c>
      <c r="F47" s="578">
        <f>'Tab. 13'!F49</f>
        <v>176.2916125597805</v>
      </c>
      <c r="G47" s="578">
        <f>'Tab. 13'!G49</f>
        <v>228.20773700535327</v>
      </c>
      <c r="H47" s="578">
        <f>'Tab. 13'!H49</f>
        <v>169.105815602837</v>
      </c>
      <c r="I47" s="578">
        <f>'Tab. 13'!I49</f>
        <v>189.27248226950346</v>
      </c>
      <c r="J47" s="578">
        <f>'Tab. 13'!J49</f>
        <v>84.966808510638302</v>
      </c>
      <c r="K47" s="578">
        <f>'Tab. 13'!K49</f>
        <v>225.68955979057151</v>
      </c>
      <c r="L47" s="578">
        <f>'Tab. 13'!L49</f>
        <v>160.69191489361705</v>
      </c>
      <c r="M47" s="578">
        <f>'Tab. 13'!M49</f>
        <v>180.85858156028371</v>
      </c>
      <c r="N47" s="578">
        <f>'Tab. 13'!N49</f>
        <v>84.966808510638302</v>
      </c>
      <c r="O47" s="506"/>
    </row>
    <row r="48" spans="2:17" x14ac:dyDescent="0.2">
      <c r="B48" s="478"/>
      <c r="C48" s="971">
        <f>SUM(C46:C47)</f>
        <v>272</v>
      </c>
      <c r="D48" s="971">
        <f t="shared" ref="D48:N48" si="15">SUM(D46:D47)</f>
        <v>304</v>
      </c>
      <c r="E48" s="971">
        <f t="shared" si="15"/>
        <v>352</v>
      </c>
      <c r="F48" s="971">
        <f t="shared" si="15"/>
        <v>320</v>
      </c>
      <c r="G48" s="971">
        <f t="shared" si="15"/>
        <v>320</v>
      </c>
      <c r="H48" s="971">
        <f t="shared" si="15"/>
        <v>336</v>
      </c>
      <c r="I48" s="971">
        <f t="shared" si="15"/>
        <v>336</v>
      </c>
      <c r="J48" s="971">
        <f t="shared" si="15"/>
        <v>176</v>
      </c>
      <c r="K48" s="971">
        <f t="shared" si="15"/>
        <v>336</v>
      </c>
      <c r="L48" s="971">
        <f t="shared" si="15"/>
        <v>320</v>
      </c>
      <c r="M48" s="971">
        <f t="shared" si="15"/>
        <v>320</v>
      </c>
      <c r="N48" s="971">
        <f t="shared" si="15"/>
        <v>176</v>
      </c>
      <c r="O48" s="1005">
        <f>SUM(C48:N48)</f>
        <v>3568</v>
      </c>
    </row>
    <row r="49" spans="2:17" x14ac:dyDescent="0.2">
      <c r="B49" s="478"/>
      <c r="C49" s="971"/>
      <c r="O49" s="506"/>
    </row>
    <row r="50" spans="2:17" x14ac:dyDescent="0.2">
      <c r="B50" s="999" t="s">
        <v>1387</v>
      </c>
      <c r="C50" s="1000">
        <f>+C43*'Tab. 17'!$C$40+C46*'Tab. 17'!$D$40</f>
        <v>52925.721842447369</v>
      </c>
      <c r="D50" s="1000">
        <f>+D43*'Tab. 17'!$C$40+D46*'Tab. 17'!$D$40</f>
        <v>59190.134162208247</v>
      </c>
      <c r="E50" s="1000">
        <f>+E43*'Tab. 17'!$C$40+E46*'Tab. 17'!$D$40</f>
        <v>65774.663691738388</v>
      </c>
      <c r="F50" s="1000">
        <f>+F43*'Tab. 17'!$C$40+F46*'Tab. 17'!$D$40</f>
        <v>61119.767180172756</v>
      </c>
      <c r="G50" s="1000">
        <f>+G43*'Tab. 17'!$C$40+G46*'Tab. 17'!$D$40</f>
        <v>58063.687051018671</v>
      </c>
      <c r="H50" s="1000">
        <f>+H43*'Tab. 17'!$C$40+H46*'Tab. 17'!$D$40</f>
        <v>64992.247718441722</v>
      </c>
      <c r="I50" s="1000">
        <f>+I43*'Tab. 17'!$C$40+I46*'Tab. 17'!$D$40</f>
        <v>57138.906390884316</v>
      </c>
      <c r="J50" s="1000">
        <f>+J43*'Tab. 17'!$C$40+J46*'Tab. 17'!$D$40</f>
        <v>35450.316937331881</v>
      </c>
      <c r="K50" s="1000">
        <f>+K43*'Tab. 17'!$C$40+K46*'Tab. 17'!$D$40</f>
        <v>58362.956438495421</v>
      </c>
      <c r="L50" s="1000">
        <f>+L43*'Tab. 17'!$C$40+L46*'Tab. 17'!$D$40</f>
        <v>55131.359080877148</v>
      </c>
      <c r="M50" s="1000">
        <f>+M43*'Tab. 17'!$C$40+M46*'Tab. 17'!$D$40</f>
        <v>54184.713312773296</v>
      </c>
      <c r="N50" s="1000">
        <f>+N43*'Tab. 17'!$C$40+N46*'Tab. 17'!$D$40</f>
        <v>35450.316937331881</v>
      </c>
      <c r="O50" s="1001">
        <f t="shared" ref="O50" si="16">SUM(C50:N50)</f>
        <v>657784.79074372107</v>
      </c>
    </row>
    <row r="51" spans="2:17" x14ac:dyDescent="0.2">
      <c r="B51" s="999" t="s">
        <v>1388</v>
      </c>
      <c r="C51" s="1000">
        <f>+C44*'Tab. 17'!$C$40+C47*'Tab. 17'!$D$40</f>
        <v>11120.183279100895</v>
      </c>
      <c r="D51" s="1000">
        <f>+D44*'Tab. 17'!$C$40+D47*'Tab. 17'!$D$40</f>
        <v>12390.583326580991</v>
      </c>
      <c r="E51" s="1000">
        <f>+E44*'Tab. 17'!$C$40+E47*'Tab. 17'!$D$40</f>
        <v>17108.272347912305</v>
      </c>
      <c r="F51" s="1000">
        <f>+F44*'Tab. 17'!$C$40+F47*'Tab. 17'!$D$40</f>
        <v>14228.356492236973</v>
      </c>
      <c r="G51" s="1000">
        <f>+G44*'Tab. 17'!$C$40+G47*'Tab. 17'!$D$40</f>
        <v>17284.436621391058</v>
      </c>
      <c r="H51" s="1000">
        <f>+H44*'Tab. 17'!$C$40+H47*'Tab. 17'!$D$40</f>
        <v>14123.282137588487</v>
      </c>
      <c r="I51" s="1000">
        <f>+I44*'Tab. 17'!$C$40+I47*'Tab. 17'!$D$40</f>
        <v>21976.623465145894</v>
      </c>
      <c r="J51" s="1000">
        <f>+J44*'Tab. 17'!$C$40+J47*'Tab. 17'!$D$40</f>
        <v>5991.1510824934703</v>
      </c>
      <c r="K51" s="1000">
        <f>+K44*'Tab. 17'!$C$40+K47*'Tab. 17'!$D$40</f>
        <v>20752.573417534793</v>
      </c>
      <c r="L51" s="1000">
        <f>+L44*'Tab. 17'!$C$40+L47*'Tab. 17'!$D$40</f>
        <v>20216.764591532574</v>
      </c>
      <c r="M51" s="1000">
        <f>+M44*'Tab. 17'!$C$40+M47*'Tab. 17'!$D$40</f>
        <v>21163.410359636429</v>
      </c>
      <c r="N51" s="1000">
        <f>+N44*'Tab. 17'!$C$40+N47*'Tab. 17'!$D$40</f>
        <v>5991.1510824934703</v>
      </c>
      <c r="O51" s="1001">
        <f>SUM(C51:N51)</f>
        <v>182346.78820364736</v>
      </c>
    </row>
    <row r="52" spans="2:17" ht="15" thickBot="1" x14ac:dyDescent="0.25">
      <c r="B52" s="1002" t="s">
        <v>1375</v>
      </c>
      <c r="C52" s="1003">
        <f>SUM(C50:C51)</f>
        <v>64045.905121548261</v>
      </c>
      <c r="D52" s="1003">
        <f t="shared" ref="D52:N52" si="17">SUM(D50:D51)</f>
        <v>71580.717488789232</v>
      </c>
      <c r="E52" s="1003">
        <f t="shared" si="17"/>
        <v>82882.936039650696</v>
      </c>
      <c r="F52" s="1003">
        <f t="shared" si="17"/>
        <v>75348.123672409725</v>
      </c>
      <c r="G52" s="1003">
        <f t="shared" si="17"/>
        <v>75348.123672409725</v>
      </c>
      <c r="H52" s="1003">
        <f t="shared" si="17"/>
        <v>79115.529856030204</v>
      </c>
      <c r="I52" s="1003">
        <f t="shared" si="17"/>
        <v>79115.529856030218</v>
      </c>
      <c r="J52" s="1003">
        <f t="shared" si="17"/>
        <v>41441.468019825348</v>
      </c>
      <c r="K52" s="1003">
        <f t="shared" si="17"/>
        <v>79115.529856030218</v>
      </c>
      <c r="L52" s="1003">
        <f t="shared" si="17"/>
        <v>75348.123672409725</v>
      </c>
      <c r="M52" s="1003">
        <f t="shared" si="17"/>
        <v>75348.123672409725</v>
      </c>
      <c r="N52" s="1003">
        <f t="shared" si="17"/>
        <v>41441.468019825348</v>
      </c>
      <c r="O52" s="1004">
        <f>SUM(O49:O51)</f>
        <v>840131.57894736843</v>
      </c>
      <c r="Q52" s="499">
        <f>+O52-'Tab. 17'!E38</f>
        <v>0</v>
      </c>
    </row>
    <row r="53" spans="2:17" x14ac:dyDescent="0.2">
      <c r="B53" s="476" t="s">
        <v>747</v>
      </c>
      <c r="C53" s="1006"/>
      <c r="D53" s="1006"/>
      <c r="E53" s="1006"/>
      <c r="F53" s="1006"/>
      <c r="G53" s="1006"/>
      <c r="H53" s="1006"/>
      <c r="I53" s="1006"/>
      <c r="J53" s="1006"/>
      <c r="K53" s="1006"/>
      <c r="L53" s="1006"/>
      <c r="M53" s="1006"/>
      <c r="N53" s="1006"/>
      <c r="O53" s="998"/>
    </row>
    <row r="54" spans="2:17" x14ac:dyDescent="0.2">
      <c r="B54" s="478" t="s">
        <v>692</v>
      </c>
      <c r="C54" s="484">
        <f>('Tab. 15'!$G21+'Tab. 15'!$H21)/($O$45+$O$48)*(C$45+C$48)</f>
        <v>7021.4774604673112</v>
      </c>
      <c r="D54" s="484">
        <f>('Tab. 15'!$G21+'Tab. 15'!$H21)/($O$45+$O$48)*(D$45+D$48)</f>
        <v>7847.5336322869944</v>
      </c>
      <c r="E54" s="484">
        <f>('Tab. 15'!$G21+'Tab. 15'!$H21)/($O$45+$O$48)*(E$45+E$48)</f>
        <v>9086.6178900165196</v>
      </c>
      <c r="F54" s="484">
        <f>('Tab. 15'!$G21+'Tab. 15'!$H21)/($O$45+$O$48)*(F$45+F$48)</f>
        <v>8260.5617181968373</v>
      </c>
      <c r="G54" s="484">
        <f>('Tab. 15'!$G21+'Tab. 15'!$H21)/($O$45+$O$48)*(G$45+G$48)</f>
        <v>8260.5617181968373</v>
      </c>
      <c r="H54" s="484">
        <f>('Tab. 15'!$G21+'Tab. 15'!$H21)/($O$45+$O$48)*(H$45+H$48)</f>
        <v>8673.5898041066775</v>
      </c>
      <c r="I54" s="484">
        <f>('Tab. 15'!$G21+'Tab. 15'!$H21)/($O$45+$O$48)*(I$45+I$48)</f>
        <v>8673.5898041066775</v>
      </c>
      <c r="J54" s="484">
        <f>('Tab. 15'!$G21+'Tab. 15'!$H21)/($O$45+$O$48)*(J$45+J$48)</f>
        <v>4543.3089450082598</v>
      </c>
      <c r="K54" s="484">
        <f>('Tab. 15'!$G21+'Tab. 15'!$H21)/($O$45+$O$48)*(K$45+K$48)</f>
        <v>8673.5898041066775</v>
      </c>
      <c r="L54" s="484">
        <f>('Tab. 15'!$G21+'Tab. 15'!$H21)/($O$45+$O$48)*(L$45+L$48)</f>
        <v>8260.5617181968373</v>
      </c>
      <c r="M54" s="484">
        <f>('Tab. 15'!$G21+'Tab. 15'!$H21)/($O$45+$O$48)*(M$45+M$48)</f>
        <v>8260.5617181968373</v>
      </c>
      <c r="N54" s="484">
        <f>('Tab. 15'!$G21+'Tab. 15'!$H21)/($O$45+$O$48)*(N$45+N$48)</f>
        <v>4543.3089450082598</v>
      </c>
      <c r="O54" s="479">
        <f>SUM(C54:N54)</f>
        <v>92105.263157894733</v>
      </c>
    </row>
    <row r="55" spans="2:17" x14ac:dyDescent="0.2">
      <c r="B55" s="478" t="s">
        <v>693</v>
      </c>
      <c r="C55" s="484">
        <f>('Tab. 15'!$G22+'Tab. 15'!$H22)/($O$45+$O$48)*(C$45+C$48)</f>
        <v>8425.7729525607738</v>
      </c>
      <c r="D55" s="484">
        <f>('Tab. 15'!$G22+'Tab. 15'!$H22)/($O$45+$O$48)*(D$45+D$48)</f>
        <v>9417.0403587443943</v>
      </c>
      <c r="E55" s="484">
        <f>('Tab. 15'!$G22+'Tab. 15'!$H22)/($O$45+$O$48)*(E$45+E$48)</f>
        <v>10903.941468019826</v>
      </c>
      <c r="F55" s="484">
        <f>('Tab. 15'!$G22+'Tab. 15'!$H22)/($O$45+$O$48)*(F$45+F$48)</f>
        <v>9912.6740618362055</v>
      </c>
      <c r="G55" s="484">
        <f>('Tab. 15'!$G22+'Tab. 15'!$H22)/($O$45+$O$48)*(G$45+G$48)</f>
        <v>9912.6740618362055</v>
      </c>
      <c r="H55" s="484">
        <f>('Tab. 15'!$G22+'Tab. 15'!$H22)/($O$45+$O$48)*(H$45+H$48)</f>
        <v>10408.307764928015</v>
      </c>
      <c r="I55" s="484">
        <f>('Tab. 15'!$G22+'Tab. 15'!$H22)/($O$45+$O$48)*(I$45+I$48)</f>
        <v>10408.307764928015</v>
      </c>
      <c r="J55" s="484">
        <f>('Tab. 15'!$G22+'Tab. 15'!$H22)/($O$45+$O$48)*(J$45+J$48)</f>
        <v>5451.970734009913</v>
      </c>
      <c r="K55" s="484">
        <f>('Tab. 15'!$G22+'Tab. 15'!$H22)/($O$45+$O$48)*(K$45+K$48)</f>
        <v>10408.307764928015</v>
      </c>
      <c r="L55" s="484">
        <f>('Tab. 15'!$G22+'Tab. 15'!$H22)/($O$45+$O$48)*(L$45+L$48)</f>
        <v>9912.6740618362055</v>
      </c>
      <c r="M55" s="484">
        <f>('Tab. 15'!$G22+'Tab. 15'!$H22)/($O$45+$O$48)*(M$45+M$48)</f>
        <v>9912.6740618362055</v>
      </c>
      <c r="N55" s="484">
        <f>('Tab. 15'!$G22+'Tab. 15'!$H22)/($O$45+$O$48)*(N$45+N$48)</f>
        <v>5451.970734009913</v>
      </c>
      <c r="O55" s="479">
        <f t="shared" ref="O55:O58" si="18">SUM(C55:N55)</f>
        <v>110526.31578947369</v>
      </c>
    </row>
    <row r="56" spans="2:17" x14ac:dyDescent="0.2">
      <c r="B56" s="478" t="s">
        <v>1389</v>
      </c>
      <c r="C56" s="484">
        <f>('Tab. 15'!$G23+'Tab. 15'!$H23)/($O$45+$O$48)*(C$45+C$48)</f>
        <v>42690.582959641251</v>
      </c>
      <c r="D56" s="484">
        <f>('Tab. 15'!$G23+'Tab. 15'!$H23)/($O$45+$O$48)*(D$45+D$48)</f>
        <v>47713.004484304933</v>
      </c>
      <c r="E56" s="484">
        <f>('Tab. 15'!$G23+'Tab. 15'!$H23)/($O$45+$O$48)*(E$45+E$48)</f>
        <v>55246.636771300444</v>
      </c>
      <c r="F56" s="484">
        <f>('Tab. 15'!$G23+'Tab. 15'!$H23)/($O$45+$O$48)*(F$45+F$48)</f>
        <v>50224.21524663677</v>
      </c>
      <c r="G56" s="484">
        <f>('Tab. 15'!$G23+'Tab. 15'!$H23)/($O$45+$O$48)*(G$45+G$48)</f>
        <v>50224.21524663677</v>
      </c>
      <c r="H56" s="484">
        <f>('Tab. 15'!$G23+'Tab. 15'!$H23)/($O$45+$O$48)*(H$45+H$48)</f>
        <v>52735.426008968607</v>
      </c>
      <c r="I56" s="484">
        <f>('Tab. 15'!$G23+'Tab. 15'!$H23)/($O$45+$O$48)*(I$45+I$48)</f>
        <v>52735.426008968607</v>
      </c>
      <c r="J56" s="484">
        <f>('Tab. 15'!$G23+'Tab. 15'!$H23)/($O$45+$O$48)*(J$45+J$48)</f>
        <v>27623.318385650222</v>
      </c>
      <c r="K56" s="484">
        <f>('Tab. 15'!$G23+'Tab. 15'!$H23)/($O$45+$O$48)*(K$45+K$48)</f>
        <v>52735.426008968607</v>
      </c>
      <c r="L56" s="484">
        <f>('Tab. 15'!$G23+'Tab. 15'!$H23)/($O$45+$O$48)*(L$45+L$48)</f>
        <v>50224.21524663677</v>
      </c>
      <c r="M56" s="484">
        <f>('Tab. 15'!$G23+'Tab. 15'!$H23)/($O$45+$O$48)*(M$45+M$48)</f>
        <v>50224.21524663677</v>
      </c>
      <c r="N56" s="484">
        <f>('Tab. 15'!$G23+'Tab. 15'!$H23)/($O$45+$O$48)*(N$45+N$48)</f>
        <v>27623.318385650222</v>
      </c>
      <c r="O56" s="479">
        <f t="shared" si="18"/>
        <v>560000</v>
      </c>
    </row>
    <row r="57" spans="2:17" x14ac:dyDescent="0.2">
      <c r="B57" s="478" t="s">
        <v>696</v>
      </c>
      <c r="C57" s="484">
        <f>('Tab. 15'!$G$25)/($O$45+$O$48)*(C$45+C$48)</f>
        <v>5526.9058295964132</v>
      </c>
      <c r="D57" s="484">
        <f>('Tab. 15'!$G$25)/($O$45+$O$48)*(D$45+D$48)</f>
        <v>6177.1300448430493</v>
      </c>
      <c r="E57" s="484">
        <f>('Tab. 15'!$G$25)/($O$45+$O$48)*(E$45+E$48)</f>
        <v>7152.4663677130047</v>
      </c>
      <c r="F57" s="484">
        <f>('Tab. 15'!$G$25)/($O$45+$O$48)*(F$45+F$48)</f>
        <v>6502.2421524663678</v>
      </c>
      <c r="G57" s="484">
        <f>('Tab. 15'!$G$25)/($O$45+$O$48)*(G$45+G$48)</f>
        <v>6502.2421524663678</v>
      </c>
      <c r="H57" s="484">
        <f>('Tab. 15'!$G$25)/($O$45+$O$48)*(H$45+H$48)</f>
        <v>6827.3542600896862</v>
      </c>
      <c r="I57" s="484">
        <f>('Tab. 15'!$G$25)/($O$45+$O$48)*(I$45+I$48)</f>
        <v>6827.3542600896862</v>
      </c>
      <c r="J57" s="484">
        <f>('Tab. 15'!$G$25)/($O$45+$O$48)*(J$45+J$48)</f>
        <v>3576.2331838565024</v>
      </c>
      <c r="K57" s="484">
        <f>('Tab. 15'!$G$25)/($O$45+$O$48)*(K$45+K$48)</f>
        <v>6827.3542600896862</v>
      </c>
      <c r="L57" s="484">
        <f>('Tab. 15'!$G$25)/($O$45+$O$48)*(L$45+L$48)</f>
        <v>6502.2421524663678</v>
      </c>
      <c r="M57" s="484">
        <f>('Tab. 15'!$G$25)/($O$45+$O$48)*(M$45+M$48)</f>
        <v>6502.2421524663678</v>
      </c>
      <c r="N57" s="484">
        <f>('Tab. 15'!$G$25)/($O$45+$O$48)*(N$45+N$48)</f>
        <v>3576.2331838565024</v>
      </c>
      <c r="O57" s="479">
        <f t="shared" si="18"/>
        <v>72499.999999999985</v>
      </c>
    </row>
    <row r="58" spans="2:17" x14ac:dyDescent="0.2">
      <c r="B58" s="478" t="s">
        <v>697</v>
      </c>
      <c r="C58" s="484">
        <f>('Tab. 15'!$G$26)/($O$45+$O$48)*(C$45+C$48)</f>
        <v>381.1659192825112</v>
      </c>
      <c r="D58" s="484">
        <f>('Tab. 15'!$G$26)/($O$45+$O$48)*(D$45+D$48)</f>
        <v>426.00896860986546</v>
      </c>
      <c r="E58" s="484">
        <f>('Tab. 15'!$G$26)/($O$45+$O$48)*(E$45+E$48)</f>
        <v>493.2735426008968</v>
      </c>
      <c r="F58" s="484">
        <f>('Tab. 15'!$G$26)/($O$45+$O$48)*(F$45+F$48)</f>
        <v>448.4304932735426</v>
      </c>
      <c r="G58" s="484">
        <f>('Tab. 15'!$G$26)/($O$45+$O$48)*(G$45+G$48)</f>
        <v>448.4304932735426</v>
      </c>
      <c r="H58" s="484">
        <f>('Tab. 15'!$G$26)/($O$45+$O$48)*(H$45+H$48)</f>
        <v>470.85201793721973</v>
      </c>
      <c r="I58" s="484">
        <f>('Tab. 15'!$G$26)/($O$45+$O$48)*(I$45+I$48)</f>
        <v>470.85201793721973</v>
      </c>
      <c r="J58" s="484">
        <f>('Tab. 15'!$G$26)/($O$45+$O$48)*(J$45+J$48)</f>
        <v>246.6367713004484</v>
      </c>
      <c r="K58" s="484">
        <f>('Tab. 15'!$G$26)/($O$45+$O$48)*(K$45+K$48)</f>
        <v>470.85201793721973</v>
      </c>
      <c r="L58" s="484">
        <f>('Tab. 15'!$G$26)/($O$45+$O$48)*(L$45+L$48)</f>
        <v>448.4304932735426</v>
      </c>
      <c r="M58" s="484">
        <f>('Tab. 15'!$G$26)/($O$45+$O$48)*(M$45+M$48)</f>
        <v>448.4304932735426</v>
      </c>
      <c r="N58" s="484">
        <f>('Tab. 15'!$G$26)/($O$45+$O$48)*(N$45+N$48)</f>
        <v>246.6367713004484</v>
      </c>
      <c r="O58" s="479">
        <f t="shared" si="18"/>
        <v>5000</v>
      </c>
    </row>
    <row r="59" spans="2:17" s="427" customFormat="1" ht="15" thickBot="1" x14ac:dyDescent="0.25">
      <c r="B59" s="974"/>
      <c r="C59" s="975">
        <f t="shared" ref="C59:O59" si="19">SUM(C54:C58)</f>
        <v>64045.905121548261</v>
      </c>
      <c r="D59" s="975">
        <f t="shared" si="19"/>
        <v>71580.717488789247</v>
      </c>
      <c r="E59" s="975">
        <f t="shared" si="19"/>
        <v>82882.936039650696</v>
      </c>
      <c r="F59" s="975">
        <f t="shared" si="19"/>
        <v>75348.123672409725</v>
      </c>
      <c r="G59" s="975">
        <f t="shared" si="19"/>
        <v>75348.123672409725</v>
      </c>
      <c r="H59" s="975">
        <f t="shared" si="19"/>
        <v>79115.529856030204</v>
      </c>
      <c r="I59" s="975">
        <f t="shared" si="19"/>
        <v>79115.529856030204</v>
      </c>
      <c r="J59" s="975">
        <f t="shared" si="19"/>
        <v>41441.468019825348</v>
      </c>
      <c r="K59" s="975">
        <f t="shared" si="19"/>
        <v>79115.529856030204</v>
      </c>
      <c r="L59" s="975">
        <f t="shared" si="19"/>
        <v>75348.123672409725</v>
      </c>
      <c r="M59" s="975">
        <f t="shared" si="19"/>
        <v>75348.123672409725</v>
      </c>
      <c r="N59" s="975">
        <f t="shared" si="19"/>
        <v>41441.468019825348</v>
      </c>
      <c r="O59" s="976">
        <f t="shared" si="19"/>
        <v>840131.57894736843</v>
      </c>
    </row>
    <row r="60" spans="2:17" outlineLevel="1" x14ac:dyDescent="0.2">
      <c r="B60" s="1007"/>
      <c r="C60" s="1008"/>
      <c r="D60" s="1008"/>
      <c r="E60" s="1008"/>
      <c r="F60" s="1008"/>
      <c r="G60" s="1008"/>
      <c r="H60" s="1008"/>
      <c r="I60" s="1008"/>
      <c r="J60" s="1008"/>
      <c r="K60" s="1008"/>
      <c r="L60" s="1008"/>
      <c r="M60" s="1008"/>
      <c r="N60" s="1008"/>
      <c r="O60" s="1009"/>
    </row>
    <row r="61" spans="2:17" outlineLevel="1" x14ac:dyDescent="0.2">
      <c r="B61" s="1010"/>
      <c r="C61" s="1011">
        <f>C38+C50</f>
        <v>79479.030050920133</v>
      </c>
      <c r="D61" s="1011">
        <f t="shared" ref="D61:O61" si="20">D38+D50</f>
        <v>89010.953475783157</v>
      </c>
      <c r="E61" s="1011">
        <f t="shared" si="20"/>
        <v>99013.637574466076</v>
      </c>
      <c r="F61" s="1011">
        <f t="shared" si="20"/>
        <v>91888.974631028075</v>
      </c>
      <c r="G61" s="1011">
        <f t="shared" si="20"/>
        <v>87810.873111132154</v>
      </c>
      <c r="H61" s="1011">
        <f t="shared" si="20"/>
        <v>97548.374952479018</v>
      </c>
      <c r="I61" s="1011">
        <f t="shared" si="20"/>
        <v>85761.112450508459</v>
      </c>
      <c r="J61" s="1011">
        <f t="shared" si="20"/>
        <v>53208.204519534062</v>
      </c>
      <c r="K61" s="1011">
        <f t="shared" si="20"/>
        <v>88055.104982114586</v>
      </c>
      <c r="L61" s="1011">
        <f t="shared" si="20"/>
        <v>82543.150194515852</v>
      </c>
      <c r="M61" s="1011">
        <f t="shared" si="20"/>
        <v>81327.095407213914</v>
      </c>
      <c r="N61" s="1011">
        <f t="shared" si="20"/>
        <v>53208.204519534062</v>
      </c>
      <c r="O61" s="1012">
        <f t="shared" si="20"/>
        <v>988854.71586922952</v>
      </c>
    </row>
    <row r="62" spans="2:17" ht="15" outlineLevel="1" thickBot="1" x14ac:dyDescent="0.25">
      <c r="B62" s="1013"/>
      <c r="C62" s="1014">
        <f>+C61-CE_3_mens!C18</f>
        <v>0</v>
      </c>
      <c r="D62" s="1014">
        <f>+D61-CE_3_mens!D18</f>
        <v>0</v>
      </c>
      <c r="E62" s="1014">
        <f>+E61-CE_3_mens!E18</f>
        <v>0</v>
      </c>
      <c r="F62" s="1014">
        <f>+F61-CE_3_mens!F18</f>
        <v>0</v>
      </c>
      <c r="G62" s="1014">
        <f>+G61-CE_3_mens!G18</f>
        <v>0</v>
      </c>
      <c r="H62" s="1014">
        <f>+H61-CE_3_mens!H18</f>
        <v>0</v>
      </c>
      <c r="I62" s="1014">
        <f>+I61-CE_3_mens!I18</f>
        <v>0</v>
      </c>
      <c r="J62" s="1014">
        <f>+J61-CE_3_mens!J18</f>
        <v>0</v>
      </c>
      <c r="K62" s="1014">
        <f>+K61-CE_3_mens!K18</f>
        <v>0</v>
      </c>
      <c r="L62" s="1014">
        <f>+L61-CE_3_mens!L18</f>
        <v>0</v>
      </c>
      <c r="M62" s="1014">
        <f>+M61-CE_3_mens!M18</f>
        <v>0</v>
      </c>
      <c r="N62" s="1014">
        <f>+N61-CE_3_mens!N18</f>
        <v>0</v>
      </c>
      <c r="O62" s="1015">
        <f>+O61-CE_3_mens!O18</f>
        <v>0</v>
      </c>
    </row>
  </sheetData>
  <mergeCells count="1">
    <mergeCell ref="C3:O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56E06-1883-F84A-B68B-25452B4BE977}">
  <sheetPr codeName="Foglio32">
    <tabColor theme="0" tint="-0.499984740745262"/>
  </sheetPr>
  <dimension ref="B2:I149"/>
  <sheetViews>
    <sheetView zoomScale="160" zoomScaleNormal="160" workbookViewId="0">
      <pane ySplit="6" topLeftCell="A136" activePane="bottomLeft" state="frozen"/>
      <selection pane="bottomLeft" activeCell="B2" sqref="B2"/>
    </sheetView>
  </sheetViews>
  <sheetFormatPr baseColWidth="10" defaultRowHeight="16" x14ac:dyDescent="0.15"/>
  <cols>
    <col min="1" max="1" width="10.83203125" style="91"/>
    <col min="2" max="2" width="28.83203125" style="91" bestFit="1" customWidth="1"/>
    <col min="3" max="5" width="15.6640625" style="91" customWidth="1"/>
    <col min="6" max="6" width="2.33203125" style="91" customWidth="1"/>
    <col min="7" max="7" width="12.6640625" style="91" customWidth="1"/>
    <col min="8" max="8" width="16.1640625" style="91" customWidth="1"/>
    <col min="9" max="9" width="12.6640625" style="91" customWidth="1"/>
    <col min="10" max="16384" width="10.83203125" style="91"/>
  </cols>
  <sheetData>
    <row r="2" spans="2:9" x14ac:dyDescent="0.15">
      <c r="B2" s="91" t="s">
        <v>1014</v>
      </c>
    </row>
    <row r="4" spans="2:9" ht="17" thickBot="1" x14ac:dyDescent="0.2"/>
    <row r="5" spans="2:9" x14ac:dyDescent="0.15">
      <c r="B5" s="330"/>
      <c r="C5" s="1106" t="s">
        <v>170</v>
      </c>
      <c r="D5" s="1028"/>
      <c r="E5" s="1029"/>
      <c r="G5" s="1033" t="s">
        <v>196</v>
      </c>
      <c r="H5" s="1034"/>
      <c r="I5" s="1035"/>
    </row>
    <row r="6" spans="2:9" x14ac:dyDescent="0.15">
      <c r="B6" s="331"/>
      <c r="C6" s="197" t="s">
        <v>1001</v>
      </c>
      <c r="D6" s="192" t="s">
        <v>1002</v>
      </c>
      <c r="E6" s="668" t="s">
        <v>1003</v>
      </c>
      <c r="G6" s="383" t="s">
        <v>1001</v>
      </c>
      <c r="H6" s="337" t="s">
        <v>1002</v>
      </c>
      <c r="I6" s="384" t="s">
        <v>1003</v>
      </c>
    </row>
    <row r="7" spans="2:9" x14ac:dyDescent="0.15">
      <c r="B7" s="218" t="s">
        <v>870</v>
      </c>
      <c r="C7" s="669">
        <v>500000</v>
      </c>
      <c r="D7" s="669">
        <v>205000</v>
      </c>
      <c r="E7" s="671">
        <f>SUM(C7:D7)</f>
        <v>705000</v>
      </c>
      <c r="G7" s="692">
        <f>C7*(1+'Tab 2'!$E$21)</f>
        <v>808586.03283371183</v>
      </c>
      <c r="H7" s="403">
        <f>D7*(1+'Tab 2'!$E$26)</f>
        <v>143242.63222207426</v>
      </c>
      <c r="I7" s="671">
        <f>SUM(G7:H7)</f>
        <v>951828.66505578603</v>
      </c>
    </row>
    <row r="8" spans="2:9" x14ac:dyDescent="0.15">
      <c r="B8" s="230" t="s">
        <v>871</v>
      </c>
      <c r="C8" s="669">
        <v>500000</v>
      </c>
      <c r="D8" s="673">
        <v>205000</v>
      </c>
      <c r="E8" s="671">
        <f t="shared" ref="E8:E71" si="0">SUM(C8:D8)</f>
        <v>705000</v>
      </c>
      <c r="G8" s="692">
        <f>C8*(1+'Tab 2'!$E$21)</f>
        <v>808586.03283371183</v>
      </c>
      <c r="H8" s="403">
        <f>D8*(1+'Tab 2'!$E$26)</f>
        <v>143242.63222207426</v>
      </c>
      <c r="I8" s="671">
        <f t="shared" ref="I8:I71" si="1">SUM(G8:H8)</f>
        <v>951828.66505578603</v>
      </c>
    </row>
    <row r="9" spans="2:9" x14ac:dyDescent="0.15">
      <c r="B9" s="230" t="s">
        <v>872</v>
      </c>
      <c r="C9" s="669">
        <v>500000</v>
      </c>
      <c r="D9" s="673">
        <v>205000</v>
      </c>
      <c r="E9" s="671">
        <f t="shared" si="0"/>
        <v>705000</v>
      </c>
      <c r="G9" s="692">
        <f>C9*(1+'Tab 2'!$E$21)</f>
        <v>808586.03283371183</v>
      </c>
      <c r="H9" s="403">
        <f>D9*(1+'Tab 2'!$E$26)</f>
        <v>143242.63222207426</v>
      </c>
      <c r="I9" s="671">
        <f t="shared" si="1"/>
        <v>951828.66505578603</v>
      </c>
    </row>
    <row r="10" spans="2:9" x14ac:dyDescent="0.15">
      <c r="B10" s="230" t="s">
        <v>873</v>
      </c>
      <c r="C10" s="669">
        <v>500000</v>
      </c>
      <c r="D10" s="673">
        <v>205000</v>
      </c>
      <c r="E10" s="671">
        <f t="shared" si="0"/>
        <v>705000</v>
      </c>
      <c r="G10" s="692">
        <f>C10*(1+'Tab 2'!$E$21)</f>
        <v>808586.03283371183</v>
      </c>
      <c r="H10" s="403">
        <f>D10*(1+'Tab 2'!$E$26)</f>
        <v>143242.63222207426</v>
      </c>
      <c r="I10" s="671">
        <f t="shared" si="1"/>
        <v>951828.66505578603</v>
      </c>
    </row>
    <row r="11" spans="2:9" x14ac:dyDescent="0.15">
      <c r="B11" s="230" t="s">
        <v>874</v>
      </c>
      <c r="C11" s="669">
        <v>500000</v>
      </c>
      <c r="D11" s="673">
        <v>205000</v>
      </c>
      <c r="E11" s="671">
        <f t="shared" si="0"/>
        <v>705000</v>
      </c>
      <c r="G11" s="692">
        <f>C11*(1+'Tab 2'!$E$21)</f>
        <v>808586.03283371183</v>
      </c>
      <c r="H11" s="403">
        <f>D11*(1+'Tab 2'!$E$26)</f>
        <v>143242.63222207426</v>
      </c>
      <c r="I11" s="671">
        <f t="shared" si="1"/>
        <v>951828.66505578603</v>
      </c>
    </row>
    <row r="12" spans="2:9" x14ac:dyDescent="0.15">
      <c r="B12" s="230" t="s">
        <v>875</v>
      </c>
      <c r="C12" s="669">
        <v>500000</v>
      </c>
      <c r="D12" s="673">
        <v>205000</v>
      </c>
      <c r="E12" s="671">
        <f t="shared" si="0"/>
        <v>705000</v>
      </c>
      <c r="G12" s="692">
        <f>C12*(1+'Tab 2'!$E$21)</f>
        <v>808586.03283371183</v>
      </c>
      <c r="H12" s="403">
        <f>D12*(1+'Tab 2'!$E$26)</f>
        <v>143242.63222207426</v>
      </c>
      <c r="I12" s="671">
        <f t="shared" si="1"/>
        <v>951828.66505578603</v>
      </c>
    </row>
    <row r="13" spans="2:9" x14ac:dyDescent="0.15">
      <c r="B13" s="230" t="s">
        <v>876</v>
      </c>
      <c r="C13" s="669">
        <v>500000</v>
      </c>
      <c r="D13" s="673">
        <v>205000</v>
      </c>
      <c r="E13" s="671">
        <f t="shared" si="0"/>
        <v>705000</v>
      </c>
      <c r="G13" s="692">
        <f>C13*(1+'Tab 2'!$E$21)</f>
        <v>808586.03283371183</v>
      </c>
      <c r="H13" s="403">
        <f>D13*(1+'Tab 2'!$E$26)</f>
        <v>143242.63222207426</v>
      </c>
      <c r="I13" s="671">
        <f t="shared" si="1"/>
        <v>951828.66505578603</v>
      </c>
    </row>
    <row r="14" spans="2:9" x14ac:dyDescent="0.15">
      <c r="B14" s="230" t="s">
        <v>877</v>
      </c>
      <c r="C14" s="669">
        <v>500000</v>
      </c>
      <c r="D14" s="673">
        <v>205000</v>
      </c>
      <c r="E14" s="671">
        <f t="shared" si="0"/>
        <v>705000</v>
      </c>
      <c r="G14" s="692">
        <f>C14*(1+'Tab 2'!$E$21)</f>
        <v>808586.03283371183</v>
      </c>
      <c r="H14" s="403">
        <f>D14*(1+'Tab 2'!$E$26)</f>
        <v>143242.63222207426</v>
      </c>
      <c r="I14" s="671">
        <f t="shared" si="1"/>
        <v>951828.66505578603</v>
      </c>
    </row>
    <row r="15" spans="2:9" x14ac:dyDescent="0.15">
      <c r="B15" s="230" t="s">
        <v>878</v>
      </c>
      <c r="C15" s="669">
        <v>500000</v>
      </c>
      <c r="D15" s="673">
        <v>205000</v>
      </c>
      <c r="E15" s="671">
        <f t="shared" si="0"/>
        <v>705000</v>
      </c>
      <c r="G15" s="692">
        <f>C15*(1+'Tab 2'!$E$21)</f>
        <v>808586.03283371183</v>
      </c>
      <c r="H15" s="403">
        <f>D15*(1+'Tab 2'!$E$26)</f>
        <v>143242.63222207426</v>
      </c>
      <c r="I15" s="671">
        <f t="shared" si="1"/>
        <v>951828.66505578603</v>
      </c>
    </row>
    <row r="16" spans="2:9" x14ac:dyDescent="0.15">
      <c r="B16" s="230" t="s">
        <v>879</v>
      </c>
      <c r="C16" s="669">
        <v>500000</v>
      </c>
      <c r="D16" s="673">
        <v>205000</v>
      </c>
      <c r="E16" s="671">
        <f t="shared" si="0"/>
        <v>705000</v>
      </c>
      <c r="G16" s="692">
        <f>C16*(1+'Tab 2'!$E$21)</f>
        <v>808586.03283371183</v>
      </c>
      <c r="H16" s="403">
        <f>D16*(1+'Tab 2'!$E$26)</f>
        <v>143242.63222207426</v>
      </c>
      <c r="I16" s="671">
        <f t="shared" si="1"/>
        <v>951828.66505578603</v>
      </c>
    </row>
    <row r="17" spans="2:9" x14ac:dyDescent="0.15">
      <c r="B17" s="230" t="s">
        <v>880</v>
      </c>
      <c r="C17" s="673">
        <v>400000</v>
      </c>
      <c r="D17" s="673">
        <v>164000</v>
      </c>
      <c r="E17" s="671">
        <f t="shared" si="0"/>
        <v>564000</v>
      </c>
      <c r="G17" s="692">
        <f>C17*(1+'Tab 2'!$E$21)</f>
        <v>646868.82626696944</v>
      </c>
      <c r="H17" s="403">
        <f>D17*(1+'Tab 2'!$E$26)</f>
        <v>114594.1057776594</v>
      </c>
      <c r="I17" s="671">
        <f t="shared" si="1"/>
        <v>761462.93204462877</v>
      </c>
    </row>
    <row r="18" spans="2:9" x14ac:dyDescent="0.15">
      <c r="B18" s="230" t="s">
        <v>881</v>
      </c>
      <c r="C18" s="673">
        <v>400000</v>
      </c>
      <c r="D18" s="673">
        <v>164000</v>
      </c>
      <c r="E18" s="671">
        <f t="shared" si="0"/>
        <v>564000</v>
      </c>
      <c r="G18" s="692">
        <f>C18*(1+'Tab 2'!$E$21)</f>
        <v>646868.82626696944</v>
      </c>
      <c r="H18" s="403">
        <f>D18*(1+'Tab 2'!$E$26)</f>
        <v>114594.1057776594</v>
      </c>
      <c r="I18" s="671">
        <f t="shared" si="1"/>
        <v>761462.93204462877</v>
      </c>
    </row>
    <row r="19" spans="2:9" x14ac:dyDescent="0.15">
      <c r="B19" s="230" t="s">
        <v>882</v>
      </c>
      <c r="C19" s="673">
        <v>400000</v>
      </c>
      <c r="D19" s="673">
        <v>164000</v>
      </c>
      <c r="E19" s="671">
        <f t="shared" si="0"/>
        <v>564000</v>
      </c>
      <c r="G19" s="692">
        <f>C19*(1+'Tab 2'!$E$21)</f>
        <v>646868.82626696944</v>
      </c>
      <c r="H19" s="403">
        <f>D19*(1+'Tab 2'!$E$26)</f>
        <v>114594.1057776594</v>
      </c>
      <c r="I19" s="671">
        <f t="shared" si="1"/>
        <v>761462.93204462877</v>
      </c>
    </row>
    <row r="20" spans="2:9" x14ac:dyDescent="0.15">
      <c r="B20" s="230" t="s">
        <v>883</v>
      </c>
      <c r="C20" s="673">
        <v>400000</v>
      </c>
      <c r="D20" s="673">
        <v>164000</v>
      </c>
      <c r="E20" s="671">
        <f t="shared" si="0"/>
        <v>564000</v>
      </c>
      <c r="G20" s="692">
        <f>C20*(1+'Tab 2'!$E$21)</f>
        <v>646868.82626696944</v>
      </c>
      <c r="H20" s="403">
        <f>D20*(1+'Tab 2'!$E$26)</f>
        <v>114594.1057776594</v>
      </c>
      <c r="I20" s="671">
        <f t="shared" si="1"/>
        <v>761462.93204462877</v>
      </c>
    </row>
    <row r="21" spans="2:9" x14ac:dyDescent="0.15">
      <c r="B21" s="230" t="s">
        <v>884</v>
      </c>
      <c r="C21" s="673">
        <v>400000</v>
      </c>
      <c r="D21" s="673">
        <v>164000</v>
      </c>
      <c r="E21" s="671">
        <f t="shared" si="0"/>
        <v>564000</v>
      </c>
      <c r="G21" s="692">
        <f>C21*(1+'Tab 2'!$E$21)</f>
        <v>646868.82626696944</v>
      </c>
      <c r="H21" s="403">
        <f>D21*(1+'Tab 2'!$E$26)</f>
        <v>114594.1057776594</v>
      </c>
      <c r="I21" s="671">
        <f t="shared" si="1"/>
        <v>761462.93204462877</v>
      </c>
    </row>
    <row r="22" spans="2:9" x14ac:dyDescent="0.15">
      <c r="B22" s="230" t="s">
        <v>885</v>
      </c>
      <c r="C22" s="673">
        <v>400000</v>
      </c>
      <c r="D22" s="673">
        <v>164000</v>
      </c>
      <c r="E22" s="671">
        <f t="shared" si="0"/>
        <v>564000</v>
      </c>
      <c r="G22" s="692">
        <f>C22*(1+'Tab 2'!$E$21)</f>
        <v>646868.82626696944</v>
      </c>
      <c r="H22" s="403">
        <f>D22*(1+'Tab 2'!$E$26)</f>
        <v>114594.1057776594</v>
      </c>
      <c r="I22" s="671">
        <f t="shared" si="1"/>
        <v>761462.93204462877</v>
      </c>
    </row>
    <row r="23" spans="2:9" x14ac:dyDescent="0.15">
      <c r="B23" s="230" t="s">
        <v>886</v>
      </c>
      <c r="C23" s="673">
        <v>400000</v>
      </c>
      <c r="D23" s="673">
        <v>164000</v>
      </c>
      <c r="E23" s="671">
        <f t="shared" si="0"/>
        <v>564000</v>
      </c>
      <c r="G23" s="692">
        <f>C23*(1+'Tab 2'!$E$21)</f>
        <v>646868.82626696944</v>
      </c>
      <c r="H23" s="403">
        <f>D23*(1+'Tab 2'!$E$26)</f>
        <v>114594.1057776594</v>
      </c>
      <c r="I23" s="671">
        <f t="shared" si="1"/>
        <v>761462.93204462877</v>
      </c>
    </row>
    <row r="24" spans="2:9" x14ac:dyDescent="0.15">
      <c r="B24" s="230" t="s">
        <v>887</v>
      </c>
      <c r="C24" s="673">
        <v>400000</v>
      </c>
      <c r="D24" s="673">
        <v>164000</v>
      </c>
      <c r="E24" s="671">
        <f t="shared" si="0"/>
        <v>564000</v>
      </c>
      <c r="G24" s="692">
        <f>C24*(1+'Tab 2'!$E$21)</f>
        <v>646868.82626696944</v>
      </c>
      <c r="H24" s="403">
        <f>D24*(1+'Tab 2'!$E$26)</f>
        <v>114594.1057776594</v>
      </c>
      <c r="I24" s="671">
        <f t="shared" si="1"/>
        <v>761462.93204462877</v>
      </c>
    </row>
    <row r="25" spans="2:9" x14ac:dyDescent="0.15">
      <c r="B25" s="230" t="s">
        <v>888</v>
      </c>
      <c r="C25" s="673">
        <v>400000</v>
      </c>
      <c r="D25" s="673">
        <v>164000</v>
      </c>
      <c r="E25" s="671">
        <f t="shared" si="0"/>
        <v>564000</v>
      </c>
      <c r="G25" s="692">
        <f>C25*(1+'Tab 2'!$E$21)</f>
        <v>646868.82626696944</v>
      </c>
      <c r="H25" s="403">
        <f>D25*(1+'Tab 2'!$E$26)</f>
        <v>114594.1057776594</v>
      </c>
      <c r="I25" s="671">
        <f t="shared" si="1"/>
        <v>761462.93204462877</v>
      </c>
    </row>
    <row r="26" spans="2:9" x14ac:dyDescent="0.15">
      <c r="B26" s="230" t="s">
        <v>889</v>
      </c>
      <c r="C26" s="673">
        <v>400000</v>
      </c>
      <c r="D26" s="673">
        <v>164000</v>
      </c>
      <c r="E26" s="671">
        <f t="shared" si="0"/>
        <v>564000</v>
      </c>
      <c r="G26" s="692">
        <f>C26*(1+'Tab 2'!$E$21)</f>
        <v>646868.82626696944</v>
      </c>
      <c r="H26" s="403">
        <f>D26*(1+'Tab 2'!$E$26)</f>
        <v>114594.1057776594</v>
      </c>
      <c r="I26" s="671">
        <f t="shared" si="1"/>
        <v>761462.93204462877</v>
      </c>
    </row>
    <row r="27" spans="2:9" x14ac:dyDescent="0.15">
      <c r="B27" s="230" t="s">
        <v>890</v>
      </c>
      <c r="C27" s="673">
        <v>400000</v>
      </c>
      <c r="D27" s="673">
        <v>164000</v>
      </c>
      <c r="E27" s="671">
        <f t="shared" si="0"/>
        <v>564000</v>
      </c>
      <c r="G27" s="692">
        <f>C27*(1+'Tab 2'!$E$21)</f>
        <v>646868.82626696944</v>
      </c>
      <c r="H27" s="403">
        <f>D27*(1+'Tab 2'!$E$26)</f>
        <v>114594.1057776594</v>
      </c>
      <c r="I27" s="671">
        <f t="shared" si="1"/>
        <v>761462.93204462877</v>
      </c>
    </row>
    <row r="28" spans="2:9" x14ac:dyDescent="0.15">
      <c r="B28" s="230" t="s">
        <v>891</v>
      </c>
      <c r="C28" s="673">
        <v>400000</v>
      </c>
      <c r="D28" s="673">
        <v>164000</v>
      </c>
      <c r="E28" s="671">
        <f t="shared" si="0"/>
        <v>564000</v>
      </c>
      <c r="G28" s="692">
        <f>C28*(1+'Tab 2'!$E$21)</f>
        <v>646868.82626696944</v>
      </c>
      <c r="H28" s="403">
        <f>D28*(1+'Tab 2'!$E$26)</f>
        <v>114594.1057776594</v>
      </c>
      <c r="I28" s="671">
        <f t="shared" si="1"/>
        <v>761462.93204462877</v>
      </c>
    </row>
    <row r="29" spans="2:9" x14ac:dyDescent="0.15">
      <c r="B29" s="230" t="s">
        <v>892</v>
      </c>
      <c r="C29" s="673">
        <v>400000</v>
      </c>
      <c r="D29" s="673">
        <v>164000</v>
      </c>
      <c r="E29" s="671">
        <f t="shared" si="0"/>
        <v>564000</v>
      </c>
      <c r="G29" s="692">
        <f>C29*(1+'Tab 2'!$E$21)</f>
        <v>646868.82626696944</v>
      </c>
      <c r="H29" s="403">
        <f>D29*(1+'Tab 2'!$E$26)</f>
        <v>114594.1057776594</v>
      </c>
      <c r="I29" s="671">
        <f t="shared" si="1"/>
        <v>761462.93204462877</v>
      </c>
    </row>
    <row r="30" spans="2:9" x14ac:dyDescent="0.15">
      <c r="B30" s="230" t="s">
        <v>893</v>
      </c>
      <c r="C30" s="673">
        <v>400000</v>
      </c>
      <c r="D30" s="673">
        <v>164000</v>
      </c>
      <c r="E30" s="671">
        <f t="shared" si="0"/>
        <v>564000</v>
      </c>
      <c r="G30" s="692">
        <f>C30*(1+'Tab 2'!$E$21)</f>
        <v>646868.82626696944</v>
      </c>
      <c r="H30" s="403">
        <f>D30*(1+'Tab 2'!$E$26)</f>
        <v>114594.1057776594</v>
      </c>
      <c r="I30" s="671">
        <f t="shared" si="1"/>
        <v>761462.93204462877</v>
      </c>
    </row>
    <row r="31" spans="2:9" x14ac:dyDescent="0.15">
      <c r="B31" s="230" t="s">
        <v>894</v>
      </c>
      <c r="C31" s="673">
        <v>400000</v>
      </c>
      <c r="D31" s="673">
        <v>164000</v>
      </c>
      <c r="E31" s="671">
        <f t="shared" si="0"/>
        <v>564000</v>
      </c>
      <c r="G31" s="692">
        <f>C31*(1+'Tab 2'!$E$21)</f>
        <v>646868.82626696944</v>
      </c>
      <c r="H31" s="403">
        <f>D31*(1+'Tab 2'!$E$26)</f>
        <v>114594.1057776594</v>
      </c>
      <c r="I31" s="671">
        <f t="shared" si="1"/>
        <v>761462.93204462877</v>
      </c>
    </row>
    <row r="32" spans="2:9" x14ac:dyDescent="0.15">
      <c r="B32" s="230" t="s">
        <v>895</v>
      </c>
      <c r="C32" s="673">
        <v>400000</v>
      </c>
      <c r="D32" s="673">
        <v>164000</v>
      </c>
      <c r="E32" s="671">
        <f t="shared" si="0"/>
        <v>564000</v>
      </c>
      <c r="G32" s="692">
        <f>C32*(1+'Tab 2'!$E$21)</f>
        <v>646868.82626696944</v>
      </c>
      <c r="H32" s="403">
        <f>D32*(1+'Tab 2'!$E$26)</f>
        <v>114594.1057776594</v>
      </c>
      <c r="I32" s="671">
        <f t="shared" si="1"/>
        <v>761462.93204462877</v>
      </c>
    </row>
    <row r="33" spans="2:9" x14ac:dyDescent="0.15">
      <c r="B33" s="230" t="s">
        <v>896</v>
      </c>
      <c r="C33" s="673">
        <v>400000</v>
      </c>
      <c r="D33" s="673">
        <v>164000</v>
      </c>
      <c r="E33" s="671">
        <f t="shared" si="0"/>
        <v>564000</v>
      </c>
      <c r="G33" s="692">
        <f>C33*(1+'Tab 2'!$E$21)</f>
        <v>646868.82626696944</v>
      </c>
      <c r="H33" s="403">
        <f>D33*(1+'Tab 2'!$E$26)</f>
        <v>114594.1057776594</v>
      </c>
      <c r="I33" s="671">
        <f t="shared" si="1"/>
        <v>761462.93204462877</v>
      </c>
    </row>
    <row r="34" spans="2:9" x14ac:dyDescent="0.15">
      <c r="B34" s="230" t="s">
        <v>897</v>
      </c>
      <c r="C34" s="673">
        <v>400000</v>
      </c>
      <c r="D34" s="673">
        <v>164000</v>
      </c>
      <c r="E34" s="671">
        <f t="shared" si="0"/>
        <v>564000</v>
      </c>
      <c r="G34" s="692">
        <f>C34*(1+'Tab 2'!$E$21)</f>
        <v>646868.82626696944</v>
      </c>
      <c r="H34" s="403">
        <f>D34*(1+'Tab 2'!$E$26)</f>
        <v>114594.1057776594</v>
      </c>
      <c r="I34" s="671">
        <f t="shared" si="1"/>
        <v>761462.93204462877</v>
      </c>
    </row>
    <row r="35" spans="2:9" x14ac:dyDescent="0.15">
      <c r="B35" s="230" t="s">
        <v>898</v>
      </c>
      <c r="C35" s="673">
        <v>400000</v>
      </c>
      <c r="D35" s="673">
        <v>164000</v>
      </c>
      <c r="E35" s="671">
        <f t="shared" si="0"/>
        <v>564000</v>
      </c>
      <c r="G35" s="692">
        <f>C35*(1+'Tab 2'!$E$21)</f>
        <v>646868.82626696944</v>
      </c>
      <c r="H35" s="403">
        <f>D35*(1+'Tab 2'!$E$26)</f>
        <v>114594.1057776594</v>
      </c>
      <c r="I35" s="671">
        <f t="shared" si="1"/>
        <v>761462.93204462877</v>
      </c>
    </row>
    <row r="36" spans="2:9" x14ac:dyDescent="0.15">
      <c r="B36" s="230" t="s">
        <v>899</v>
      </c>
      <c r="C36" s="673">
        <v>400000</v>
      </c>
      <c r="D36" s="673">
        <v>164000</v>
      </c>
      <c r="E36" s="671">
        <f t="shared" si="0"/>
        <v>564000</v>
      </c>
      <c r="G36" s="692">
        <f>C36*(1+'Tab 2'!$E$21)</f>
        <v>646868.82626696944</v>
      </c>
      <c r="H36" s="403">
        <f>D36*(1+'Tab 2'!$E$26)</f>
        <v>114594.1057776594</v>
      </c>
      <c r="I36" s="671">
        <f t="shared" si="1"/>
        <v>761462.93204462877</v>
      </c>
    </row>
    <row r="37" spans="2:9" x14ac:dyDescent="0.15">
      <c r="B37" s="230" t="s">
        <v>900</v>
      </c>
      <c r="C37" s="673">
        <v>400000</v>
      </c>
      <c r="D37" s="673">
        <v>164000</v>
      </c>
      <c r="E37" s="671">
        <f t="shared" si="0"/>
        <v>564000</v>
      </c>
      <c r="G37" s="692">
        <f>C37*(1+'Tab 2'!$E$21)</f>
        <v>646868.82626696944</v>
      </c>
      <c r="H37" s="403">
        <f>D37*(1+'Tab 2'!$E$26)</f>
        <v>114594.1057776594</v>
      </c>
      <c r="I37" s="671">
        <f t="shared" si="1"/>
        <v>761462.93204462877</v>
      </c>
    </row>
    <row r="38" spans="2:9" x14ac:dyDescent="0.15">
      <c r="B38" s="230" t="s">
        <v>901</v>
      </c>
      <c r="C38" s="673">
        <v>400000</v>
      </c>
      <c r="D38" s="673">
        <v>164000</v>
      </c>
      <c r="E38" s="671">
        <f t="shared" si="0"/>
        <v>564000</v>
      </c>
      <c r="G38" s="692">
        <f>C38*(1+'Tab 2'!$E$21)</f>
        <v>646868.82626696944</v>
      </c>
      <c r="H38" s="403">
        <f>D38*(1+'Tab 2'!$E$26)</f>
        <v>114594.1057776594</v>
      </c>
      <c r="I38" s="671">
        <f t="shared" si="1"/>
        <v>761462.93204462877</v>
      </c>
    </row>
    <row r="39" spans="2:9" x14ac:dyDescent="0.15">
      <c r="B39" s="230" t="s">
        <v>902</v>
      </c>
      <c r="C39" s="673">
        <v>300000</v>
      </c>
      <c r="D39" s="673">
        <v>123000</v>
      </c>
      <c r="E39" s="671">
        <f t="shared" si="0"/>
        <v>423000</v>
      </c>
      <c r="G39" s="692">
        <f>C39*(1+'Tab 2'!$E$21)</f>
        <v>485151.61970022705</v>
      </c>
      <c r="H39" s="403">
        <f>D39*(1+'Tab 2'!$E$26)</f>
        <v>85945.579333244546</v>
      </c>
      <c r="I39" s="671">
        <f t="shared" si="1"/>
        <v>571097.19903347164</v>
      </c>
    </row>
    <row r="40" spans="2:9" x14ac:dyDescent="0.15">
      <c r="B40" s="230" t="s">
        <v>903</v>
      </c>
      <c r="C40" s="673">
        <v>300000</v>
      </c>
      <c r="D40" s="673">
        <v>123000</v>
      </c>
      <c r="E40" s="671">
        <f t="shared" si="0"/>
        <v>423000</v>
      </c>
      <c r="G40" s="692">
        <f>C40*(1+'Tab 2'!$E$21)</f>
        <v>485151.61970022705</v>
      </c>
      <c r="H40" s="403">
        <f>D40*(1+'Tab 2'!$E$26)</f>
        <v>85945.579333244546</v>
      </c>
      <c r="I40" s="671">
        <f t="shared" si="1"/>
        <v>571097.19903347164</v>
      </c>
    </row>
    <row r="41" spans="2:9" x14ac:dyDescent="0.15">
      <c r="B41" s="230" t="s">
        <v>904</v>
      </c>
      <c r="C41" s="673">
        <v>300000</v>
      </c>
      <c r="D41" s="673">
        <v>123000</v>
      </c>
      <c r="E41" s="671">
        <f t="shared" si="0"/>
        <v>423000</v>
      </c>
      <c r="G41" s="692">
        <f>C41*(1+'Tab 2'!$E$21)</f>
        <v>485151.61970022705</v>
      </c>
      <c r="H41" s="403">
        <f>D41*(1+'Tab 2'!$E$26)</f>
        <v>85945.579333244546</v>
      </c>
      <c r="I41" s="671">
        <f t="shared" si="1"/>
        <v>571097.19903347164</v>
      </c>
    </row>
    <row r="42" spans="2:9" x14ac:dyDescent="0.15">
      <c r="B42" s="230" t="s">
        <v>905</v>
      </c>
      <c r="C42" s="673">
        <v>300000</v>
      </c>
      <c r="D42" s="673">
        <v>123000</v>
      </c>
      <c r="E42" s="671">
        <f t="shared" si="0"/>
        <v>423000</v>
      </c>
      <c r="G42" s="692">
        <f>C42*(1+'Tab 2'!$E$21)</f>
        <v>485151.61970022705</v>
      </c>
      <c r="H42" s="403">
        <f>D42*(1+'Tab 2'!$E$26)</f>
        <v>85945.579333244546</v>
      </c>
      <c r="I42" s="671">
        <f t="shared" si="1"/>
        <v>571097.19903347164</v>
      </c>
    </row>
    <row r="43" spans="2:9" x14ac:dyDescent="0.15">
      <c r="B43" s="230" t="s">
        <v>906</v>
      </c>
      <c r="C43" s="673">
        <v>300000</v>
      </c>
      <c r="D43" s="673">
        <v>123000</v>
      </c>
      <c r="E43" s="671">
        <f t="shared" si="0"/>
        <v>423000</v>
      </c>
      <c r="G43" s="692">
        <f>C43*(1+'Tab 2'!$E$21)</f>
        <v>485151.61970022705</v>
      </c>
      <c r="H43" s="403">
        <f>D43*(1+'Tab 2'!$E$26)</f>
        <v>85945.579333244546</v>
      </c>
      <c r="I43" s="671">
        <f t="shared" si="1"/>
        <v>571097.19903347164</v>
      </c>
    </row>
    <row r="44" spans="2:9" x14ac:dyDescent="0.15">
      <c r="B44" s="230" t="s">
        <v>907</v>
      </c>
      <c r="C44" s="673">
        <v>300000</v>
      </c>
      <c r="D44" s="673">
        <v>123000</v>
      </c>
      <c r="E44" s="671">
        <f t="shared" si="0"/>
        <v>423000</v>
      </c>
      <c r="G44" s="692">
        <f>C44*(1+'Tab 2'!$E$21)</f>
        <v>485151.61970022705</v>
      </c>
      <c r="H44" s="403">
        <f>D44*(1+'Tab 2'!$E$26)</f>
        <v>85945.579333244546</v>
      </c>
      <c r="I44" s="671">
        <f t="shared" si="1"/>
        <v>571097.19903347164</v>
      </c>
    </row>
    <row r="45" spans="2:9" x14ac:dyDescent="0.15">
      <c r="B45" s="230" t="s">
        <v>908</v>
      </c>
      <c r="C45" s="673">
        <v>300000</v>
      </c>
      <c r="D45" s="673">
        <v>123000</v>
      </c>
      <c r="E45" s="671">
        <f t="shared" si="0"/>
        <v>423000</v>
      </c>
      <c r="G45" s="692">
        <f>C45*(1+'Tab 2'!$E$21)</f>
        <v>485151.61970022705</v>
      </c>
      <c r="H45" s="403">
        <f>D45*(1+'Tab 2'!$E$26)</f>
        <v>85945.579333244546</v>
      </c>
      <c r="I45" s="671">
        <f t="shared" si="1"/>
        <v>571097.19903347164</v>
      </c>
    </row>
    <row r="46" spans="2:9" x14ac:dyDescent="0.15">
      <c r="B46" s="230" t="s">
        <v>909</v>
      </c>
      <c r="C46" s="673">
        <v>300000</v>
      </c>
      <c r="D46" s="673">
        <v>123000</v>
      </c>
      <c r="E46" s="671">
        <f t="shared" si="0"/>
        <v>423000</v>
      </c>
      <c r="G46" s="692">
        <f>C46*(1+'Tab 2'!$E$21)</f>
        <v>485151.61970022705</v>
      </c>
      <c r="H46" s="403">
        <f>D46*(1+'Tab 2'!$E$26)</f>
        <v>85945.579333244546</v>
      </c>
      <c r="I46" s="671">
        <f t="shared" si="1"/>
        <v>571097.19903347164</v>
      </c>
    </row>
    <row r="47" spans="2:9" x14ac:dyDescent="0.15">
      <c r="B47" s="230" t="s">
        <v>910</v>
      </c>
      <c r="C47" s="673">
        <v>300000</v>
      </c>
      <c r="D47" s="673">
        <v>123000</v>
      </c>
      <c r="E47" s="671">
        <f t="shared" si="0"/>
        <v>423000</v>
      </c>
      <c r="G47" s="692">
        <f>C47*(1+'Tab 2'!$E$21)</f>
        <v>485151.61970022705</v>
      </c>
      <c r="H47" s="403">
        <f>D47*(1+'Tab 2'!$E$26)</f>
        <v>85945.579333244546</v>
      </c>
      <c r="I47" s="671">
        <f t="shared" si="1"/>
        <v>571097.19903347164</v>
      </c>
    </row>
    <row r="48" spans="2:9" x14ac:dyDescent="0.15">
      <c r="B48" s="230" t="s">
        <v>911</v>
      </c>
      <c r="C48" s="673">
        <v>300000</v>
      </c>
      <c r="D48" s="673">
        <v>123000</v>
      </c>
      <c r="E48" s="671">
        <f t="shared" si="0"/>
        <v>423000</v>
      </c>
      <c r="G48" s="692">
        <f>C48*(1+'Tab 2'!$E$21)</f>
        <v>485151.61970022705</v>
      </c>
      <c r="H48" s="403">
        <f>D48*(1+'Tab 2'!$E$26)</f>
        <v>85945.579333244546</v>
      </c>
      <c r="I48" s="671">
        <f t="shared" si="1"/>
        <v>571097.19903347164</v>
      </c>
    </row>
    <row r="49" spans="2:9" x14ac:dyDescent="0.15">
      <c r="B49" s="230" t="s">
        <v>912</v>
      </c>
      <c r="C49" s="673">
        <v>300000</v>
      </c>
      <c r="D49" s="673">
        <v>123000</v>
      </c>
      <c r="E49" s="671">
        <f t="shared" si="0"/>
        <v>423000</v>
      </c>
      <c r="G49" s="692">
        <f>C49*(1+'Tab 2'!$E$21)</f>
        <v>485151.61970022705</v>
      </c>
      <c r="H49" s="403">
        <f>D49*(1+'Tab 2'!$E$26)</f>
        <v>85945.579333244546</v>
      </c>
      <c r="I49" s="671">
        <f t="shared" si="1"/>
        <v>571097.19903347164</v>
      </c>
    </row>
    <row r="50" spans="2:9" x14ac:dyDescent="0.15">
      <c r="B50" s="230" t="s">
        <v>913</v>
      </c>
      <c r="C50" s="673">
        <v>300000</v>
      </c>
      <c r="D50" s="673">
        <v>123000</v>
      </c>
      <c r="E50" s="671">
        <f t="shared" si="0"/>
        <v>423000</v>
      </c>
      <c r="G50" s="692">
        <f>C50*(1+'Tab 2'!$E$21)</f>
        <v>485151.61970022705</v>
      </c>
      <c r="H50" s="403">
        <f>D50*(1+'Tab 2'!$E$26)</f>
        <v>85945.579333244546</v>
      </c>
      <c r="I50" s="671">
        <f t="shared" si="1"/>
        <v>571097.19903347164</v>
      </c>
    </row>
    <row r="51" spans="2:9" x14ac:dyDescent="0.15">
      <c r="B51" s="230" t="s">
        <v>914</v>
      </c>
      <c r="C51" s="673">
        <v>300000</v>
      </c>
      <c r="D51" s="673">
        <v>123000</v>
      </c>
      <c r="E51" s="671">
        <f t="shared" si="0"/>
        <v>423000</v>
      </c>
      <c r="G51" s="692">
        <f>C51*(1+'Tab 2'!$E$21)</f>
        <v>485151.61970022705</v>
      </c>
      <c r="H51" s="403">
        <f>D51*(1+'Tab 2'!$E$26)</f>
        <v>85945.579333244546</v>
      </c>
      <c r="I51" s="671">
        <f t="shared" si="1"/>
        <v>571097.19903347164</v>
      </c>
    </row>
    <row r="52" spans="2:9" x14ac:dyDescent="0.15">
      <c r="B52" s="230" t="s">
        <v>915</v>
      </c>
      <c r="C52" s="673">
        <v>300000</v>
      </c>
      <c r="D52" s="673">
        <v>123000</v>
      </c>
      <c r="E52" s="671">
        <f t="shared" si="0"/>
        <v>423000</v>
      </c>
      <c r="G52" s="692">
        <f>C52*(1+'Tab 2'!$E$21)</f>
        <v>485151.61970022705</v>
      </c>
      <c r="H52" s="403">
        <f>D52*(1+'Tab 2'!$E$26)</f>
        <v>85945.579333244546</v>
      </c>
      <c r="I52" s="671">
        <f t="shared" si="1"/>
        <v>571097.19903347164</v>
      </c>
    </row>
    <row r="53" spans="2:9" x14ac:dyDescent="0.15">
      <c r="B53" s="230" t="s">
        <v>916</v>
      </c>
      <c r="C53" s="673">
        <f>294000-180</f>
        <v>293820</v>
      </c>
      <c r="D53" s="673">
        <f>78000+180</f>
        <v>78180</v>
      </c>
      <c r="E53" s="671">
        <f t="shared" si="0"/>
        <v>372000</v>
      </c>
      <c r="G53" s="692">
        <f>C53*(1+'Tab 2'!$E$21)</f>
        <v>475157.49633440241</v>
      </c>
      <c r="H53" s="403">
        <f>D53*(1+'Tab 2'!$E$26)</f>
        <v>54627.848717667148</v>
      </c>
      <c r="I53" s="671">
        <f t="shared" si="1"/>
        <v>529785.34505206952</v>
      </c>
    </row>
    <row r="54" spans="2:9" x14ac:dyDescent="0.15">
      <c r="B54" s="230" t="s">
        <v>917</v>
      </c>
      <c r="C54" s="673">
        <v>200000</v>
      </c>
      <c r="D54" s="673">
        <v>82000</v>
      </c>
      <c r="E54" s="671">
        <f t="shared" si="0"/>
        <v>282000</v>
      </c>
      <c r="G54" s="692">
        <f>C54*(1+'Tab 2'!$E$21)</f>
        <v>323434.41313348472</v>
      </c>
      <c r="H54" s="403">
        <f>D54*(1+'Tab 2'!$E$26)</f>
        <v>57297.052888829698</v>
      </c>
      <c r="I54" s="671">
        <f t="shared" si="1"/>
        <v>380731.46602231439</v>
      </c>
    </row>
    <row r="55" spans="2:9" x14ac:dyDescent="0.15">
      <c r="B55" s="230" t="s">
        <v>918</v>
      </c>
      <c r="C55" s="673">
        <v>200000</v>
      </c>
      <c r="D55" s="673">
        <v>82000</v>
      </c>
      <c r="E55" s="671">
        <f t="shared" si="0"/>
        <v>282000</v>
      </c>
      <c r="G55" s="692">
        <f>C55*(1+'Tab 2'!$E$21)</f>
        <v>323434.41313348472</v>
      </c>
      <c r="H55" s="403">
        <f>D55*(1+'Tab 2'!$E$26)</f>
        <v>57297.052888829698</v>
      </c>
      <c r="I55" s="671">
        <f t="shared" si="1"/>
        <v>380731.46602231439</v>
      </c>
    </row>
    <row r="56" spans="2:9" x14ac:dyDescent="0.15">
      <c r="B56" s="230" t="s">
        <v>919</v>
      </c>
      <c r="C56" s="673">
        <v>200000</v>
      </c>
      <c r="D56" s="673">
        <v>82000</v>
      </c>
      <c r="E56" s="671">
        <f t="shared" si="0"/>
        <v>282000</v>
      </c>
      <c r="G56" s="692">
        <f>C56*(1+'Tab 2'!$E$21)</f>
        <v>323434.41313348472</v>
      </c>
      <c r="H56" s="403">
        <f>D56*(1+'Tab 2'!$E$26)</f>
        <v>57297.052888829698</v>
      </c>
      <c r="I56" s="671">
        <f t="shared" si="1"/>
        <v>380731.46602231439</v>
      </c>
    </row>
    <row r="57" spans="2:9" x14ac:dyDescent="0.15">
      <c r="B57" s="230" t="s">
        <v>920</v>
      </c>
      <c r="C57" s="673">
        <v>200000</v>
      </c>
      <c r="D57" s="673">
        <v>82000</v>
      </c>
      <c r="E57" s="671">
        <f t="shared" si="0"/>
        <v>282000</v>
      </c>
      <c r="G57" s="692">
        <f>C57*(1+'Tab 2'!$E$21)</f>
        <v>323434.41313348472</v>
      </c>
      <c r="H57" s="403">
        <f>D57*(1+'Tab 2'!$E$26)</f>
        <v>57297.052888829698</v>
      </c>
      <c r="I57" s="671">
        <f t="shared" si="1"/>
        <v>380731.46602231439</v>
      </c>
    </row>
    <row r="58" spans="2:9" x14ac:dyDescent="0.15">
      <c r="B58" s="230" t="s">
        <v>921</v>
      </c>
      <c r="C58" s="673">
        <v>200000</v>
      </c>
      <c r="D58" s="673">
        <v>82000</v>
      </c>
      <c r="E58" s="671">
        <f t="shared" si="0"/>
        <v>282000</v>
      </c>
      <c r="G58" s="692">
        <f>C58*(1+'Tab 2'!$E$21)</f>
        <v>323434.41313348472</v>
      </c>
      <c r="H58" s="403">
        <f>D58*(1+'Tab 2'!$E$26)</f>
        <v>57297.052888829698</v>
      </c>
      <c r="I58" s="671">
        <f t="shared" si="1"/>
        <v>380731.46602231439</v>
      </c>
    </row>
    <row r="59" spans="2:9" x14ac:dyDescent="0.15">
      <c r="B59" s="230" t="s">
        <v>922</v>
      </c>
      <c r="C59" s="673">
        <v>200000</v>
      </c>
      <c r="D59" s="673">
        <v>82000</v>
      </c>
      <c r="E59" s="671">
        <f t="shared" si="0"/>
        <v>282000</v>
      </c>
      <c r="G59" s="692">
        <f>C59*(1+'Tab 2'!$E$21)</f>
        <v>323434.41313348472</v>
      </c>
      <c r="H59" s="403">
        <f>D59*(1+'Tab 2'!$E$26)</f>
        <v>57297.052888829698</v>
      </c>
      <c r="I59" s="671">
        <f t="shared" si="1"/>
        <v>380731.46602231439</v>
      </c>
    </row>
    <row r="60" spans="2:9" x14ac:dyDescent="0.15">
      <c r="B60" s="230" t="s">
        <v>923</v>
      </c>
      <c r="C60" s="673">
        <v>200000</v>
      </c>
      <c r="D60" s="673">
        <v>82000</v>
      </c>
      <c r="E60" s="671">
        <f t="shared" si="0"/>
        <v>282000</v>
      </c>
      <c r="G60" s="692">
        <f>C60*(1+'Tab 2'!$E$21)</f>
        <v>323434.41313348472</v>
      </c>
      <c r="H60" s="403">
        <f>D60*(1+'Tab 2'!$E$26)</f>
        <v>57297.052888829698</v>
      </c>
      <c r="I60" s="671">
        <f t="shared" si="1"/>
        <v>380731.46602231439</v>
      </c>
    </row>
    <row r="61" spans="2:9" x14ac:dyDescent="0.15">
      <c r="B61" s="230" t="s">
        <v>924</v>
      </c>
      <c r="C61" s="673">
        <v>200000</v>
      </c>
      <c r="D61" s="673">
        <v>82000</v>
      </c>
      <c r="E61" s="671">
        <f t="shared" si="0"/>
        <v>282000</v>
      </c>
      <c r="G61" s="692">
        <f>C61*(1+'Tab 2'!$E$21)</f>
        <v>323434.41313348472</v>
      </c>
      <c r="H61" s="403">
        <f>D61*(1+'Tab 2'!$E$26)</f>
        <v>57297.052888829698</v>
      </c>
      <c r="I61" s="671">
        <f t="shared" si="1"/>
        <v>380731.46602231439</v>
      </c>
    </row>
    <row r="62" spans="2:9" x14ac:dyDescent="0.15">
      <c r="B62" s="230" t="s">
        <v>925</v>
      </c>
      <c r="C62" s="673">
        <v>200000</v>
      </c>
      <c r="D62" s="673">
        <v>82000</v>
      </c>
      <c r="E62" s="671">
        <f t="shared" si="0"/>
        <v>282000</v>
      </c>
      <c r="G62" s="692">
        <f>C62*(1+'Tab 2'!$E$21)</f>
        <v>323434.41313348472</v>
      </c>
      <c r="H62" s="403">
        <f>D62*(1+'Tab 2'!$E$26)</f>
        <v>57297.052888829698</v>
      </c>
      <c r="I62" s="671">
        <f t="shared" si="1"/>
        <v>380731.46602231439</v>
      </c>
    </row>
    <row r="63" spans="2:9" x14ac:dyDescent="0.15">
      <c r="B63" s="230" t="s">
        <v>926</v>
      </c>
      <c r="C63" s="673">
        <v>200000</v>
      </c>
      <c r="D63" s="673">
        <v>82000</v>
      </c>
      <c r="E63" s="671">
        <f t="shared" si="0"/>
        <v>282000</v>
      </c>
      <c r="G63" s="692">
        <f>C63*(1+'Tab 2'!$E$21)</f>
        <v>323434.41313348472</v>
      </c>
      <c r="H63" s="403">
        <f>D63*(1+'Tab 2'!$E$26)</f>
        <v>57297.052888829698</v>
      </c>
      <c r="I63" s="671">
        <f t="shared" si="1"/>
        <v>380731.46602231439</v>
      </c>
    </row>
    <row r="64" spans="2:9" x14ac:dyDescent="0.15">
      <c r="B64" s="230" t="s">
        <v>927</v>
      </c>
      <c r="C64" s="673">
        <v>200000</v>
      </c>
      <c r="D64" s="673">
        <v>82000</v>
      </c>
      <c r="E64" s="671">
        <f t="shared" si="0"/>
        <v>282000</v>
      </c>
      <c r="G64" s="692">
        <f>C64*(1+'Tab 2'!$E$21)</f>
        <v>323434.41313348472</v>
      </c>
      <c r="H64" s="403">
        <f>D64*(1+'Tab 2'!$E$26)</f>
        <v>57297.052888829698</v>
      </c>
      <c r="I64" s="671">
        <f t="shared" si="1"/>
        <v>380731.46602231439</v>
      </c>
    </row>
    <row r="65" spans="2:9" x14ac:dyDescent="0.15">
      <c r="B65" s="230" t="s">
        <v>928</v>
      </c>
      <c r="C65" s="673">
        <v>200000</v>
      </c>
      <c r="D65" s="673">
        <v>82000</v>
      </c>
      <c r="E65" s="671">
        <f t="shared" si="0"/>
        <v>282000</v>
      </c>
      <c r="G65" s="692">
        <f>C65*(1+'Tab 2'!$E$21)</f>
        <v>323434.41313348472</v>
      </c>
      <c r="H65" s="403">
        <f>D65*(1+'Tab 2'!$E$26)</f>
        <v>57297.052888829698</v>
      </c>
      <c r="I65" s="671">
        <f t="shared" si="1"/>
        <v>380731.46602231439</v>
      </c>
    </row>
    <row r="66" spans="2:9" x14ac:dyDescent="0.15">
      <c r="B66" s="230" t="s">
        <v>929</v>
      </c>
      <c r="C66" s="673">
        <v>200000</v>
      </c>
      <c r="D66" s="673">
        <v>82000</v>
      </c>
      <c r="E66" s="671">
        <f t="shared" si="0"/>
        <v>282000</v>
      </c>
      <c r="G66" s="692">
        <f>C66*(1+'Tab 2'!$E$21)</f>
        <v>323434.41313348472</v>
      </c>
      <c r="H66" s="403">
        <f>D66*(1+'Tab 2'!$E$26)</f>
        <v>57297.052888829698</v>
      </c>
      <c r="I66" s="671">
        <f t="shared" si="1"/>
        <v>380731.46602231439</v>
      </c>
    </row>
    <row r="67" spans="2:9" x14ac:dyDescent="0.15">
      <c r="B67" s="230" t="s">
        <v>930</v>
      </c>
      <c r="C67" s="673">
        <v>200000</v>
      </c>
      <c r="D67" s="673">
        <v>82000</v>
      </c>
      <c r="E67" s="671">
        <f t="shared" si="0"/>
        <v>282000</v>
      </c>
      <c r="G67" s="692">
        <f>C67*(1+'Tab 2'!$E$21)</f>
        <v>323434.41313348472</v>
      </c>
      <c r="H67" s="403">
        <f>D67*(1+'Tab 2'!$E$26)</f>
        <v>57297.052888829698</v>
      </c>
      <c r="I67" s="671">
        <f t="shared" si="1"/>
        <v>380731.46602231439</v>
      </c>
    </row>
    <row r="68" spans="2:9" x14ac:dyDescent="0.15">
      <c r="B68" s="230" t="s">
        <v>931</v>
      </c>
      <c r="C68" s="673">
        <v>200000</v>
      </c>
      <c r="D68" s="673">
        <v>82000</v>
      </c>
      <c r="E68" s="671">
        <f t="shared" si="0"/>
        <v>282000</v>
      </c>
      <c r="G68" s="692">
        <f>C68*(1+'Tab 2'!$E$21)</f>
        <v>323434.41313348472</v>
      </c>
      <c r="H68" s="403">
        <f>D68*(1+'Tab 2'!$E$26)</f>
        <v>57297.052888829698</v>
      </c>
      <c r="I68" s="671">
        <f t="shared" si="1"/>
        <v>380731.46602231439</v>
      </c>
    </row>
    <row r="69" spans="2:9" x14ac:dyDescent="0.15">
      <c r="B69" s="230" t="s">
        <v>932</v>
      </c>
      <c r="C69" s="673">
        <v>200000</v>
      </c>
      <c r="D69" s="673">
        <v>82000</v>
      </c>
      <c r="E69" s="671">
        <f t="shared" si="0"/>
        <v>282000</v>
      </c>
      <c r="G69" s="692">
        <f>C69*(1+'Tab 2'!$E$21)</f>
        <v>323434.41313348472</v>
      </c>
      <c r="H69" s="403">
        <f>D69*(1+'Tab 2'!$E$26)</f>
        <v>57297.052888829698</v>
      </c>
      <c r="I69" s="671">
        <f t="shared" si="1"/>
        <v>380731.46602231439</v>
      </c>
    </row>
    <row r="70" spans="2:9" x14ac:dyDescent="0.15">
      <c r="B70" s="230" t="s">
        <v>933</v>
      </c>
      <c r="C70" s="673">
        <v>200000</v>
      </c>
      <c r="D70" s="673">
        <v>82000</v>
      </c>
      <c r="E70" s="671">
        <f t="shared" si="0"/>
        <v>282000</v>
      </c>
      <c r="G70" s="692">
        <f>C70*(1+'Tab 2'!$E$21)</f>
        <v>323434.41313348472</v>
      </c>
      <c r="H70" s="403">
        <f>D70*(1+'Tab 2'!$E$26)</f>
        <v>57297.052888829698</v>
      </c>
      <c r="I70" s="671">
        <f t="shared" si="1"/>
        <v>380731.46602231439</v>
      </c>
    </row>
    <row r="71" spans="2:9" x14ac:dyDescent="0.15">
      <c r="B71" s="230" t="s">
        <v>934</v>
      </c>
      <c r="C71" s="673">
        <v>200000</v>
      </c>
      <c r="D71" s="673">
        <v>82000</v>
      </c>
      <c r="E71" s="671">
        <f t="shared" si="0"/>
        <v>282000</v>
      </c>
      <c r="G71" s="692">
        <f>C71*(1+'Tab 2'!$E$21)</f>
        <v>323434.41313348472</v>
      </c>
      <c r="H71" s="403">
        <f>D71*(1+'Tab 2'!$E$26)</f>
        <v>57297.052888829698</v>
      </c>
      <c r="I71" s="671">
        <f t="shared" si="1"/>
        <v>380731.46602231439</v>
      </c>
    </row>
    <row r="72" spans="2:9" x14ac:dyDescent="0.15">
      <c r="B72" s="230" t="s">
        <v>935</v>
      </c>
      <c r="C72" s="673">
        <v>200000</v>
      </c>
      <c r="D72" s="673">
        <v>82000</v>
      </c>
      <c r="E72" s="671">
        <f t="shared" ref="E72:E129" si="2">SUM(C72:D72)</f>
        <v>282000</v>
      </c>
      <c r="G72" s="692">
        <f>C72*(1+'Tab 2'!$E$21)</f>
        <v>323434.41313348472</v>
      </c>
      <c r="H72" s="403">
        <f>D72*(1+'Tab 2'!$E$26)</f>
        <v>57297.052888829698</v>
      </c>
      <c r="I72" s="671">
        <f t="shared" ref="I72:I121" si="3">SUM(G72:H72)</f>
        <v>380731.46602231439</v>
      </c>
    </row>
    <row r="73" spans="2:9" x14ac:dyDescent="0.15">
      <c r="B73" s="230" t="s">
        <v>936</v>
      </c>
      <c r="C73" s="673">
        <v>200000</v>
      </c>
      <c r="D73" s="673">
        <v>82000</v>
      </c>
      <c r="E73" s="671">
        <f t="shared" si="2"/>
        <v>282000</v>
      </c>
      <c r="G73" s="692">
        <f>C73*(1+'Tab 2'!$E$21)</f>
        <v>323434.41313348472</v>
      </c>
      <c r="H73" s="403">
        <f>D73*(1+'Tab 2'!$E$26)</f>
        <v>57297.052888829698</v>
      </c>
      <c r="I73" s="671">
        <f t="shared" si="3"/>
        <v>380731.46602231439</v>
      </c>
    </row>
    <row r="74" spans="2:9" x14ac:dyDescent="0.15">
      <c r="B74" s="230" t="s">
        <v>937</v>
      </c>
      <c r="C74" s="673">
        <v>200000</v>
      </c>
      <c r="D74" s="673">
        <v>82000</v>
      </c>
      <c r="E74" s="671">
        <f t="shared" si="2"/>
        <v>282000</v>
      </c>
      <c r="G74" s="692">
        <f>C74*(1+'Tab 2'!$E$21)</f>
        <v>323434.41313348472</v>
      </c>
      <c r="H74" s="403">
        <f>D74*(1+'Tab 2'!$E$26)</f>
        <v>57297.052888829698</v>
      </c>
      <c r="I74" s="671">
        <f t="shared" si="3"/>
        <v>380731.46602231439</v>
      </c>
    </row>
    <row r="75" spans="2:9" x14ac:dyDescent="0.15">
      <c r="B75" s="230" t="s">
        <v>938</v>
      </c>
      <c r="C75" s="673">
        <v>200000</v>
      </c>
      <c r="D75" s="673">
        <v>82000</v>
      </c>
      <c r="E75" s="671">
        <f t="shared" si="2"/>
        <v>282000</v>
      </c>
      <c r="G75" s="692">
        <f>C75*(1+'Tab 2'!$E$21)</f>
        <v>323434.41313348472</v>
      </c>
      <c r="H75" s="403">
        <f>D75*(1+'Tab 2'!$E$26)</f>
        <v>57297.052888829698</v>
      </c>
      <c r="I75" s="671">
        <f t="shared" si="3"/>
        <v>380731.46602231439</v>
      </c>
    </row>
    <row r="76" spans="2:9" x14ac:dyDescent="0.15">
      <c r="B76" s="230" t="s">
        <v>939</v>
      </c>
      <c r="C76" s="673">
        <v>200000</v>
      </c>
      <c r="D76" s="673">
        <v>82000</v>
      </c>
      <c r="E76" s="671">
        <f t="shared" si="2"/>
        <v>282000</v>
      </c>
      <c r="G76" s="692">
        <f>C76*(1+'Tab 2'!$E$21)</f>
        <v>323434.41313348472</v>
      </c>
      <c r="H76" s="403">
        <f>D76*(1+'Tab 2'!$E$26)</f>
        <v>57297.052888829698</v>
      </c>
      <c r="I76" s="671">
        <f t="shared" si="3"/>
        <v>380731.46602231439</v>
      </c>
    </row>
    <row r="77" spans="2:9" x14ac:dyDescent="0.15">
      <c r="B77" s="230" t="s">
        <v>940</v>
      </c>
      <c r="C77" s="673">
        <v>200000</v>
      </c>
      <c r="D77" s="673">
        <v>82000</v>
      </c>
      <c r="E77" s="671">
        <f t="shared" si="2"/>
        <v>282000</v>
      </c>
      <c r="G77" s="692">
        <f>C77*(1+'Tab 2'!$E$21)</f>
        <v>323434.41313348472</v>
      </c>
      <c r="H77" s="403">
        <f>D77*(1+'Tab 2'!$E$26)</f>
        <v>57297.052888829698</v>
      </c>
      <c r="I77" s="671">
        <f t="shared" si="3"/>
        <v>380731.46602231439</v>
      </c>
    </row>
    <row r="78" spans="2:9" x14ac:dyDescent="0.15">
      <c r="B78" s="230" t="s">
        <v>941</v>
      </c>
      <c r="C78" s="673">
        <v>200000</v>
      </c>
      <c r="D78" s="673">
        <v>82000</v>
      </c>
      <c r="E78" s="671">
        <f t="shared" si="2"/>
        <v>282000</v>
      </c>
      <c r="G78" s="692">
        <f>C78*(1+'Tab 2'!$E$21)</f>
        <v>323434.41313348472</v>
      </c>
      <c r="H78" s="403">
        <f>D78*(1+'Tab 2'!$E$26)</f>
        <v>57297.052888829698</v>
      </c>
      <c r="I78" s="671">
        <f t="shared" si="3"/>
        <v>380731.46602231439</v>
      </c>
    </row>
    <row r="79" spans="2:9" x14ac:dyDescent="0.15">
      <c r="B79" s="230" t="s">
        <v>942</v>
      </c>
      <c r="C79" s="673">
        <v>200000</v>
      </c>
      <c r="D79" s="673">
        <v>82000</v>
      </c>
      <c r="E79" s="671">
        <f t="shared" si="2"/>
        <v>282000</v>
      </c>
      <c r="G79" s="692">
        <f>C79*(1+'Tab 2'!$E$21)</f>
        <v>323434.41313348472</v>
      </c>
      <c r="H79" s="403">
        <f>D79*(1+'Tab 2'!$E$26)</f>
        <v>57297.052888829698</v>
      </c>
      <c r="I79" s="671">
        <f t="shared" si="3"/>
        <v>380731.46602231439</v>
      </c>
    </row>
    <row r="80" spans="2:9" x14ac:dyDescent="0.15">
      <c r="B80" s="230" t="s">
        <v>943</v>
      </c>
      <c r="C80" s="673">
        <v>200000</v>
      </c>
      <c r="D80" s="673">
        <v>82000</v>
      </c>
      <c r="E80" s="671">
        <f t="shared" si="2"/>
        <v>282000</v>
      </c>
      <c r="G80" s="692">
        <f>C80*(1+'Tab 2'!$E$21)</f>
        <v>323434.41313348472</v>
      </c>
      <c r="H80" s="403">
        <f>D80*(1+'Tab 2'!$E$26)</f>
        <v>57297.052888829698</v>
      </c>
      <c r="I80" s="671">
        <f t="shared" si="3"/>
        <v>380731.46602231439</v>
      </c>
    </row>
    <row r="81" spans="2:9" x14ac:dyDescent="0.15">
      <c r="B81" s="230" t="s">
        <v>944</v>
      </c>
      <c r="C81" s="673">
        <v>200000</v>
      </c>
      <c r="D81" s="673">
        <v>82000</v>
      </c>
      <c r="E81" s="671">
        <f t="shared" si="2"/>
        <v>282000</v>
      </c>
      <c r="G81" s="692">
        <f>C81*(1+'Tab 2'!$E$21)</f>
        <v>323434.41313348472</v>
      </c>
      <c r="H81" s="403">
        <f>D81*(1+'Tab 2'!$E$26)</f>
        <v>57297.052888829698</v>
      </c>
      <c r="I81" s="671">
        <f t="shared" si="3"/>
        <v>380731.46602231439</v>
      </c>
    </row>
    <row r="82" spans="2:9" x14ac:dyDescent="0.15">
      <c r="B82" s="230" t="s">
        <v>945</v>
      </c>
      <c r="C82" s="673">
        <v>100000</v>
      </c>
      <c r="D82" s="673">
        <v>41000</v>
      </c>
      <c r="E82" s="671">
        <f t="shared" si="2"/>
        <v>141000</v>
      </c>
      <c r="G82" s="692">
        <f>C82*(1+'Tab 2'!$E$21)</f>
        <v>161717.20656674236</v>
      </c>
      <c r="H82" s="403">
        <f>D82*(1+'Tab 2'!$E$26)</f>
        <v>28648.526444414849</v>
      </c>
      <c r="I82" s="671">
        <f t="shared" si="3"/>
        <v>190365.73301115719</v>
      </c>
    </row>
    <row r="83" spans="2:9" x14ac:dyDescent="0.15">
      <c r="B83" s="230" t="s">
        <v>946</v>
      </c>
      <c r="C83" s="673">
        <v>100000</v>
      </c>
      <c r="D83" s="673">
        <v>41000</v>
      </c>
      <c r="E83" s="671">
        <f t="shared" si="2"/>
        <v>141000</v>
      </c>
      <c r="G83" s="692">
        <f>C83*(1+'Tab 2'!$E$21)</f>
        <v>161717.20656674236</v>
      </c>
      <c r="H83" s="403">
        <f>D83*(1+'Tab 2'!$E$26)</f>
        <v>28648.526444414849</v>
      </c>
      <c r="I83" s="671">
        <f t="shared" si="3"/>
        <v>190365.73301115719</v>
      </c>
    </row>
    <row r="84" spans="2:9" x14ac:dyDescent="0.15">
      <c r="B84" s="230" t="s">
        <v>947</v>
      </c>
      <c r="C84" s="673">
        <v>100000</v>
      </c>
      <c r="D84" s="673">
        <v>41000</v>
      </c>
      <c r="E84" s="671">
        <f t="shared" si="2"/>
        <v>141000</v>
      </c>
      <c r="G84" s="692">
        <f>C84*(1+'Tab 2'!$E$21)</f>
        <v>161717.20656674236</v>
      </c>
      <c r="H84" s="403">
        <f>D84*(1+'Tab 2'!$E$26)</f>
        <v>28648.526444414849</v>
      </c>
      <c r="I84" s="671">
        <f t="shared" si="3"/>
        <v>190365.73301115719</v>
      </c>
    </row>
    <row r="85" spans="2:9" x14ac:dyDescent="0.15">
      <c r="B85" s="230" t="s">
        <v>948</v>
      </c>
      <c r="C85" s="673">
        <v>100000</v>
      </c>
      <c r="D85" s="673">
        <v>41000</v>
      </c>
      <c r="E85" s="671">
        <f t="shared" si="2"/>
        <v>141000</v>
      </c>
      <c r="G85" s="692">
        <f>C85*(1+'Tab 2'!$E$21)</f>
        <v>161717.20656674236</v>
      </c>
      <c r="H85" s="403">
        <f>D85*(1+'Tab 2'!$E$26)</f>
        <v>28648.526444414849</v>
      </c>
      <c r="I85" s="671">
        <f t="shared" si="3"/>
        <v>190365.73301115719</v>
      </c>
    </row>
    <row r="86" spans="2:9" x14ac:dyDescent="0.15">
      <c r="B86" s="230" t="s">
        <v>949</v>
      </c>
      <c r="C86" s="673">
        <v>100000</v>
      </c>
      <c r="D86" s="673">
        <v>41000</v>
      </c>
      <c r="E86" s="671">
        <f t="shared" si="2"/>
        <v>141000</v>
      </c>
      <c r="G86" s="692">
        <f>C86*(1+'Tab 2'!$E$21)</f>
        <v>161717.20656674236</v>
      </c>
      <c r="H86" s="403">
        <f>D86*(1+'Tab 2'!$E$26)</f>
        <v>28648.526444414849</v>
      </c>
      <c r="I86" s="671">
        <f t="shared" si="3"/>
        <v>190365.73301115719</v>
      </c>
    </row>
    <row r="87" spans="2:9" x14ac:dyDescent="0.15">
      <c r="B87" s="230" t="s">
        <v>950</v>
      </c>
      <c r="C87" s="673">
        <v>100000</v>
      </c>
      <c r="D87" s="673">
        <v>41000</v>
      </c>
      <c r="E87" s="671">
        <f t="shared" si="2"/>
        <v>141000</v>
      </c>
      <c r="G87" s="692">
        <f>C87*(1+'Tab 2'!$E$21)</f>
        <v>161717.20656674236</v>
      </c>
      <c r="H87" s="403">
        <f>D87*(1+'Tab 2'!$E$26)</f>
        <v>28648.526444414849</v>
      </c>
      <c r="I87" s="671">
        <f t="shared" si="3"/>
        <v>190365.73301115719</v>
      </c>
    </row>
    <row r="88" spans="2:9" x14ac:dyDescent="0.15">
      <c r="B88" s="230" t="s">
        <v>951</v>
      </c>
      <c r="C88" s="673">
        <v>100000</v>
      </c>
      <c r="D88" s="673">
        <v>41000</v>
      </c>
      <c r="E88" s="671">
        <f t="shared" si="2"/>
        <v>141000</v>
      </c>
      <c r="G88" s="692">
        <f>C88*(1+'Tab 2'!$E$21)</f>
        <v>161717.20656674236</v>
      </c>
      <c r="H88" s="403">
        <f>D88*(1+'Tab 2'!$E$26)</f>
        <v>28648.526444414849</v>
      </c>
      <c r="I88" s="671">
        <f t="shared" si="3"/>
        <v>190365.73301115719</v>
      </c>
    </row>
    <row r="89" spans="2:9" x14ac:dyDescent="0.15">
      <c r="B89" s="230" t="s">
        <v>952</v>
      </c>
      <c r="C89" s="673">
        <v>100000</v>
      </c>
      <c r="D89" s="673">
        <v>41000</v>
      </c>
      <c r="E89" s="671">
        <f t="shared" si="2"/>
        <v>141000</v>
      </c>
      <c r="G89" s="692">
        <f>C89*(1+'Tab 2'!$E$21)</f>
        <v>161717.20656674236</v>
      </c>
      <c r="H89" s="403">
        <f>D89*(1+'Tab 2'!$E$26)</f>
        <v>28648.526444414849</v>
      </c>
      <c r="I89" s="671">
        <f t="shared" si="3"/>
        <v>190365.73301115719</v>
      </c>
    </row>
    <row r="90" spans="2:9" x14ac:dyDescent="0.15">
      <c r="B90" s="230" t="s">
        <v>953</v>
      </c>
      <c r="C90" s="673">
        <v>100000</v>
      </c>
      <c r="D90" s="673">
        <v>41000</v>
      </c>
      <c r="E90" s="671">
        <f t="shared" si="2"/>
        <v>141000</v>
      </c>
      <c r="G90" s="692">
        <f>C90*(1+'Tab 2'!$E$21)</f>
        <v>161717.20656674236</v>
      </c>
      <c r="H90" s="403">
        <f>D90*(1+'Tab 2'!$E$26)</f>
        <v>28648.526444414849</v>
      </c>
      <c r="I90" s="671">
        <f t="shared" si="3"/>
        <v>190365.73301115719</v>
      </c>
    </row>
    <row r="91" spans="2:9" x14ac:dyDescent="0.15">
      <c r="B91" s="230" t="s">
        <v>954</v>
      </c>
      <c r="C91" s="673">
        <v>100000</v>
      </c>
      <c r="D91" s="673">
        <v>41000</v>
      </c>
      <c r="E91" s="671">
        <f t="shared" si="2"/>
        <v>141000</v>
      </c>
      <c r="G91" s="692">
        <f>C91*(1+'Tab 2'!$E$21)</f>
        <v>161717.20656674236</v>
      </c>
      <c r="H91" s="403">
        <f>D91*(1+'Tab 2'!$E$26)</f>
        <v>28648.526444414849</v>
      </c>
      <c r="I91" s="671">
        <f t="shared" si="3"/>
        <v>190365.73301115719</v>
      </c>
    </row>
    <row r="92" spans="2:9" x14ac:dyDescent="0.15">
      <c r="B92" s="230" t="s">
        <v>955</v>
      </c>
      <c r="C92" s="673">
        <v>100000</v>
      </c>
      <c r="D92" s="673">
        <v>41000</v>
      </c>
      <c r="E92" s="671">
        <f t="shared" si="2"/>
        <v>141000</v>
      </c>
      <c r="G92" s="692">
        <f>C92*(1+'Tab 2'!$E$21)</f>
        <v>161717.20656674236</v>
      </c>
      <c r="H92" s="403">
        <f>D92*(1+'Tab 2'!$E$26)</f>
        <v>28648.526444414849</v>
      </c>
      <c r="I92" s="671">
        <f t="shared" si="3"/>
        <v>190365.73301115719</v>
      </c>
    </row>
    <row r="93" spans="2:9" x14ac:dyDescent="0.15">
      <c r="B93" s="230" t="s">
        <v>956</v>
      </c>
      <c r="C93" s="673">
        <v>100000</v>
      </c>
      <c r="D93" s="673">
        <v>41000</v>
      </c>
      <c r="E93" s="671">
        <f t="shared" si="2"/>
        <v>141000</v>
      </c>
      <c r="G93" s="692">
        <f>C93*(1+'Tab 2'!$E$21)</f>
        <v>161717.20656674236</v>
      </c>
      <c r="H93" s="403">
        <f>D93*(1+'Tab 2'!$E$26)</f>
        <v>28648.526444414849</v>
      </c>
      <c r="I93" s="671">
        <f t="shared" si="3"/>
        <v>190365.73301115719</v>
      </c>
    </row>
    <row r="94" spans="2:9" x14ac:dyDescent="0.15">
      <c r="B94" s="230" t="s">
        <v>957</v>
      </c>
      <c r="C94" s="673">
        <v>100000</v>
      </c>
      <c r="D94" s="673">
        <v>41000</v>
      </c>
      <c r="E94" s="671">
        <f t="shared" si="2"/>
        <v>141000</v>
      </c>
      <c r="G94" s="692">
        <f>C94*(1+'Tab 2'!$E$21)</f>
        <v>161717.20656674236</v>
      </c>
      <c r="H94" s="403">
        <f>D94*(1+'Tab 2'!$E$26)</f>
        <v>28648.526444414849</v>
      </c>
      <c r="I94" s="671">
        <f t="shared" si="3"/>
        <v>190365.73301115719</v>
      </c>
    </row>
    <row r="95" spans="2:9" x14ac:dyDescent="0.15">
      <c r="B95" s="230" t="s">
        <v>958</v>
      </c>
      <c r="C95" s="673">
        <v>100000</v>
      </c>
      <c r="D95" s="673">
        <v>41000</v>
      </c>
      <c r="E95" s="671">
        <f t="shared" si="2"/>
        <v>141000</v>
      </c>
      <c r="G95" s="692">
        <f>C95*(1+'Tab 2'!$E$21)</f>
        <v>161717.20656674236</v>
      </c>
      <c r="H95" s="403">
        <f>D95*(1+'Tab 2'!$E$26)</f>
        <v>28648.526444414849</v>
      </c>
      <c r="I95" s="671">
        <f t="shared" si="3"/>
        <v>190365.73301115719</v>
      </c>
    </row>
    <row r="96" spans="2:9" x14ac:dyDescent="0.15">
      <c r="B96" s="230" t="s">
        <v>959</v>
      </c>
      <c r="C96" s="673">
        <v>100000</v>
      </c>
      <c r="D96" s="673">
        <v>41000</v>
      </c>
      <c r="E96" s="671">
        <f t="shared" si="2"/>
        <v>141000</v>
      </c>
      <c r="G96" s="692">
        <f>C96*(1+'Tab 2'!$E$21)</f>
        <v>161717.20656674236</v>
      </c>
      <c r="H96" s="403">
        <f>D96*(1+'Tab 2'!$E$26)</f>
        <v>28648.526444414849</v>
      </c>
      <c r="I96" s="671">
        <f t="shared" si="3"/>
        <v>190365.73301115719</v>
      </c>
    </row>
    <row r="97" spans="2:9" x14ac:dyDescent="0.15">
      <c r="B97" s="230" t="s">
        <v>960</v>
      </c>
      <c r="C97" s="673">
        <v>100000</v>
      </c>
      <c r="D97" s="673">
        <v>41000</v>
      </c>
      <c r="E97" s="671">
        <f t="shared" si="2"/>
        <v>141000</v>
      </c>
      <c r="G97" s="692">
        <f>C97*(1+'Tab 2'!$E$21)</f>
        <v>161717.20656674236</v>
      </c>
      <c r="H97" s="403">
        <f>D97*(1+'Tab 2'!$E$26)</f>
        <v>28648.526444414849</v>
      </c>
      <c r="I97" s="671">
        <f t="shared" si="3"/>
        <v>190365.73301115719</v>
      </c>
    </row>
    <row r="98" spans="2:9" x14ac:dyDescent="0.15">
      <c r="B98" s="230" t="s">
        <v>961</v>
      </c>
      <c r="C98" s="673">
        <v>100000</v>
      </c>
      <c r="D98" s="673">
        <v>41000</v>
      </c>
      <c r="E98" s="671">
        <f t="shared" si="2"/>
        <v>141000</v>
      </c>
      <c r="G98" s="692">
        <f>C98*(1+'Tab 2'!$E$21)</f>
        <v>161717.20656674236</v>
      </c>
      <c r="H98" s="403">
        <f>D98*(1+'Tab 2'!$E$26)</f>
        <v>28648.526444414849</v>
      </c>
      <c r="I98" s="671">
        <f t="shared" si="3"/>
        <v>190365.73301115719</v>
      </c>
    </row>
    <row r="99" spans="2:9" x14ac:dyDescent="0.15">
      <c r="B99" s="230" t="s">
        <v>962</v>
      </c>
      <c r="C99" s="673">
        <v>100000</v>
      </c>
      <c r="D99" s="673">
        <v>41000</v>
      </c>
      <c r="E99" s="671">
        <f t="shared" si="2"/>
        <v>141000</v>
      </c>
      <c r="G99" s="692">
        <f>C99*(1+'Tab 2'!$E$21)</f>
        <v>161717.20656674236</v>
      </c>
      <c r="H99" s="403">
        <f>D99*(1+'Tab 2'!$E$26)</f>
        <v>28648.526444414849</v>
      </c>
      <c r="I99" s="671">
        <f t="shared" si="3"/>
        <v>190365.73301115719</v>
      </c>
    </row>
    <row r="100" spans="2:9" x14ac:dyDescent="0.15">
      <c r="B100" s="230" t="s">
        <v>963</v>
      </c>
      <c r="C100" s="673">
        <v>100000</v>
      </c>
      <c r="D100" s="673">
        <v>41000</v>
      </c>
      <c r="E100" s="671">
        <f t="shared" si="2"/>
        <v>141000</v>
      </c>
      <c r="G100" s="692">
        <f>C100*(1+'Tab 2'!$E$21)</f>
        <v>161717.20656674236</v>
      </c>
      <c r="H100" s="403">
        <f>D100*(1+'Tab 2'!$E$26)</f>
        <v>28648.526444414849</v>
      </c>
      <c r="I100" s="671">
        <f t="shared" si="3"/>
        <v>190365.73301115719</v>
      </c>
    </row>
    <row r="101" spans="2:9" x14ac:dyDescent="0.15">
      <c r="B101" s="230" t="s">
        <v>964</v>
      </c>
      <c r="C101" s="673">
        <v>100000</v>
      </c>
      <c r="D101" s="673">
        <v>41000</v>
      </c>
      <c r="E101" s="671">
        <f t="shared" si="2"/>
        <v>141000</v>
      </c>
      <c r="G101" s="692">
        <f>C101*(1+'Tab 2'!$E$21)</f>
        <v>161717.20656674236</v>
      </c>
      <c r="H101" s="403">
        <f>D101*(1+'Tab 2'!$E$26)</f>
        <v>28648.526444414849</v>
      </c>
      <c r="I101" s="671">
        <f t="shared" si="3"/>
        <v>190365.73301115719</v>
      </c>
    </row>
    <row r="102" spans="2:9" x14ac:dyDescent="0.15">
      <c r="B102" s="230" t="s">
        <v>965</v>
      </c>
      <c r="C102" s="673">
        <v>100000</v>
      </c>
      <c r="D102" s="673">
        <v>41000</v>
      </c>
      <c r="E102" s="671">
        <f t="shared" si="2"/>
        <v>141000</v>
      </c>
      <c r="G102" s="692">
        <f>C102*(1+'Tab 2'!$E$21)</f>
        <v>161717.20656674236</v>
      </c>
      <c r="H102" s="403">
        <f>D102*(1+'Tab 2'!$E$26)</f>
        <v>28648.526444414849</v>
      </c>
      <c r="I102" s="671">
        <f t="shared" si="3"/>
        <v>190365.73301115719</v>
      </c>
    </row>
    <row r="103" spans="2:9" x14ac:dyDescent="0.15">
      <c r="B103" s="230" t="s">
        <v>966</v>
      </c>
      <c r="C103" s="673">
        <v>100000</v>
      </c>
      <c r="D103" s="673">
        <v>41000</v>
      </c>
      <c r="E103" s="671">
        <f t="shared" si="2"/>
        <v>141000</v>
      </c>
      <c r="G103" s="692">
        <f>C103*(1+'Tab 2'!$E$21)</f>
        <v>161717.20656674236</v>
      </c>
      <c r="H103" s="403">
        <f>D103*(1+'Tab 2'!$E$26)</f>
        <v>28648.526444414849</v>
      </c>
      <c r="I103" s="671">
        <f t="shared" si="3"/>
        <v>190365.73301115719</v>
      </c>
    </row>
    <row r="104" spans="2:9" x14ac:dyDescent="0.15">
      <c r="B104" s="230" t="s">
        <v>967</v>
      </c>
      <c r="C104" s="673">
        <v>100000</v>
      </c>
      <c r="D104" s="673">
        <v>41000</v>
      </c>
      <c r="E104" s="671">
        <f t="shared" si="2"/>
        <v>141000</v>
      </c>
      <c r="G104" s="692">
        <f>C104*(1+'Tab 2'!$E$21)</f>
        <v>161717.20656674236</v>
      </c>
      <c r="H104" s="403">
        <f>D104*(1+'Tab 2'!$E$26)</f>
        <v>28648.526444414849</v>
      </c>
      <c r="I104" s="671">
        <f t="shared" si="3"/>
        <v>190365.73301115719</v>
      </c>
    </row>
    <row r="105" spans="2:9" x14ac:dyDescent="0.15">
      <c r="B105" s="230" t="s">
        <v>968</v>
      </c>
      <c r="C105" s="673">
        <v>100000</v>
      </c>
      <c r="D105" s="673">
        <v>41000</v>
      </c>
      <c r="E105" s="671">
        <f t="shared" si="2"/>
        <v>141000</v>
      </c>
      <c r="G105" s="692">
        <f>C105*(1+'Tab 2'!$E$21)</f>
        <v>161717.20656674236</v>
      </c>
      <c r="H105" s="403">
        <f>D105*(1+'Tab 2'!$E$26)</f>
        <v>28648.526444414849</v>
      </c>
      <c r="I105" s="671">
        <f t="shared" si="3"/>
        <v>190365.73301115719</v>
      </c>
    </row>
    <row r="106" spans="2:9" x14ac:dyDescent="0.15">
      <c r="B106" s="230" t="s">
        <v>969</v>
      </c>
      <c r="C106" s="673">
        <v>100000</v>
      </c>
      <c r="D106" s="673">
        <v>41000</v>
      </c>
      <c r="E106" s="671">
        <f t="shared" si="2"/>
        <v>141000</v>
      </c>
      <c r="G106" s="692">
        <f>C106*(1+'Tab 2'!$E$21)</f>
        <v>161717.20656674236</v>
      </c>
      <c r="H106" s="403">
        <f>D106*(1+'Tab 2'!$E$26)</f>
        <v>28648.526444414849</v>
      </c>
      <c r="I106" s="671">
        <f t="shared" si="3"/>
        <v>190365.73301115719</v>
      </c>
    </row>
    <row r="107" spans="2:9" x14ac:dyDescent="0.15">
      <c r="B107" s="230" t="s">
        <v>970</v>
      </c>
      <c r="C107" s="673">
        <v>100000</v>
      </c>
      <c r="D107" s="673">
        <v>41000</v>
      </c>
      <c r="E107" s="671">
        <f t="shared" si="2"/>
        <v>141000</v>
      </c>
      <c r="G107" s="692">
        <f>C107*(1+'Tab 2'!$E$21)</f>
        <v>161717.20656674236</v>
      </c>
      <c r="H107" s="403">
        <f>D107*(1+'Tab 2'!$E$26)</f>
        <v>28648.526444414849</v>
      </c>
      <c r="I107" s="671">
        <f t="shared" si="3"/>
        <v>190365.73301115719</v>
      </c>
    </row>
    <row r="108" spans="2:9" x14ac:dyDescent="0.15">
      <c r="B108" s="230" t="s">
        <v>971</v>
      </c>
      <c r="C108" s="673">
        <v>100000</v>
      </c>
      <c r="D108" s="673">
        <v>41000</v>
      </c>
      <c r="E108" s="671">
        <f t="shared" si="2"/>
        <v>141000</v>
      </c>
      <c r="G108" s="692">
        <f>C108*(1+'Tab 2'!$E$21)</f>
        <v>161717.20656674236</v>
      </c>
      <c r="H108" s="403">
        <f>D108*(1+'Tab 2'!$E$26)</f>
        <v>28648.526444414849</v>
      </c>
      <c r="I108" s="671">
        <f t="shared" si="3"/>
        <v>190365.73301115719</v>
      </c>
    </row>
    <row r="109" spans="2:9" x14ac:dyDescent="0.15">
      <c r="B109" s="230" t="s">
        <v>972</v>
      </c>
      <c r="C109" s="673">
        <v>100000</v>
      </c>
      <c r="D109" s="673">
        <v>41000</v>
      </c>
      <c r="E109" s="671">
        <f t="shared" si="2"/>
        <v>141000</v>
      </c>
      <c r="G109" s="692">
        <f>C109*(1+'Tab 2'!$E$21)</f>
        <v>161717.20656674236</v>
      </c>
      <c r="H109" s="403">
        <f>D109*(1+'Tab 2'!$E$26)</f>
        <v>28648.526444414849</v>
      </c>
      <c r="I109" s="671">
        <f t="shared" si="3"/>
        <v>190365.73301115719</v>
      </c>
    </row>
    <row r="110" spans="2:9" x14ac:dyDescent="0.15">
      <c r="B110" s="230" t="s">
        <v>973</v>
      </c>
      <c r="C110" s="673">
        <v>50000</v>
      </c>
      <c r="D110" s="673">
        <v>20500</v>
      </c>
      <c r="E110" s="671">
        <f t="shared" si="2"/>
        <v>70500</v>
      </c>
      <c r="G110" s="692">
        <f>C110*(1+'Tab 2'!$E$21)</f>
        <v>80858.60328337118</v>
      </c>
      <c r="H110" s="403">
        <f>D110*(1+'Tab 2'!$E$26)</f>
        <v>14324.263222207424</v>
      </c>
      <c r="I110" s="671">
        <f t="shared" si="3"/>
        <v>95182.866505578597</v>
      </c>
    </row>
    <row r="111" spans="2:9" x14ac:dyDescent="0.15">
      <c r="B111" s="230" t="s">
        <v>974</v>
      </c>
      <c r="C111" s="673">
        <v>50000</v>
      </c>
      <c r="D111" s="673">
        <v>20500</v>
      </c>
      <c r="E111" s="671">
        <f t="shared" si="2"/>
        <v>70500</v>
      </c>
      <c r="G111" s="692">
        <f>C111*(1+'Tab 2'!$E$21)</f>
        <v>80858.60328337118</v>
      </c>
      <c r="H111" s="403">
        <f>D111*(1+'Tab 2'!$E$26)</f>
        <v>14324.263222207424</v>
      </c>
      <c r="I111" s="671">
        <f t="shared" si="3"/>
        <v>95182.866505578597</v>
      </c>
    </row>
    <row r="112" spans="2:9" x14ac:dyDescent="0.15">
      <c r="B112" s="230" t="s">
        <v>975</v>
      </c>
      <c r="C112" s="673">
        <v>50000</v>
      </c>
      <c r="D112" s="673">
        <v>20500</v>
      </c>
      <c r="E112" s="671">
        <f t="shared" si="2"/>
        <v>70500</v>
      </c>
      <c r="G112" s="692">
        <f>C112*(1+'Tab 2'!$E$21)</f>
        <v>80858.60328337118</v>
      </c>
      <c r="H112" s="403">
        <f>D112*(1+'Tab 2'!$E$26)</f>
        <v>14324.263222207424</v>
      </c>
      <c r="I112" s="671">
        <f t="shared" si="3"/>
        <v>95182.866505578597</v>
      </c>
    </row>
    <row r="113" spans="2:9" x14ac:dyDescent="0.15">
      <c r="B113" s="230" t="s">
        <v>976</v>
      </c>
      <c r="C113" s="673">
        <v>50000</v>
      </c>
      <c r="D113" s="673">
        <v>20500</v>
      </c>
      <c r="E113" s="671">
        <f t="shared" si="2"/>
        <v>70500</v>
      </c>
      <c r="G113" s="692">
        <f>C113*(1+'Tab 2'!$E$21)</f>
        <v>80858.60328337118</v>
      </c>
      <c r="H113" s="403">
        <f>D113*(1+'Tab 2'!$E$26)</f>
        <v>14324.263222207424</v>
      </c>
      <c r="I113" s="671">
        <f t="shared" si="3"/>
        <v>95182.866505578597</v>
      </c>
    </row>
    <row r="114" spans="2:9" x14ac:dyDescent="0.15">
      <c r="B114" s="230" t="s">
        <v>977</v>
      </c>
      <c r="C114" s="673">
        <v>50000</v>
      </c>
      <c r="D114" s="673">
        <v>20500</v>
      </c>
      <c r="E114" s="671">
        <f t="shared" si="2"/>
        <v>70500</v>
      </c>
      <c r="G114" s="692">
        <f>C114*(1+'Tab 2'!$E$21)</f>
        <v>80858.60328337118</v>
      </c>
      <c r="H114" s="403">
        <f>D114*(1+'Tab 2'!$E$26)</f>
        <v>14324.263222207424</v>
      </c>
      <c r="I114" s="671">
        <f t="shared" si="3"/>
        <v>95182.866505578597</v>
      </c>
    </row>
    <row r="115" spans="2:9" x14ac:dyDescent="0.15">
      <c r="B115" s="230" t="s">
        <v>978</v>
      </c>
      <c r="C115" s="673">
        <v>50000</v>
      </c>
      <c r="D115" s="673">
        <v>20500</v>
      </c>
      <c r="E115" s="671">
        <f t="shared" si="2"/>
        <v>70500</v>
      </c>
      <c r="G115" s="692">
        <f>C115*(1+'Tab 2'!$E$21)</f>
        <v>80858.60328337118</v>
      </c>
      <c r="H115" s="403">
        <f>D115*(1+'Tab 2'!$E$26)</f>
        <v>14324.263222207424</v>
      </c>
      <c r="I115" s="671">
        <f t="shared" si="3"/>
        <v>95182.866505578597</v>
      </c>
    </row>
    <row r="116" spans="2:9" x14ac:dyDescent="0.15">
      <c r="B116" s="230" t="s">
        <v>979</v>
      </c>
      <c r="C116" s="673">
        <v>50000</v>
      </c>
      <c r="D116" s="673">
        <v>20500</v>
      </c>
      <c r="E116" s="671">
        <f t="shared" si="2"/>
        <v>70500</v>
      </c>
      <c r="G116" s="692">
        <f>C116*(1+'Tab 2'!$E$21)</f>
        <v>80858.60328337118</v>
      </c>
      <c r="H116" s="403">
        <f>D116*(1+'Tab 2'!$E$26)</f>
        <v>14324.263222207424</v>
      </c>
      <c r="I116" s="671">
        <f t="shared" si="3"/>
        <v>95182.866505578597</v>
      </c>
    </row>
    <row r="117" spans="2:9" x14ac:dyDescent="0.15">
      <c r="B117" s="230" t="s">
        <v>980</v>
      </c>
      <c r="C117" s="673">
        <v>50000</v>
      </c>
      <c r="D117" s="673">
        <v>20500</v>
      </c>
      <c r="E117" s="671">
        <f t="shared" si="2"/>
        <v>70500</v>
      </c>
      <c r="G117" s="692">
        <f>C117*(1+'Tab 2'!$E$21)</f>
        <v>80858.60328337118</v>
      </c>
      <c r="H117" s="403">
        <f>D117*(1+'Tab 2'!$E$26)</f>
        <v>14324.263222207424</v>
      </c>
      <c r="I117" s="671">
        <f t="shared" si="3"/>
        <v>95182.866505578597</v>
      </c>
    </row>
    <row r="118" spans="2:9" x14ac:dyDescent="0.15">
      <c r="B118" s="230" t="s">
        <v>981</v>
      </c>
      <c r="C118" s="673">
        <v>50000</v>
      </c>
      <c r="D118" s="673">
        <v>20500</v>
      </c>
      <c r="E118" s="671">
        <f t="shared" si="2"/>
        <v>70500</v>
      </c>
      <c r="G118" s="692">
        <f>C118*(1+'Tab 2'!$E$21)</f>
        <v>80858.60328337118</v>
      </c>
      <c r="H118" s="403">
        <f>D118*(1+'Tab 2'!$E$26)</f>
        <v>14324.263222207424</v>
      </c>
      <c r="I118" s="671">
        <f t="shared" si="3"/>
        <v>95182.866505578597</v>
      </c>
    </row>
    <row r="119" spans="2:9" x14ac:dyDescent="0.15">
      <c r="B119" s="230" t="s">
        <v>982</v>
      </c>
      <c r="C119" s="673">
        <v>50000</v>
      </c>
      <c r="D119" s="673">
        <v>20500</v>
      </c>
      <c r="E119" s="671">
        <f t="shared" si="2"/>
        <v>70500</v>
      </c>
      <c r="G119" s="692">
        <f>C119*(1+'Tab 2'!$E$21)</f>
        <v>80858.60328337118</v>
      </c>
      <c r="H119" s="403">
        <f>D119*(1+'Tab 2'!$E$26)</f>
        <v>14324.263222207424</v>
      </c>
      <c r="I119" s="671">
        <f t="shared" si="3"/>
        <v>95182.866505578597</v>
      </c>
    </row>
    <row r="120" spans="2:9" x14ac:dyDescent="0.15">
      <c r="B120" s="230" t="s">
        <v>983</v>
      </c>
      <c r="C120" s="673">
        <v>50000</v>
      </c>
      <c r="D120" s="673">
        <v>20500</v>
      </c>
      <c r="E120" s="671">
        <f t="shared" si="2"/>
        <v>70500</v>
      </c>
      <c r="G120" s="692">
        <f>C120*(1+'Tab 2'!$E$21)</f>
        <v>80858.60328337118</v>
      </c>
      <c r="H120" s="403">
        <f>D120*(1+'Tab 2'!$E$26)</f>
        <v>14324.263222207424</v>
      </c>
      <c r="I120" s="671">
        <f t="shared" si="3"/>
        <v>95182.866505578597</v>
      </c>
    </row>
    <row r="121" spans="2:9" x14ac:dyDescent="0.15">
      <c r="B121" s="230" t="s">
        <v>984</v>
      </c>
      <c r="C121" s="673">
        <v>50000</v>
      </c>
      <c r="D121" s="673">
        <v>20500</v>
      </c>
      <c r="E121" s="671">
        <f t="shared" si="2"/>
        <v>70500</v>
      </c>
      <c r="G121" s="692">
        <f>C121*(1+'Tab 2'!$E$21)</f>
        <v>80858.60328337118</v>
      </c>
      <c r="H121" s="403">
        <f>D121*(1+'Tab 2'!$E$26)</f>
        <v>14324.263222207424</v>
      </c>
      <c r="I121" s="671">
        <f t="shared" si="3"/>
        <v>95182.866505578597</v>
      </c>
    </row>
    <row r="122" spans="2:9" x14ac:dyDescent="0.15">
      <c r="B122" s="674" t="s">
        <v>992</v>
      </c>
      <c r="C122" s="675">
        <f>SUM(C7:C121)</f>
        <v>27293820</v>
      </c>
      <c r="D122" s="675">
        <f t="shared" ref="D122:E122" si="4">SUM(D7:D121)</f>
        <v>11148180</v>
      </c>
      <c r="E122" s="677">
        <f t="shared" si="4"/>
        <v>38442000</v>
      </c>
      <c r="G122" s="693">
        <f>SUM(G7:G121)</f>
        <v>44138803.269354858</v>
      </c>
      <c r="H122" s="675">
        <f t="shared" ref="H122:I122" si="5">SUM(H7:H121)</f>
        <v>7789729.9887096612</v>
      </c>
      <c r="I122" s="677">
        <f t="shared" si="5"/>
        <v>51928533.258064449</v>
      </c>
    </row>
    <row r="123" spans="2:9" x14ac:dyDescent="0.15">
      <c r="B123" s="230" t="s">
        <v>985</v>
      </c>
      <c r="C123" s="679">
        <v>0</v>
      </c>
      <c r="D123" s="679">
        <v>0</v>
      </c>
      <c r="E123" s="671">
        <f t="shared" si="2"/>
        <v>0</v>
      </c>
      <c r="G123" s="694">
        <v>30000</v>
      </c>
      <c r="H123" s="673">
        <v>5000</v>
      </c>
      <c r="I123" s="671">
        <f t="shared" ref="I123:I129" si="6">SUM(G123:H123)</f>
        <v>35000</v>
      </c>
    </row>
    <row r="124" spans="2:9" x14ac:dyDescent="0.15">
      <c r="B124" s="230" t="s">
        <v>986</v>
      </c>
      <c r="C124" s="679">
        <v>0</v>
      </c>
      <c r="D124" s="679">
        <v>0</v>
      </c>
      <c r="E124" s="671">
        <f t="shared" si="2"/>
        <v>0</v>
      </c>
      <c r="G124" s="694">
        <v>30000</v>
      </c>
      <c r="H124" s="673">
        <v>5000</v>
      </c>
      <c r="I124" s="671">
        <f t="shared" si="6"/>
        <v>35000</v>
      </c>
    </row>
    <row r="125" spans="2:9" x14ac:dyDescent="0.15">
      <c r="B125" s="230" t="s">
        <v>987</v>
      </c>
      <c r="C125" s="679">
        <v>0</v>
      </c>
      <c r="D125" s="679">
        <v>0</v>
      </c>
      <c r="E125" s="671">
        <f t="shared" si="2"/>
        <v>0</v>
      </c>
      <c r="G125" s="694">
        <v>30000</v>
      </c>
      <c r="H125" s="673">
        <v>5000</v>
      </c>
      <c r="I125" s="671">
        <f t="shared" si="6"/>
        <v>35000</v>
      </c>
    </row>
    <row r="126" spans="2:9" x14ac:dyDescent="0.15">
      <c r="B126" s="230" t="s">
        <v>988</v>
      </c>
      <c r="C126" s="679">
        <v>0</v>
      </c>
      <c r="D126" s="679">
        <v>0</v>
      </c>
      <c r="E126" s="671">
        <f t="shared" si="2"/>
        <v>0</v>
      </c>
      <c r="G126" s="694">
        <v>30000</v>
      </c>
      <c r="H126" s="673">
        <v>5000</v>
      </c>
      <c r="I126" s="671">
        <f t="shared" si="6"/>
        <v>35000</v>
      </c>
    </row>
    <row r="127" spans="2:9" x14ac:dyDescent="0.15">
      <c r="B127" s="230" t="s">
        <v>989</v>
      </c>
      <c r="C127" s="679">
        <v>0</v>
      </c>
      <c r="D127" s="679">
        <v>0</v>
      </c>
      <c r="E127" s="671">
        <f t="shared" si="2"/>
        <v>0</v>
      </c>
      <c r="G127" s="694">
        <v>30000</v>
      </c>
      <c r="H127" s="673">
        <v>5000</v>
      </c>
      <c r="I127" s="671">
        <f t="shared" si="6"/>
        <v>35000</v>
      </c>
    </row>
    <row r="128" spans="2:9" x14ac:dyDescent="0.15">
      <c r="B128" s="230" t="s">
        <v>990</v>
      </c>
      <c r="C128" s="679">
        <v>0</v>
      </c>
      <c r="D128" s="679">
        <v>0</v>
      </c>
      <c r="E128" s="671">
        <f t="shared" si="2"/>
        <v>0</v>
      </c>
      <c r="G128" s="694">
        <v>20000</v>
      </c>
      <c r="H128" s="673">
        <v>4000</v>
      </c>
      <c r="I128" s="671">
        <f t="shared" si="6"/>
        <v>24000</v>
      </c>
    </row>
    <row r="129" spans="2:9" x14ac:dyDescent="0.15">
      <c r="B129" s="230" t="s">
        <v>991</v>
      </c>
      <c r="C129" s="679">
        <v>0</v>
      </c>
      <c r="D129" s="679">
        <v>0</v>
      </c>
      <c r="E129" s="671">
        <f t="shared" si="2"/>
        <v>0</v>
      </c>
      <c r="G129" s="694">
        <v>20000</v>
      </c>
      <c r="H129" s="673">
        <v>4000</v>
      </c>
      <c r="I129" s="671">
        <f t="shared" si="6"/>
        <v>24000</v>
      </c>
    </row>
    <row r="130" spans="2:9" x14ac:dyDescent="0.15">
      <c r="B130" s="674" t="s">
        <v>993</v>
      </c>
      <c r="C130" s="675">
        <f>SUM(C123:C129)</f>
        <v>0</v>
      </c>
      <c r="D130" s="675">
        <f t="shared" ref="D130:E130" si="7">SUM(D123:D129)</f>
        <v>0</v>
      </c>
      <c r="E130" s="677">
        <f t="shared" si="7"/>
        <v>0</v>
      </c>
      <c r="G130" s="693">
        <f>SUM(G123:G129)</f>
        <v>190000</v>
      </c>
      <c r="H130" s="675">
        <f t="shared" ref="H130:I130" si="8">SUM(H123:H129)</f>
        <v>33000</v>
      </c>
      <c r="I130" s="677">
        <f t="shared" si="8"/>
        <v>223000</v>
      </c>
    </row>
    <row r="131" spans="2:9" x14ac:dyDescent="0.15">
      <c r="B131" s="680" t="s">
        <v>1000</v>
      </c>
      <c r="C131" s="681">
        <f>+C122+C130</f>
        <v>27293820</v>
      </c>
      <c r="D131" s="681">
        <f t="shared" ref="D131:E131" si="9">+D122+D130</f>
        <v>11148180</v>
      </c>
      <c r="E131" s="683">
        <f t="shared" si="9"/>
        <v>38442000</v>
      </c>
      <c r="G131" s="695">
        <f>+G122+G130</f>
        <v>44328803.269354858</v>
      </c>
      <c r="H131" s="681">
        <f t="shared" ref="H131:I131" si="10">+H122+H130</f>
        <v>7822729.9887096612</v>
      </c>
      <c r="I131" s="683">
        <f t="shared" si="10"/>
        <v>52151533.258064449</v>
      </c>
    </row>
    <row r="132" spans="2:9" x14ac:dyDescent="0.15">
      <c r="B132" s="230"/>
      <c r="C132" s="679"/>
      <c r="D132" s="679"/>
      <c r="E132" s="691"/>
      <c r="G132" s="696"/>
      <c r="H132" s="679"/>
      <c r="I132" s="691"/>
    </row>
    <row r="133" spans="2:9" x14ac:dyDescent="0.15">
      <c r="B133" s="680" t="s">
        <v>994</v>
      </c>
      <c r="C133" s="681">
        <f>+'Tab 2'!H6</f>
        <v>79446800</v>
      </c>
      <c r="D133" s="681">
        <f>+'Tab 2'!H7</f>
        <v>0</v>
      </c>
      <c r="E133" s="683">
        <f>+C133+D133</f>
        <v>79446800</v>
      </c>
      <c r="G133" s="695">
        <f>+'Tab 2'!H14</f>
        <v>77857864</v>
      </c>
      <c r="H133" s="681">
        <f>+'Tab 2'!H15</f>
        <v>0</v>
      </c>
      <c r="I133" s="683">
        <f>+G133+H133</f>
        <v>77857864</v>
      </c>
    </row>
    <row r="134" spans="2:9" x14ac:dyDescent="0.15">
      <c r="B134" s="230"/>
      <c r="C134" s="679"/>
      <c r="D134" s="679"/>
      <c r="E134" s="691"/>
      <c r="G134" s="696"/>
      <c r="H134" s="679"/>
      <c r="I134" s="691"/>
    </row>
    <row r="135" spans="2:9" x14ac:dyDescent="0.15">
      <c r="B135" s="230" t="s">
        <v>870</v>
      </c>
      <c r="C135" s="673">
        <v>100000</v>
      </c>
      <c r="D135" s="673">
        <v>1000000</v>
      </c>
      <c r="E135" s="671">
        <f t="shared" ref="E135:E146" si="11">SUM(C135:D135)</f>
        <v>1100000</v>
      </c>
      <c r="G135" s="696">
        <f>C135*(1+'Tab 2'!$K$21)</f>
        <v>74787.992300088503</v>
      </c>
      <c r="H135" s="679">
        <f>D135*(1+'Tab 2'!$K$26)</f>
        <v>1405356.7783862774</v>
      </c>
      <c r="I135" s="671">
        <f t="shared" ref="I135:I146" si="12">SUM(G135:H135)</f>
        <v>1480144.7706863659</v>
      </c>
    </row>
    <row r="136" spans="2:9" x14ac:dyDescent="0.15">
      <c r="B136" s="230" t="s">
        <v>871</v>
      </c>
      <c r="C136" s="673">
        <v>100000</v>
      </c>
      <c r="D136" s="673">
        <v>900000</v>
      </c>
      <c r="E136" s="671">
        <f t="shared" si="11"/>
        <v>1000000</v>
      </c>
      <c r="G136" s="696">
        <f>C136*(1+'Tab 2'!$K$21)</f>
        <v>74787.992300088503</v>
      </c>
      <c r="H136" s="679">
        <f>D136*(1+'Tab 2'!$K$26)</f>
        <v>1264821.1005476497</v>
      </c>
      <c r="I136" s="671">
        <f t="shared" si="12"/>
        <v>1339609.0928477382</v>
      </c>
    </row>
    <row r="137" spans="2:9" x14ac:dyDescent="0.15">
      <c r="B137" s="230" t="s">
        <v>872</v>
      </c>
      <c r="C137" s="673">
        <v>100000</v>
      </c>
      <c r="D137" s="673">
        <v>900000</v>
      </c>
      <c r="E137" s="671">
        <f t="shared" si="11"/>
        <v>1000000</v>
      </c>
      <c r="G137" s="696">
        <f>C137*(1+'Tab 2'!$K$21)</f>
        <v>74787.992300088503</v>
      </c>
      <c r="H137" s="679">
        <f>D137*(1+'Tab 2'!$K$26)</f>
        <v>1264821.1005476497</v>
      </c>
      <c r="I137" s="671">
        <f t="shared" si="12"/>
        <v>1339609.0928477382</v>
      </c>
    </row>
    <row r="138" spans="2:9" x14ac:dyDescent="0.15">
      <c r="B138" s="230" t="s">
        <v>873</v>
      </c>
      <c r="C138" s="673">
        <v>100000</v>
      </c>
      <c r="D138" s="673">
        <v>800000</v>
      </c>
      <c r="E138" s="671">
        <f t="shared" si="11"/>
        <v>900000</v>
      </c>
      <c r="G138" s="696">
        <f>C138*(1+'Tab 2'!$K$21)</f>
        <v>74787.992300088503</v>
      </c>
      <c r="H138" s="679">
        <f>D138*(1+'Tab 2'!$K$26)</f>
        <v>1124285.422709022</v>
      </c>
      <c r="I138" s="671">
        <f t="shared" si="12"/>
        <v>1199073.4150091105</v>
      </c>
    </row>
    <row r="139" spans="2:9" x14ac:dyDescent="0.15">
      <c r="B139" s="230" t="s">
        <v>874</v>
      </c>
      <c r="C139" s="673">
        <v>75000</v>
      </c>
      <c r="D139" s="673">
        <v>800000</v>
      </c>
      <c r="E139" s="671">
        <f t="shared" si="11"/>
        <v>875000</v>
      </c>
      <c r="G139" s="696">
        <f>C139*(1+'Tab 2'!$K$21)</f>
        <v>56090.994225066373</v>
      </c>
      <c r="H139" s="679">
        <f>D139*(1+'Tab 2'!$K$26)</f>
        <v>1124285.422709022</v>
      </c>
      <c r="I139" s="671">
        <f t="shared" si="12"/>
        <v>1180376.4169340883</v>
      </c>
    </row>
    <row r="140" spans="2:9" x14ac:dyDescent="0.15">
      <c r="B140" s="230" t="s">
        <v>875</v>
      </c>
      <c r="C140" s="673">
        <v>75000</v>
      </c>
      <c r="D140" s="673">
        <v>800000</v>
      </c>
      <c r="E140" s="671">
        <f t="shared" si="11"/>
        <v>875000</v>
      </c>
      <c r="G140" s="696">
        <f>C140*(1+'Tab 2'!$K$21)</f>
        <v>56090.994225066373</v>
      </c>
      <c r="H140" s="679">
        <f>D140*(1+'Tab 2'!$K$26)</f>
        <v>1124285.422709022</v>
      </c>
      <c r="I140" s="671">
        <f t="shared" si="12"/>
        <v>1180376.4169340883</v>
      </c>
    </row>
    <row r="141" spans="2:9" x14ac:dyDescent="0.15">
      <c r="B141" s="230" t="s">
        <v>876</v>
      </c>
      <c r="C141" s="673">
        <v>75000</v>
      </c>
      <c r="D141" s="673">
        <v>700000</v>
      </c>
      <c r="E141" s="671">
        <f t="shared" si="11"/>
        <v>775000</v>
      </c>
      <c r="G141" s="696">
        <f>C141*(1+'Tab 2'!$K$21)</f>
        <v>56090.994225066373</v>
      </c>
      <c r="H141" s="679">
        <f>D141*(1+'Tab 2'!$K$26)</f>
        <v>983749.74487039424</v>
      </c>
      <c r="I141" s="671">
        <f t="shared" si="12"/>
        <v>1039840.7390954606</v>
      </c>
    </row>
    <row r="142" spans="2:9" x14ac:dyDescent="0.15">
      <c r="B142" s="230" t="s">
        <v>877</v>
      </c>
      <c r="C142" s="673">
        <v>50000</v>
      </c>
      <c r="D142" s="673">
        <v>700000</v>
      </c>
      <c r="E142" s="671">
        <f t="shared" si="11"/>
        <v>750000</v>
      </c>
      <c r="G142" s="696">
        <f>C142*(1+'Tab 2'!$K$21)</f>
        <v>37393.996150044251</v>
      </c>
      <c r="H142" s="679">
        <f>D142*(1+'Tab 2'!$K$26)</f>
        <v>983749.74487039424</v>
      </c>
      <c r="I142" s="671">
        <f t="shared" si="12"/>
        <v>1021143.7410204385</v>
      </c>
    </row>
    <row r="143" spans="2:9" x14ac:dyDescent="0.15">
      <c r="B143" s="230" t="s">
        <v>878</v>
      </c>
      <c r="C143" s="673">
        <v>50000</v>
      </c>
      <c r="D143" s="673">
        <v>700000</v>
      </c>
      <c r="E143" s="671">
        <f t="shared" si="11"/>
        <v>750000</v>
      </c>
      <c r="G143" s="696">
        <f>C143*(1+'Tab 2'!$K$21)</f>
        <v>37393.996150044251</v>
      </c>
      <c r="H143" s="679">
        <f>D143*(1+'Tab 2'!$K$26)</f>
        <v>983749.74487039424</v>
      </c>
      <c r="I143" s="671">
        <f t="shared" si="12"/>
        <v>1021143.7410204385</v>
      </c>
    </row>
    <row r="144" spans="2:9" x14ac:dyDescent="0.15">
      <c r="B144" s="230" t="s">
        <v>879</v>
      </c>
      <c r="C144" s="673">
        <v>97608</v>
      </c>
      <c r="D144" s="673">
        <v>700000</v>
      </c>
      <c r="E144" s="671">
        <f t="shared" si="11"/>
        <v>797608</v>
      </c>
      <c r="G144" s="696">
        <f>C144*(1+'Tab 2'!$K$21)</f>
        <v>72999.063524270387</v>
      </c>
      <c r="H144" s="679">
        <f>D144*(1+'Tab 2'!$K$26)</f>
        <v>983749.74487039424</v>
      </c>
      <c r="I144" s="671">
        <f t="shared" si="12"/>
        <v>1056748.8083946647</v>
      </c>
    </row>
    <row r="145" spans="2:9" x14ac:dyDescent="0.15">
      <c r="B145" s="230" t="s">
        <v>880</v>
      </c>
      <c r="C145" s="673">
        <v>50000</v>
      </c>
      <c r="D145" s="673">
        <v>600000</v>
      </c>
      <c r="E145" s="671">
        <f t="shared" si="11"/>
        <v>650000</v>
      </c>
      <c r="G145" s="696">
        <f>C145*(1+'Tab 2'!$K$21)</f>
        <v>37393.996150044251</v>
      </c>
      <c r="H145" s="679">
        <f>D145*(1+'Tab 2'!$K$26)</f>
        <v>843214.06703176652</v>
      </c>
      <c r="I145" s="671">
        <f t="shared" si="12"/>
        <v>880608.06318181078</v>
      </c>
    </row>
    <row r="146" spans="2:9" x14ac:dyDescent="0.15">
      <c r="B146" s="230" t="s">
        <v>881</v>
      </c>
      <c r="C146" s="673">
        <v>50000</v>
      </c>
      <c r="D146" s="673">
        <f>728390+202</f>
        <v>728592</v>
      </c>
      <c r="E146" s="671">
        <f t="shared" si="11"/>
        <v>778592</v>
      </c>
      <c r="G146" s="696">
        <f>C146*(1+'Tab 2'!$K$21)</f>
        <v>37393.996150044251</v>
      </c>
      <c r="H146" s="679">
        <f>D146*(1+'Tab 2'!$K$26)</f>
        <v>1023931.7058780147</v>
      </c>
      <c r="I146" s="671">
        <f t="shared" si="12"/>
        <v>1061325.7020280589</v>
      </c>
    </row>
    <row r="147" spans="2:9" x14ac:dyDescent="0.15">
      <c r="B147" s="680" t="s">
        <v>995</v>
      </c>
      <c r="C147" s="681">
        <f>SUM(C135:C146)</f>
        <v>922608</v>
      </c>
      <c r="D147" s="681">
        <f t="shared" ref="D147:E147" si="13">SUM(D135:D146)</f>
        <v>9328592</v>
      </c>
      <c r="E147" s="683">
        <f t="shared" si="13"/>
        <v>10251200</v>
      </c>
      <c r="G147" s="695">
        <f>SUM(G135:G146)</f>
        <v>690000.00000000058</v>
      </c>
      <c r="H147" s="681">
        <f t="shared" ref="H147:I147" si="14">SUM(H135:H146)</f>
        <v>13110000</v>
      </c>
      <c r="I147" s="683">
        <f t="shared" si="14"/>
        <v>13800000.000000002</v>
      </c>
    </row>
    <row r="148" spans="2:9" x14ac:dyDescent="0.15">
      <c r="B148" s="230"/>
      <c r="C148" s="679"/>
      <c r="D148" s="679"/>
      <c r="E148" s="691"/>
      <c r="G148" s="696"/>
      <c r="H148" s="679"/>
      <c r="I148" s="691"/>
    </row>
    <row r="149" spans="2:9" ht="17" thickBot="1" x14ac:dyDescent="0.2">
      <c r="B149" s="685" t="s">
        <v>996</v>
      </c>
      <c r="C149" s="686">
        <f>+C131+C133+C147</f>
        <v>107663228</v>
      </c>
      <c r="D149" s="686">
        <f t="shared" ref="D149:E149" si="15">+D131+D133+D147</f>
        <v>20476772</v>
      </c>
      <c r="E149" s="688">
        <f t="shared" si="15"/>
        <v>128140000</v>
      </c>
      <c r="G149" s="697">
        <f>+G131+G133+G147</f>
        <v>122876667.26935485</v>
      </c>
      <c r="H149" s="686">
        <f t="shared" ref="H149:I149" si="16">+H131+H133+H147</f>
        <v>20932729.988709662</v>
      </c>
      <c r="I149" s="688">
        <f t="shared" si="16"/>
        <v>143809397.25806445</v>
      </c>
    </row>
  </sheetData>
  <mergeCells count="2">
    <mergeCell ref="C5:E5"/>
    <mergeCell ref="G5:I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E6801-7FD4-2648-9BA0-E5FEC14C49E4}">
  <sheetPr codeName="Foglio33"/>
  <dimension ref="B2:Q156"/>
  <sheetViews>
    <sheetView zoomScale="160" zoomScaleNormal="160" workbookViewId="0">
      <pane ySplit="8" topLeftCell="A9" activePane="bottomLeft" state="frozen"/>
      <selection pane="bottomLeft" activeCell="O124" sqref="O124"/>
    </sheetView>
  </sheetViews>
  <sheetFormatPr baseColWidth="10" defaultRowHeight="16" x14ac:dyDescent="0.15"/>
  <cols>
    <col min="1" max="1" width="10.83203125" style="91"/>
    <col min="2" max="2" width="39.5" style="91" bestFit="1" customWidth="1"/>
    <col min="3" max="5" width="15.6640625" style="91" customWidth="1"/>
    <col min="6" max="7" width="10.83203125" style="91"/>
    <col min="8" max="8" width="2.33203125" style="91" customWidth="1"/>
    <col min="9" max="9" width="12.6640625" style="91" customWidth="1"/>
    <col min="10" max="10" width="16.1640625" style="91" customWidth="1"/>
    <col min="11" max="17" width="12.6640625" style="91" customWidth="1"/>
    <col min="18" max="16384" width="10.83203125" style="91"/>
  </cols>
  <sheetData>
    <row r="2" spans="2:17" x14ac:dyDescent="0.15">
      <c r="B2" s="91" t="s">
        <v>1015</v>
      </c>
    </row>
    <row r="3" spans="2:17" x14ac:dyDescent="0.15">
      <c r="N3" s="93"/>
      <c r="O3" s="93"/>
      <c r="P3" s="93"/>
    </row>
    <row r="4" spans="2:17" ht="17" x14ac:dyDescent="0.15">
      <c r="B4" s="93" t="s">
        <v>1013</v>
      </c>
      <c r="C4" s="194">
        <v>0.05</v>
      </c>
      <c r="N4" s="93"/>
      <c r="O4" s="93"/>
      <c r="P4" s="93"/>
    </row>
    <row r="5" spans="2:17" x14ac:dyDescent="0.15">
      <c r="B5" s="91" t="s">
        <v>1019</v>
      </c>
      <c r="C5" s="667">
        <v>20000</v>
      </c>
      <c r="N5" s="93"/>
      <c r="O5" s="93"/>
      <c r="P5" s="93"/>
    </row>
    <row r="6" spans="2:17" ht="17" thickBot="1" x14ac:dyDescent="0.2"/>
    <row r="7" spans="2:17" x14ac:dyDescent="0.15">
      <c r="B7" s="330"/>
      <c r="C7" s="1106" t="s">
        <v>170</v>
      </c>
      <c r="D7" s="1028"/>
      <c r="E7" s="1028"/>
      <c r="F7" s="1028"/>
      <c r="G7" s="1029"/>
      <c r="I7" s="1033" t="s">
        <v>196</v>
      </c>
      <c r="J7" s="1034"/>
      <c r="K7" s="1034"/>
      <c r="L7" s="1034"/>
      <c r="M7" s="1034"/>
      <c r="N7" s="1034"/>
      <c r="O7" s="1034"/>
      <c r="P7" s="1034"/>
      <c r="Q7" s="1035"/>
    </row>
    <row r="8" spans="2:17" x14ac:dyDescent="0.15">
      <c r="B8" s="331"/>
      <c r="C8" s="197" t="s">
        <v>1001</v>
      </c>
      <c r="D8" s="192" t="s">
        <v>1002</v>
      </c>
      <c r="E8" s="192" t="s">
        <v>1003</v>
      </c>
      <c r="F8" s="192" t="s">
        <v>999</v>
      </c>
      <c r="G8" s="668" t="s">
        <v>998</v>
      </c>
      <c r="I8" s="383" t="s">
        <v>1001</v>
      </c>
      <c r="J8" s="337" t="s">
        <v>1002</v>
      </c>
      <c r="K8" s="337" t="s">
        <v>1003</v>
      </c>
      <c r="L8" s="337" t="s">
        <v>999</v>
      </c>
      <c r="M8" s="337" t="s">
        <v>998</v>
      </c>
      <c r="N8" s="337" t="s">
        <v>1004</v>
      </c>
      <c r="O8" s="337" t="s">
        <v>1005</v>
      </c>
      <c r="P8" s="337" t="s">
        <v>997</v>
      </c>
      <c r="Q8" s="384" t="s">
        <v>284</v>
      </c>
    </row>
    <row r="9" spans="2:17" x14ac:dyDescent="0.15">
      <c r="B9" s="218" t="s">
        <v>870</v>
      </c>
      <c r="C9" s="698">
        <f>+'All. 12'!C7</f>
        <v>500000</v>
      </c>
      <c r="D9" s="698">
        <f>+'All. 12'!D7</f>
        <v>205000</v>
      </c>
      <c r="E9" s="403">
        <f>SUM(C9:D9)</f>
        <v>705000</v>
      </c>
      <c r="F9" s="670">
        <f>'Tab 0'!$B$48</f>
        <v>0.12</v>
      </c>
      <c r="G9" s="671">
        <f>+E9*F9</f>
        <v>84600</v>
      </c>
      <c r="I9" s="700">
        <f>+'All. 12'!G7</f>
        <v>808586.03283371183</v>
      </c>
      <c r="J9" s="699">
        <f>+'All. 12'!H7</f>
        <v>143242.63222207426</v>
      </c>
      <c r="K9" s="403">
        <f>SUM(I9:J9)</f>
        <v>951828.66505578603</v>
      </c>
      <c r="L9" s="670">
        <f>'Tab 0'!$B$48</f>
        <v>0.12</v>
      </c>
      <c r="M9" s="403">
        <f>+K9*L9</f>
        <v>114219.43980669432</v>
      </c>
      <c r="N9" s="403"/>
      <c r="O9" s="403">
        <f t="shared" ref="O9:O40" si="0">IF(AND(E9&gt;0,K9&gt;E9),(K9-E9)*$C$4,0)</f>
        <v>12341.433252789302</v>
      </c>
      <c r="P9" s="672">
        <f>IFERROR(Q9/K9,0)</f>
        <v>0.13296602393463952</v>
      </c>
      <c r="Q9" s="671">
        <f>+M9+N9+O9</f>
        <v>126560.87305948362</v>
      </c>
    </row>
    <row r="10" spans="2:17" x14ac:dyDescent="0.15">
      <c r="B10" s="230" t="s">
        <v>871</v>
      </c>
      <c r="C10" s="698">
        <f>+'All. 12'!C8</f>
        <v>500000</v>
      </c>
      <c r="D10" s="698">
        <f>+'All. 12'!D8</f>
        <v>205000</v>
      </c>
      <c r="E10" s="403">
        <f t="shared" ref="E10:E73" si="1">SUM(C10:D10)</f>
        <v>705000</v>
      </c>
      <c r="F10" s="670">
        <f>'Tab 0'!$B$48</f>
        <v>0.12</v>
      </c>
      <c r="G10" s="671">
        <f t="shared" ref="G10:G73" si="2">+E10*F10</f>
        <v>84600</v>
      </c>
      <c r="I10" s="700">
        <f>+'All. 12'!G8</f>
        <v>808586.03283371183</v>
      </c>
      <c r="J10" s="699">
        <f>+'All. 12'!H8</f>
        <v>143242.63222207426</v>
      </c>
      <c r="K10" s="403">
        <f t="shared" ref="K10:K73" si="3">SUM(I10:J10)</f>
        <v>951828.66505578603</v>
      </c>
      <c r="L10" s="670">
        <f>'Tab 0'!$B$48</f>
        <v>0.12</v>
      </c>
      <c r="M10" s="403">
        <f t="shared" ref="M10:M73" si="4">+K10*L10</f>
        <v>114219.43980669432</v>
      </c>
      <c r="N10" s="403"/>
      <c r="O10" s="403">
        <f t="shared" si="0"/>
        <v>12341.433252789302</v>
      </c>
      <c r="P10" s="672">
        <f t="shared" ref="P10:P73" si="5">IFERROR(Q10/K10,0)</f>
        <v>0.13296602393463952</v>
      </c>
      <c r="Q10" s="671">
        <f t="shared" ref="Q10:Q73" si="6">+M10+N10+O10</f>
        <v>126560.87305948362</v>
      </c>
    </row>
    <row r="11" spans="2:17" x14ac:dyDescent="0.15">
      <c r="B11" s="230" t="s">
        <v>872</v>
      </c>
      <c r="C11" s="698">
        <f>+'All. 12'!C9</f>
        <v>500000</v>
      </c>
      <c r="D11" s="698">
        <f>+'All. 12'!D9</f>
        <v>205000</v>
      </c>
      <c r="E11" s="403">
        <f t="shared" si="1"/>
        <v>705000</v>
      </c>
      <c r="F11" s="670">
        <f>'Tab 0'!$B$48</f>
        <v>0.12</v>
      </c>
      <c r="G11" s="671">
        <f t="shared" si="2"/>
        <v>84600</v>
      </c>
      <c r="I11" s="700">
        <f>+'All. 12'!G9</f>
        <v>808586.03283371183</v>
      </c>
      <c r="J11" s="699">
        <f>+'All. 12'!H9</f>
        <v>143242.63222207426</v>
      </c>
      <c r="K11" s="403">
        <f t="shared" si="3"/>
        <v>951828.66505578603</v>
      </c>
      <c r="L11" s="670">
        <f>'Tab 0'!$B$48</f>
        <v>0.12</v>
      </c>
      <c r="M11" s="403">
        <f t="shared" si="4"/>
        <v>114219.43980669432</v>
      </c>
      <c r="N11" s="403"/>
      <c r="O11" s="403">
        <f t="shared" si="0"/>
        <v>12341.433252789302</v>
      </c>
      <c r="P11" s="672">
        <f t="shared" si="5"/>
        <v>0.13296602393463952</v>
      </c>
      <c r="Q11" s="671">
        <f t="shared" si="6"/>
        <v>126560.87305948362</v>
      </c>
    </row>
    <row r="12" spans="2:17" x14ac:dyDescent="0.15">
      <c r="B12" s="230" t="s">
        <v>873</v>
      </c>
      <c r="C12" s="698">
        <f>+'All. 12'!C10</f>
        <v>500000</v>
      </c>
      <c r="D12" s="698">
        <f>+'All. 12'!D10</f>
        <v>205000</v>
      </c>
      <c r="E12" s="403">
        <f t="shared" si="1"/>
        <v>705000</v>
      </c>
      <c r="F12" s="670">
        <f>'Tab 0'!$B$48</f>
        <v>0.12</v>
      </c>
      <c r="G12" s="671">
        <f t="shared" si="2"/>
        <v>84600</v>
      </c>
      <c r="I12" s="700">
        <f>+'All. 12'!G10</f>
        <v>808586.03283371183</v>
      </c>
      <c r="J12" s="699">
        <f>+'All. 12'!H10</f>
        <v>143242.63222207426</v>
      </c>
      <c r="K12" s="403">
        <f t="shared" si="3"/>
        <v>951828.66505578603</v>
      </c>
      <c r="L12" s="670">
        <f>'Tab 0'!$B$48</f>
        <v>0.12</v>
      </c>
      <c r="M12" s="403">
        <f t="shared" si="4"/>
        <v>114219.43980669432</v>
      </c>
      <c r="N12" s="403"/>
      <c r="O12" s="403">
        <f t="shared" si="0"/>
        <v>12341.433252789302</v>
      </c>
      <c r="P12" s="672">
        <f t="shared" si="5"/>
        <v>0.13296602393463952</v>
      </c>
      <c r="Q12" s="671">
        <f t="shared" si="6"/>
        <v>126560.87305948362</v>
      </c>
    </row>
    <row r="13" spans="2:17" x14ac:dyDescent="0.15">
      <c r="B13" s="230" t="s">
        <v>874</v>
      </c>
      <c r="C13" s="698">
        <f>+'All. 12'!C11</f>
        <v>500000</v>
      </c>
      <c r="D13" s="698">
        <f>+'All. 12'!D11</f>
        <v>205000</v>
      </c>
      <c r="E13" s="403">
        <f t="shared" si="1"/>
        <v>705000</v>
      </c>
      <c r="F13" s="670">
        <f>'Tab 0'!$B$48</f>
        <v>0.12</v>
      </c>
      <c r="G13" s="671">
        <f t="shared" si="2"/>
        <v>84600</v>
      </c>
      <c r="I13" s="700">
        <f>+'All. 12'!G11</f>
        <v>808586.03283371183</v>
      </c>
      <c r="J13" s="699">
        <f>+'All. 12'!H11</f>
        <v>143242.63222207426</v>
      </c>
      <c r="K13" s="403">
        <f t="shared" si="3"/>
        <v>951828.66505578603</v>
      </c>
      <c r="L13" s="670">
        <f>'Tab 0'!$B$48</f>
        <v>0.12</v>
      </c>
      <c r="M13" s="403">
        <f t="shared" si="4"/>
        <v>114219.43980669432</v>
      </c>
      <c r="N13" s="403"/>
      <c r="O13" s="403">
        <f t="shared" si="0"/>
        <v>12341.433252789302</v>
      </c>
      <c r="P13" s="672">
        <f t="shared" si="5"/>
        <v>0.13296602393463952</v>
      </c>
      <c r="Q13" s="671">
        <f t="shared" si="6"/>
        <v>126560.87305948362</v>
      </c>
    </row>
    <row r="14" spans="2:17" x14ac:dyDescent="0.15">
      <c r="B14" s="230" t="s">
        <v>875</v>
      </c>
      <c r="C14" s="698">
        <f>+'All. 12'!C12</f>
        <v>500000</v>
      </c>
      <c r="D14" s="698">
        <f>+'All. 12'!D12</f>
        <v>205000</v>
      </c>
      <c r="E14" s="403">
        <f t="shared" si="1"/>
        <v>705000</v>
      </c>
      <c r="F14" s="670">
        <f>'Tab 0'!$B$48</f>
        <v>0.12</v>
      </c>
      <c r="G14" s="671">
        <f t="shared" si="2"/>
        <v>84600</v>
      </c>
      <c r="I14" s="700">
        <f>+'All. 12'!G12</f>
        <v>808586.03283371183</v>
      </c>
      <c r="J14" s="699">
        <f>+'All. 12'!H12</f>
        <v>143242.63222207426</v>
      </c>
      <c r="K14" s="403">
        <f t="shared" si="3"/>
        <v>951828.66505578603</v>
      </c>
      <c r="L14" s="670">
        <f>'Tab 0'!$B$48</f>
        <v>0.12</v>
      </c>
      <c r="M14" s="403">
        <f t="shared" si="4"/>
        <v>114219.43980669432</v>
      </c>
      <c r="N14" s="403"/>
      <c r="O14" s="403">
        <f t="shared" si="0"/>
        <v>12341.433252789302</v>
      </c>
      <c r="P14" s="672">
        <f t="shared" si="5"/>
        <v>0.13296602393463952</v>
      </c>
      <c r="Q14" s="671">
        <f t="shared" si="6"/>
        <v>126560.87305948362</v>
      </c>
    </row>
    <row r="15" spans="2:17" x14ac:dyDescent="0.15">
      <c r="B15" s="230" t="s">
        <v>876</v>
      </c>
      <c r="C15" s="698">
        <f>+'All. 12'!C13</f>
        <v>500000</v>
      </c>
      <c r="D15" s="698">
        <f>+'All. 12'!D13</f>
        <v>205000</v>
      </c>
      <c r="E15" s="403">
        <f t="shared" si="1"/>
        <v>705000</v>
      </c>
      <c r="F15" s="670">
        <f>'Tab 0'!$B$48</f>
        <v>0.12</v>
      </c>
      <c r="G15" s="671">
        <f t="shared" si="2"/>
        <v>84600</v>
      </c>
      <c r="I15" s="700">
        <f>+'All. 12'!G13</f>
        <v>808586.03283371183</v>
      </c>
      <c r="J15" s="699">
        <f>+'All. 12'!H13</f>
        <v>143242.63222207426</v>
      </c>
      <c r="K15" s="403">
        <f t="shared" si="3"/>
        <v>951828.66505578603</v>
      </c>
      <c r="L15" s="670">
        <f>'Tab 0'!$B$48</f>
        <v>0.12</v>
      </c>
      <c r="M15" s="403">
        <f t="shared" si="4"/>
        <v>114219.43980669432</v>
      </c>
      <c r="N15" s="403"/>
      <c r="O15" s="403">
        <f t="shared" si="0"/>
        <v>12341.433252789302</v>
      </c>
      <c r="P15" s="672">
        <f t="shared" si="5"/>
        <v>0.13296602393463952</v>
      </c>
      <c r="Q15" s="671">
        <f t="shared" si="6"/>
        <v>126560.87305948362</v>
      </c>
    </row>
    <row r="16" spans="2:17" x14ac:dyDescent="0.15">
      <c r="B16" s="230" t="s">
        <v>877</v>
      </c>
      <c r="C16" s="698">
        <f>+'All. 12'!C14</f>
        <v>500000</v>
      </c>
      <c r="D16" s="698">
        <f>+'All. 12'!D14</f>
        <v>205000</v>
      </c>
      <c r="E16" s="403">
        <f t="shared" si="1"/>
        <v>705000</v>
      </c>
      <c r="F16" s="670">
        <f>'Tab 0'!$B$48</f>
        <v>0.12</v>
      </c>
      <c r="G16" s="671">
        <f t="shared" si="2"/>
        <v>84600</v>
      </c>
      <c r="I16" s="700">
        <f>+'All. 12'!G14</f>
        <v>808586.03283371183</v>
      </c>
      <c r="J16" s="699">
        <f>+'All. 12'!H14</f>
        <v>143242.63222207426</v>
      </c>
      <c r="K16" s="403">
        <f t="shared" si="3"/>
        <v>951828.66505578603</v>
      </c>
      <c r="L16" s="670">
        <f>'Tab 0'!$B$48</f>
        <v>0.12</v>
      </c>
      <c r="M16" s="403">
        <f t="shared" si="4"/>
        <v>114219.43980669432</v>
      </c>
      <c r="N16" s="403"/>
      <c r="O16" s="403">
        <f t="shared" si="0"/>
        <v>12341.433252789302</v>
      </c>
      <c r="P16" s="672">
        <f t="shared" si="5"/>
        <v>0.13296602393463952</v>
      </c>
      <c r="Q16" s="671">
        <f t="shared" si="6"/>
        <v>126560.87305948362</v>
      </c>
    </row>
    <row r="17" spans="2:17" x14ac:dyDescent="0.15">
      <c r="B17" s="230" t="s">
        <v>878</v>
      </c>
      <c r="C17" s="698">
        <f>+'All. 12'!C15</f>
        <v>500000</v>
      </c>
      <c r="D17" s="698">
        <f>+'All. 12'!D15</f>
        <v>205000</v>
      </c>
      <c r="E17" s="403">
        <f t="shared" si="1"/>
        <v>705000</v>
      </c>
      <c r="F17" s="670">
        <f>'Tab 0'!$B$48</f>
        <v>0.12</v>
      </c>
      <c r="G17" s="671">
        <f t="shared" si="2"/>
        <v>84600</v>
      </c>
      <c r="I17" s="700">
        <f>+'All. 12'!G15</f>
        <v>808586.03283371183</v>
      </c>
      <c r="J17" s="699">
        <f>+'All. 12'!H15</f>
        <v>143242.63222207426</v>
      </c>
      <c r="K17" s="403">
        <f t="shared" si="3"/>
        <v>951828.66505578603</v>
      </c>
      <c r="L17" s="670">
        <f>'Tab 0'!$B$48</f>
        <v>0.12</v>
      </c>
      <c r="M17" s="403">
        <f t="shared" si="4"/>
        <v>114219.43980669432</v>
      </c>
      <c r="N17" s="403"/>
      <c r="O17" s="403">
        <f t="shared" si="0"/>
        <v>12341.433252789302</v>
      </c>
      <c r="P17" s="672">
        <f t="shared" si="5"/>
        <v>0.13296602393463952</v>
      </c>
      <c r="Q17" s="671">
        <f t="shared" si="6"/>
        <v>126560.87305948362</v>
      </c>
    </row>
    <row r="18" spans="2:17" x14ac:dyDescent="0.15">
      <c r="B18" s="230" t="s">
        <v>879</v>
      </c>
      <c r="C18" s="698">
        <f>+'All. 12'!C16</f>
        <v>500000</v>
      </c>
      <c r="D18" s="698">
        <f>+'All. 12'!D16</f>
        <v>205000</v>
      </c>
      <c r="E18" s="403">
        <f t="shared" si="1"/>
        <v>705000</v>
      </c>
      <c r="F18" s="670">
        <f>'Tab 0'!$B$48</f>
        <v>0.12</v>
      </c>
      <c r="G18" s="671">
        <f t="shared" si="2"/>
        <v>84600</v>
      </c>
      <c r="I18" s="700">
        <f>+'All. 12'!G16</f>
        <v>808586.03283371183</v>
      </c>
      <c r="J18" s="699">
        <f>+'All. 12'!H16</f>
        <v>143242.63222207426</v>
      </c>
      <c r="K18" s="403">
        <f t="shared" si="3"/>
        <v>951828.66505578603</v>
      </c>
      <c r="L18" s="670">
        <f>'Tab 0'!$B$48</f>
        <v>0.12</v>
      </c>
      <c r="M18" s="403">
        <f t="shared" si="4"/>
        <v>114219.43980669432</v>
      </c>
      <c r="N18" s="403"/>
      <c r="O18" s="403">
        <f t="shared" si="0"/>
        <v>12341.433252789302</v>
      </c>
      <c r="P18" s="672">
        <f t="shared" si="5"/>
        <v>0.13296602393463952</v>
      </c>
      <c r="Q18" s="671">
        <f t="shared" si="6"/>
        <v>126560.87305948362</v>
      </c>
    </row>
    <row r="19" spans="2:17" x14ac:dyDescent="0.15">
      <c r="B19" s="230" t="s">
        <v>880</v>
      </c>
      <c r="C19" s="698">
        <f>+'All. 12'!C17</f>
        <v>400000</v>
      </c>
      <c r="D19" s="698">
        <f>+'All. 12'!D17</f>
        <v>164000</v>
      </c>
      <c r="E19" s="403">
        <f t="shared" si="1"/>
        <v>564000</v>
      </c>
      <c r="F19" s="670">
        <f>'Tab 0'!$B$48</f>
        <v>0.12</v>
      </c>
      <c r="G19" s="671">
        <f t="shared" si="2"/>
        <v>67680</v>
      </c>
      <c r="I19" s="700">
        <f>+'All. 12'!G17</f>
        <v>646868.82626696944</v>
      </c>
      <c r="J19" s="699">
        <f>+'All. 12'!H17</f>
        <v>114594.1057776594</v>
      </c>
      <c r="K19" s="403">
        <f t="shared" si="3"/>
        <v>761462.93204462877</v>
      </c>
      <c r="L19" s="670">
        <f>'Tab 0'!$B$48</f>
        <v>0.12</v>
      </c>
      <c r="M19" s="403">
        <f t="shared" si="4"/>
        <v>91375.551845355454</v>
      </c>
      <c r="N19" s="403"/>
      <c r="O19" s="403">
        <f t="shared" si="0"/>
        <v>9873.1466022314398</v>
      </c>
      <c r="P19" s="672">
        <f t="shared" si="5"/>
        <v>0.13296602393463952</v>
      </c>
      <c r="Q19" s="671">
        <f t="shared" si="6"/>
        <v>101248.6984475869</v>
      </c>
    </row>
    <row r="20" spans="2:17" x14ac:dyDescent="0.15">
      <c r="B20" s="230" t="s">
        <v>881</v>
      </c>
      <c r="C20" s="698">
        <f>+'All. 12'!C18</f>
        <v>400000</v>
      </c>
      <c r="D20" s="698">
        <f>+'All. 12'!D18</f>
        <v>164000</v>
      </c>
      <c r="E20" s="403">
        <f t="shared" si="1"/>
        <v>564000</v>
      </c>
      <c r="F20" s="670">
        <f>'Tab 0'!$B$48</f>
        <v>0.12</v>
      </c>
      <c r="G20" s="671">
        <f t="shared" si="2"/>
        <v>67680</v>
      </c>
      <c r="I20" s="700">
        <f>+'All. 12'!G18</f>
        <v>646868.82626696944</v>
      </c>
      <c r="J20" s="699">
        <f>+'All. 12'!H18</f>
        <v>114594.1057776594</v>
      </c>
      <c r="K20" s="403">
        <f t="shared" si="3"/>
        <v>761462.93204462877</v>
      </c>
      <c r="L20" s="670">
        <f>'Tab 0'!$B$48</f>
        <v>0.12</v>
      </c>
      <c r="M20" s="403">
        <f t="shared" si="4"/>
        <v>91375.551845355454</v>
      </c>
      <c r="N20" s="403"/>
      <c r="O20" s="403">
        <f t="shared" si="0"/>
        <v>9873.1466022314398</v>
      </c>
      <c r="P20" s="672">
        <f t="shared" si="5"/>
        <v>0.13296602393463952</v>
      </c>
      <c r="Q20" s="671">
        <f t="shared" si="6"/>
        <v>101248.6984475869</v>
      </c>
    </row>
    <row r="21" spans="2:17" x14ac:dyDescent="0.15">
      <c r="B21" s="230" t="s">
        <v>882</v>
      </c>
      <c r="C21" s="698">
        <f>+'All. 12'!C19</f>
        <v>400000</v>
      </c>
      <c r="D21" s="698">
        <f>+'All. 12'!D19</f>
        <v>164000</v>
      </c>
      <c r="E21" s="403">
        <f t="shared" si="1"/>
        <v>564000</v>
      </c>
      <c r="F21" s="670">
        <f>'Tab 0'!$B$48</f>
        <v>0.12</v>
      </c>
      <c r="G21" s="671">
        <f t="shared" si="2"/>
        <v>67680</v>
      </c>
      <c r="I21" s="700">
        <f>+'All. 12'!G19</f>
        <v>646868.82626696944</v>
      </c>
      <c r="J21" s="699">
        <f>+'All. 12'!H19</f>
        <v>114594.1057776594</v>
      </c>
      <c r="K21" s="403">
        <f t="shared" si="3"/>
        <v>761462.93204462877</v>
      </c>
      <c r="L21" s="670">
        <f>'Tab 0'!$B$48</f>
        <v>0.12</v>
      </c>
      <c r="M21" s="403">
        <f t="shared" si="4"/>
        <v>91375.551845355454</v>
      </c>
      <c r="N21" s="403"/>
      <c r="O21" s="403">
        <f t="shared" si="0"/>
        <v>9873.1466022314398</v>
      </c>
      <c r="P21" s="672">
        <f t="shared" si="5"/>
        <v>0.13296602393463952</v>
      </c>
      <c r="Q21" s="671">
        <f t="shared" si="6"/>
        <v>101248.6984475869</v>
      </c>
    </row>
    <row r="22" spans="2:17" x14ac:dyDescent="0.15">
      <c r="B22" s="230" t="s">
        <v>883</v>
      </c>
      <c r="C22" s="698">
        <f>+'All. 12'!C20</f>
        <v>400000</v>
      </c>
      <c r="D22" s="698">
        <f>+'All. 12'!D20</f>
        <v>164000</v>
      </c>
      <c r="E22" s="403">
        <f t="shared" si="1"/>
        <v>564000</v>
      </c>
      <c r="F22" s="670">
        <f>'Tab 0'!$B$48</f>
        <v>0.12</v>
      </c>
      <c r="G22" s="671">
        <f t="shared" si="2"/>
        <v>67680</v>
      </c>
      <c r="I22" s="700">
        <f>+'All. 12'!G20</f>
        <v>646868.82626696944</v>
      </c>
      <c r="J22" s="699">
        <f>+'All. 12'!H20</f>
        <v>114594.1057776594</v>
      </c>
      <c r="K22" s="403">
        <f t="shared" si="3"/>
        <v>761462.93204462877</v>
      </c>
      <c r="L22" s="670">
        <f>'Tab 0'!$B$48</f>
        <v>0.12</v>
      </c>
      <c r="M22" s="403">
        <f t="shared" si="4"/>
        <v>91375.551845355454</v>
      </c>
      <c r="N22" s="403"/>
      <c r="O22" s="403">
        <f t="shared" si="0"/>
        <v>9873.1466022314398</v>
      </c>
      <c r="P22" s="672">
        <f t="shared" si="5"/>
        <v>0.13296602393463952</v>
      </c>
      <c r="Q22" s="671">
        <f t="shared" si="6"/>
        <v>101248.6984475869</v>
      </c>
    </row>
    <row r="23" spans="2:17" x14ac:dyDescent="0.15">
      <c r="B23" s="230" t="s">
        <v>884</v>
      </c>
      <c r="C23" s="698">
        <f>+'All. 12'!C21</f>
        <v>400000</v>
      </c>
      <c r="D23" s="698">
        <f>+'All. 12'!D21</f>
        <v>164000</v>
      </c>
      <c r="E23" s="403">
        <f t="shared" si="1"/>
        <v>564000</v>
      </c>
      <c r="F23" s="670">
        <f>'Tab 0'!$B$48</f>
        <v>0.12</v>
      </c>
      <c r="G23" s="671">
        <f t="shared" si="2"/>
        <v>67680</v>
      </c>
      <c r="I23" s="700">
        <f>+'All. 12'!G21</f>
        <v>646868.82626696944</v>
      </c>
      <c r="J23" s="699">
        <f>+'All. 12'!H21</f>
        <v>114594.1057776594</v>
      </c>
      <c r="K23" s="403">
        <f t="shared" si="3"/>
        <v>761462.93204462877</v>
      </c>
      <c r="L23" s="670">
        <f>'Tab 0'!$B$48</f>
        <v>0.12</v>
      </c>
      <c r="M23" s="403">
        <f t="shared" si="4"/>
        <v>91375.551845355454</v>
      </c>
      <c r="N23" s="403"/>
      <c r="O23" s="403">
        <f t="shared" si="0"/>
        <v>9873.1466022314398</v>
      </c>
      <c r="P23" s="672">
        <f t="shared" si="5"/>
        <v>0.13296602393463952</v>
      </c>
      <c r="Q23" s="671">
        <f t="shared" si="6"/>
        <v>101248.6984475869</v>
      </c>
    </row>
    <row r="24" spans="2:17" x14ac:dyDescent="0.15">
      <c r="B24" s="230" t="s">
        <v>885</v>
      </c>
      <c r="C24" s="698">
        <f>+'All. 12'!C22</f>
        <v>400000</v>
      </c>
      <c r="D24" s="698">
        <f>+'All. 12'!D22</f>
        <v>164000</v>
      </c>
      <c r="E24" s="403">
        <f t="shared" si="1"/>
        <v>564000</v>
      </c>
      <c r="F24" s="670">
        <f>'Tab 0'!$B$48</f>
        <v>0.12</v>
      </c>
      <c r="G24" s="671">
        <f t="shared" si="2"/>
        <v>67680</v>
      </c>
      <c r="I24" s="700">
        <f>+'All. 12'!G22</f>
        <v>646868.82626696944</v>
      </c>
      <c r="J24" s="699">
        <f>+'All. 12'!H22</f>
        <v>114594.1057776594</v>
      </c>
      <c r="K24" s="403">
        <f t="shared" si="3"/>
        <v>761462.93204462877</v>
      </c>
      <c r="L24" s="670">
        <f>'Tab 0'!$B$48</f>
        <v>0.12</v>
      </c>
      <c r="M24" s="403">
        <f t="shared" si="4"/>
        <v>91375.551845355454</v>
      </c>
      <c r="N24" s="403"/>
      <c r="O24" s="403">
        <f t="shared" si="0"/>
        <v>9873.1466022314398</v>
      </c>
      <c r="P24" s="672">
        <f t="shared" si="5"/>
        <v>0.13296602393463952</v>
      </c>
      <c r="Q24" s="671">
        <f t="shared" si="6"/>
        <v>101248.6984475869</v>
      </c>
    </row>
    <row r="25" spans="2:17" x14ac:dyDescent="0.15">
      <c r="B25" s="230" t="s">
        <v>886</v>
      </c>
      <c r="C25" s="698">
        <f>+'All. 12'!C23</f>
        <v>400000</v>
      </c>
      <c r="D25" s="698">
        <f>+'All. 12'!D23</f>
        <v>164000</v>
      </c>
      <c r="E25" s="403">
        <f t="shared" si="1"/>
        <v>564000</v>
      </c>
      <c r="F25" s="670">
        <f>'Tab 0'!$B$48</f>
        <v>0.12</v>
      </c>
      <c r="G25" s="671">
        <f t="shared" si="2"/>
        <v>67680</v>
      </c>
      <c r="I25" s="700">
        <f>+'All. 12'!G23</f>
        <v>646868.82626696944</v>
      </c>
      <c r="J25" s="699">
        <f>+'All. 12'!H23</f>
        <v>114594.1057776594</v>
      </c>
      <c r="K25" s="403">
        <f t="shared" si="3"/>
        <v>761462.93204462877</v>
      </c>
      <c r="L25" s="670">
        <f>'Tab 0'!$B$48</f>
        <v>0.12</v>
      </c>
      <c r="M25" s="403">
        <f t="shared" si="4"/>
        <v>91375.551845355454</v>
      </c>
      <c r="N25" s="403"/>
      <c r="O25" s="403">
        <f t="shared" si="0"/>
        <v>9873.1466022314398</v>
      </c>
      <c r="P25" s="672">
        <f t="shared" si="5"/>
        <v>0.13296602393463952</v>
      </c>
      <c r="Q25" s="671">
        <f t="shared" si="6"/>
        <v>101248.6984475869</v>
      </c>
    </row>
    <row r="26" spans="2:17" x14ac:dyDescent="0.15">
      <c r="B26" s="230" t="s">
        <v>887</v>
      </c>
      <c r="C26" s="698">
        <f>+'All. 12'!C24</f>
        <v>400000</v>
      </c>
      <c r="D26" s="698">
        <f>+'All. 12'!D24</f>
        <v>164000</v>
      </c>
      <c r="E26" s="403">
        <f t="shared" si="1"/>
        <v>564000</v>
      </c>
      <c r="F26" s="670">
        <f>'Tab 0'!$B$48</f>
        <v>0.12</v>
      </c>
      <c r="G26" s="671">
        <f t="shared" si="2"/>
        <v>67680</v>
      </c>
      <c r="I26" s="700">
        <f>+'All. 12'!G24</f>
        <v>646868.82626696944</v>
      </c>
      <c r="J26" s="699">
        <f>+'All. 12'!H24</f>
        <v>114594.1057776594</v>
      </c>
      <c r="K26" s="403">
        <f t="shared" si="3"/>
        <v>761462.93204462877</v>
      </c>
      <c r="L26" s="670">
        <f>'Tab 0'!$B$48</f>
        <v>0.12</v>
      </c>
      <c r="M26" s="403">
        <f t="shared" si="4"/>
        <v>91375.551845355454</v>
      </c>
      <c r="N26" s="403"/>
      <c r="O26" s="403">
        <f t="shared" si="0"/>
        <v>9873.1466022314398</v>
      </c>
      <c r="P26" s="672">
        <f t="shared" si="5"/>
        <v>0.13296602393463952</v>
      </c>
      <c r="Q26" s="671">
        <f t="shared" si="6"/>
        <v>101248.6984475869</v>
      </c>
    </row>
    <row r="27" spans="2:17" x14ac:dyDescent="0.15">
      <c r="B27" s="230" t="s">
        <v>888</v>
      </c>
      <c r="C27" s="698">
        <f>+'All. 12'!C25</f>
        <v>400000</v>
      </c>
      <c r="D27" s="698">
        <f>+'All. 12'!D25</f>
        <v>164000</v>
      </c>
      <c r="E27" s="403">
        <f t="shared" si="1"/>
        <v>564000</v>
      </c>
      <c r="F27" s="670">
        <f>'Tab 0'!$B$48</f>
        <v>0.12</v>
      </c>
      <c r="G27" s="671">
        <f t="shared" si="2"/>
        <v>67680</v>
      </c>
      <c r="I27" s="700">
        <f>+'All. 12'!G25</f>
        <v>646868.82626696944</v>
      </c>
      <c r="J27" s="699">
        <f>+'All. 12'!H25</f>
        <v>114594.1057776594</v>
      </c>
      <c r="K27" s="403">
        <f t="shared" si="3"/>
        <v>761462.93204462877</v>
      </c>
      <c r="L27" s="670">
        <f>'Tab 0'!$B$48</f>
        <v>0.12</v>
      </c>
      <c r="M27" s="403">
        <f t="shared" si="4"/>
        <v>91375.551845355454</v>
      </c>
      <c r="N27" s="403"/>
      <c r="O27" s="403">
        <f t="shared" si="0"/>
        <v>9873.1466022314398</v>
      </c>
      <c r="P27" s="672">
        <f t="shared" si="5"/>
        <v>0.13296602393463952</v>
      </c>
      <c r="Q27" s="671">
        <f t="shared" si="6"/>
        <v>101248.6984475869</v>
      </c>
    </row>
    <row r="28" spans="2:17" x14ac:dyDescent="0.15">
      <c r="B28" s="230" t="s">
        <v>889</v>
      </c>
      <c r="C28" s="698">
        <f>+'All. 12'!C26</f>
        <v>400000</v>
      </c>
      <c r="D28" s="698">
        <f>+'All. 12'!D26</f>
        <v>164000</v>
      </c>
      <c r="E28" s="403">
        <f t="shared" si="1"/>
        <v>564000</v>
      </c>
      <c r="F28" s="670">
        <f>'Tab 0'!$B$48</f>
        <v>0.12</v>
      </c>
      <c r="G28" s="671">
        <f t="shared" si="2"/>
        <v>67680</v>
      </c>
      <c r="I28" s="700">
        <f>+'All. 12'!G26</f>
        <v>646868.82626696944</v>
      </c>
      <c r="J28" s="699">
        <f>+'All. 12'!H26</f>
        <v>114594.1057776594</v>
      </c>
      <c r="K28" s="403">
        <f t="shared" si="3"/>
        <v>761462.93204462877</v>
      </c>
      <c r="L28" s="670">
        <f>'Tab 0'!$B$48</f>
        <v>0.12</v>
      </c>
      <c r="M28" s="403">
        <f t="shared" si="4"/>
        <v>91375.551845355454</v>
      </c>
      <c r="N28" s="403"/>
      <c r="O28" s="403">
        <f t="shared" si="0"/>
        <v>9873.1466022314398</v>
      </c>
      <c r="P28" s="672">
        <f t="shared" si="5"/>
        <v>0.13296602393463952</v>
      </c>
      <c r="Q28" s="671">
        <f t="shared" si="6"/>
        <v>101248.6984475869</v>
      </c>
    </row>
    <row r="29" spans="2:17" x14ac:dyDescent="0.15">
      <c r="B29" s="230" t="s">
        <v>890</v>
      </c>
      <c r="C29" s="698">
        <f>+'All. 12'!C27</f>
        <v>400000</v>
      </c>
      <c r="D29" s="698">
        <f>+'All. 12'!D27</f>
        <v>164000</v>
      </c>
      <c r="E29" s="403">
        <f t="shared" si="1"/>
        <v>564000</v>
      </c>
      <c r="F29" s="670">
        <f>'Tab 0'!$B$48</f>
        <v>0.12</v>
      </c>
      <c r="G29" s="671">
        <f t="shared" si="2"/>
        <v>67680</v>
      </c>
      <c r="I29" s="700">
        <f>+'All. 12'!G27</f>
        <v>646868.82626696944</v>
      </c>
      <c r="J29" s="699">
        <f>+'All. 12'!H27</f>
        <v>114594.1057776594</v>
      </c>
      <c r="K29" s="403">
        <f t="shared" si="3"/>
        <v>761462.93204462877</v>
      </c>
      <c r="L29" s="670">
        <f>'Tab 0'!$B$48</f>
        <v>0.12</v>
      </c>
      <c r="M29" s="403">
        <f t="shared" si="4"/>
        <v>91375.551845355454</v>
      </c>
      <c r="N29" s="403"/>
      <c r="O29" s="403">
        <f t="shared" si="0"/>
        <v>9873.1466022314398</v>
      </c>
      <c r="P29" s="672">
        <f t="shared" si="5"/>
        <v>0.13296602393463952</v>
      </c>
      <c r="Q29" s="671">
        <f t="shared" si="6"/>
        <v>101248.6984475869</v>
      </c>
    </row>
    <row r="30" spans="2:17" x14ac:dyDescent="0.15">
      <c r="B30" s="230" t="s">
        <v>891</v>
      </c>
      <c r="C30" s="698">
        <f>+'All. 12'!C28</f>
        <v>400000</v>
      </c>
      <c r="D30" s="698">
        <f>+'All. 12'!D28</f>
        <v>164000</v>
      </c>
      <c r="E30" s="403">
        <f t="shared" si="1"/>
        <v>564000</v>
      </c>
      <c r="F30" s="670">
        <f>'Tab 0'!$B$48</f>
        <v>0.12</v>
      </c>
      <c r="G30" s="671">
        <f t="shared" si="2"/>
        <v>67680</v>
      </c>
      <c r="I30" s="700">
        <f>+'All. 12'!G28</f>
        <v>646868.82626696944</v>
      </c>
      <c r="J30" s="699">
        <f>+'All. 12'!H28</f>
        <v>114594.1057776594</v>
      </c>
      <c r="K30" s="403">
        <f t="shared" si="3"/>
        <v>761462.93204462877</v>
      </c>
      <c r="L30" s="670">
        <f>'Tab 0'!$B$48</f>
        <v>0.12</v>
      </c>
      <c r="M30" s="403">
        <f t="shared" si="4"/>
        <v>91375.551845355454</v>
      </c>
      <c r="N30" s="403"/>
      <c r="O30" s="403">
        <f t="shared" si="0"/>
        <v>9873.1466022314398</v>
      </c>
      <c r="P30" s="672">
        <f t="shared" si="5"/>
        <v>0.13296602393463952</v>
      </c>
      <c r="Q30" s="671">
        <f t="shared" si="6"/>
        <v>101248.6984475869</v>
      </c>
    </row>
    <row r="31" spans="2:17" x14ac:dyDescent="0.15">
      <c r="B31" s="230" t="s">
        <v>892</v>
      </c>
      <c r="C31" s="698">
        <f>+'All. 12'!C29</f>
        <v>400000</v>
      </c>
      <c r="D31" s="698">
        <f>+'All. 12'!D29</f>
        <v>164000</v>
      </c>
      <c r="E31" s="403">
        <f t="shared" si="1"/>
        <v>564000</v>
      </c>
      <c r="F31" s="670">
        <f>'Tab 0'!$B$48</f>
        <v>0.12</v>
      </c>
      <c r="G31" s="671">
        <f t="shared" si="2"/>
        <v>67680</v>
      </c>
      <c r="I31" s="700">
        <f>+'All. 12'!G29</f>
        <v>646868.82626696944</v>
      </c>
      <c r="J31" s="699">
        <f>+'All. 12'!H29</f>
        <v>114594.1057776594</v>
      </c>
      <c r="K31" s="403">
        <f t="shared" si="3"/>
        <v>761462.93204462877</v>
      </c>
      <c r="L31" s="670">
        <f>'Tab 0'!$B$48</f>
        <v>0.12</v>
      </c>
      <c r="M31" s="403">
        <f t="shared" si="4"/>
        <v>91375.551845355454</v>
      </c>
      <c r="N31" s="403"/>
      <c r="O31" s="403">
        <f t="shared" si="0"/>
        <v>9873.1466022314398</v>
      </c>
      <c r="P31" s="672">
        <f t="shared" si="5"/>
        <v>0.13296602393463952</v>
      </c>
      <c r="Q31" s="671">
        <f t="shared" si="6"/>
        <v>101248.6984475869</v>
      </c>
    </row>
    <row r="32" spans="2:17" x14ac:dyDescent="0.15">
      <c r="B32" s="230" t="s">
        <v>893</v>
      </c>
      <c r="C32" s="698">
        <f>+'All. 12'!C30</f>
        <v>400000</v>
      </c>
      <c r="D32" s="698">
        <f>+'All. 12'!D30</f>
        <v>164000</v>
      </c>
      <c r="E32" s="403">
        <f t="shared" si="1"/>
        <v>564000</v>
      </c>
      <c r="F32" s="670">
        <f>'Tab 0'!$B$48</f>
        <v>0.12</v>
      </c>
      <c r="G32" s="671">
        <f t="shared" si="2"/>
        <v>67680</v>
      </c>
      <c r="I32" s="700">
        <f>+'All. 12'!G30</f>
        <v>646868.82626696944</v>
      </c>
      <c r="J32" s="699">
        <f>+'All. 12'!H30</f>
        <v>114594.1057776594</v>
      </c>
      <c r="K32" s="403">
        <f t="shared" si="3"/>
        <v>761462.93204462877</v>
      </c>
      <c r="L32" s="670">
        <f>'Tab 0'!$B$48</f>
        <v>0.12</v>
      </c>
      <c r="M32" s="403">
        <f t="shared" si="4"/>
        <v>91375.551845355454</v>
      </c>
      <c r="N32" s="403"/>
      <c r="O32" s="403">
        <f t="shared" si="0"/>
        <v>9873.1466022314398</v>
      </c>
      <c r="P32" s="672">
        <f t="shared" si="5"/>
        <v>0.13296602393463952</v>
      </c>
      <c r="Q32" s="671">
        <f t="shared" si="6"/>
        <v>101248.6984475869</v>
      </c>
    </row>
    <row r="33" spans="2:17" x14ac:dyDescent="0.15">
      <c r="B33" s="230" t="s">
        <v>894</v>
      </c>
      <c r="C33" s="698">
        <f>+'All. 12'!C31</f>
        <v>400000</v>
      </c>
      <c r="D33" s="698">
        <f>+'All. 12'!D31</f>
        <v>164000</v>
      </c>
      <c r="E33" s="403">
        <f t="shared" si="1"/>
        <v>564000</v>
      </c>
      <c r="F33" s="670">
        <f>'Tab 0'!$B$48</f>
        <v>0.12</v>
      </c>
      <c r="G33" s="671">
        <f t="shared" si="2"/>
        <v>67680</v>
      </c>
      <c r="I33" s="700">
        <f>+'All. 12'!G31</f>
        <v>646868.82626696944</v>
      </c>
      <c r="J33" s="699">
        <f>+'All. 12'!H31</f>
        <v>114594.1057776594</v>
      </c>
      <c r="K33" s="403">
        <f t="shared" si="3"/>
        <v>761462.93204462877</v>
      </c>
      <c r="L33" s="670">
        <f>'Tab 0'!$B$48</f>
        <v>0.12</v>
      </c>
      <c r="M33" s="403">
        <f t="shared" si="4"/>
        <v>91375.551845355454</v>
      </c>
      <c r="N33" s="403"/>
      <c r="O33" s="403">
        <f t="shared" si="0"/>
        <v>9873.1466022314398</v>
      </c>
      <c r="P33" s="672">
        <f t="shared" si="5"/>
        <v>0.13296602393463952</v>
      </c>
      <c r="Q33" s="671">
        <f t="shared" si="6"/>
        <v>101248.6984475869</v>
      </c>
    </row>
    <row r="34" spans="2:17" x14ac:dyDescent="0.15">
      <c r="B34" s="230" t="s">
        <v>895</v>
      </c>
      <c r="C34" s="698">
        <f>+'All. 12'!C32</f>
        <v>400000</v>
      </c>
      <c r="D34" s="698">
        <f>+'All. 12'!D32</f>
        <v>164000</v>
      </c>
      <c r="E34" s="403">
        <f t="shared" si="1"/>
        <v>564000</v>
      </c>
      <c r="F34" s="670">
        <f>'Tab 0'!$B$48</f>
        <v>0.12</v>
      </c>
      <c r="G34" s="671">
        <f t="shared" si="2"/>
        <v>67680</v>
      </c>
      <c r="I34" s="700">
        <f>+'All. 12'!G32</f>
        <v>646868.82626696944</v>
      </c>
      <c r="J34" s="699">
        <f>+'All. 12'!H32</f>
        <v>114594.1057776594</v>
      </c>
      <c r="K34" s="403">
        <f t="shared" si="3"/>
        <v>761462.93204462877</v>
      </c>
      <c r="L34" s="670">
        <f>'Tab 0'!$B$48</f>
        <v>0.12</v>
      </c>
      <c r="M34" s="403">
        <f t="shared" si="4"/>
        <v>91375.551845355454</v>
      </c>
      <c r="N34" s="403"/>
      <c r="O34" s="403">
        <f t="shared" si="0"/>
        <v>9873.1466022314398</v>
      </c>
      <c r="P34" s="672">
        <f t="shared" si="5"/>
        <v>0.13296602393463952</v>
      </c>
      <c r="Q34" s="671">
        <f t="shared" si="6"/>
        <v>101248.6984475869</v>
      </c>
    </row>
    <row r="35" spans="2:17" x14ac:dyDescent="0.15">
      <c r="B35" s="230" t="s">
        <v>896</v>
      </c>
      <c r="C35" s="698">
        <f>+'All. 12'!C33</f>
        <v>400000</v>
      </c>
      <c r="D35" s="698">
        <f>+'All. 12'!D33</f>
        <v>164000</v>
      </c>
      <c r="E35" s="403">
        <f t="shared" si="1"/>
        <v>564000</v>
      </c>
      <c r="F35" s="670">
        <f>'Tab 0'!$B$48</f>
        <v>0.12</v>
      </c>
      <c r="G35" s="671">
        <f t="shared" si="2"/>
        <v>67680</v>
      </c>
      <c r="I35" s="700">
        <f>+'All. 12'!G33</f>
        <v>646868.82626696944</v>
      </c>
      <c r="J35" s="699">
        <f>+'All. 12'!H33</f>
        <v>114594.1057776594</v>
      </c>
      <c r="K35" s="403">
        <f t="shared" si="3"/>
        <v>761462.93204462877</v>
      </c>
      <c r="L35" s="670">
        <f>'Tab 0'!$B$48</f>
        <v>0.12</v>
      </c>
      <c r="M35" s="403">
        <f t="shared" si="4"/>
        <v>91375.551845355454</v>
      </c>
      <c r="N35" s="403"/>
      <c r="O35" s="403">
        <f t="shared" si="0"/>
        <v>9873.1466022314398</v>
      </c>
      <c r="P35" s="672">
        <f t="shared" si="5"/>
        <v>0.13296602393463952</v>
      </c>
      <c r="Q35" s="671">
        <f t="shared" si="6"/>
        <v>101248.6984475869</v>
      </c>
    </row>
    <row r="36" spans="2:17" x14ac:dyDescent="0.15">
      <c r="B36" s="230" t="s">
        <v>897</v>
      </c>
      <c r="C36" s="698">
        <f>+'All. 12'!C34</f>
        <v>400000</v>
      </c>
      <c r="D36" s="698">
        <f>+'All. 12'!D34</f>
        <v>164000</v>
      </c>
      <c r="E36" s="403">
        <f t="shared" si="1"/>
        <v>564000</v>
      </c>
      <c r="F36" s="670">
        <f>'Tab 0'!$B$48</f>
        <v>0.12</v>
      </c>
      <c r="G36" s="671">
        <f t="shared" si="2"/>
        <v>67680</v>
      </c>
      <c r="I36" s="700">
        <f>+'All. 12'!G34</f>
        <v>646868.82626696944</v>
      </c>
      <c r="J36" s="699">
        <f>+'All. 12'!H34</f>
        <v>114594.1057776594</v>
      </c>
      <c r="K36" s="403">
        <f t="shared" si="3"/>
        <v>761462.93204462877</v>
      </c>
      <c r="L36" s="670">
        <f>'Tab 0'!$B$48</f>
        <v>0.12</v>
      </c>
      <c r="M36" s="403">
        <f t="shared" si="4"/>
        <v>91375.551845355454</v>
      </c>
      <c r="N36" s="403"/>
      <c r="O36" s="403">
        <f t="shared" si="0"/>
        <v>9873.1466022314398</v>
      </c>
      <c r="P36" s="672">
        <f t="shared" si="5"/>
        <v>0.13296602393463952</v>
      </c>
      <c r="Q36" s="671">
        <f t="shared" si="6"/>
        <v>101248.6984475869</v>
      </c>
    </row>
    <row r="37" spans="2:17" x14ac:dyDescent="0.15">
      <c r="B37" s="230" t="s">
        <v>898</v>
      </c>
      <c r="C37" s="698">
        <f>+'All. 12'!C35</f>
        <v>400000</v>
      </c>
      <c r="D37" s="698">
        <f>+'All. 12'!D35</f>
        <v>164000</v>
      </c>
      <c r="E37" s="403">
        <f t="shared" si="1"/>
        <v>564000</v>
      </c>
      <c r="F37" s="670">
        <f>'Tab 0'!$B$48</f>
        <v>0.12</v>
      </c>
      <c r="G37" s="671">
        <f t="shared" si="2"/>
        <v>67680</v>
      </c>
      <c r="I37" s="700">
        <f>+'All. 12'!G35</f>
        <v>646868.82626696944</v>
      </c>
      <c r="J37" s="699">
        <f>+'All. 12'!H35</f>
        <v>114594.1057776594</v>
      </c>
      <c r="K37" s="403">
        <f t="shared" si="3"/>
        <v>761462.93204462877</v>
      </c>
      <c r="L37" s="670">
        <f>'Tab 0'!$B$48</f>
        <v>0.12</v>
      </c>
      <c r="M37" s="403">
        <f t="shared" si="4"/>
        <v>91375.551845355454</v>
      </c>
      <c r="N37" s="403"/>
      <c r="O37" s="403">
        <f t="shared" si="0"/>
        <v>9873.1466022314398</v>
      </c>
      <c r="P37" s="672">
        <f t="shared" si="5"/>
        <v>0.13296602393463952</v>
      </c>
      <c r="Q37" s="671">
        <f t="shared" si="6"/>
        <v>101248.6984475869</v>
      </c>
    </row>
    <row r="38" spans="2:17" x14ac:dyDescent="0.15">
      <c r="B38" s="230" t="s">
        <v>899</v>
      </c>
      <c r="C38" s="698">
        <f>+'All. 12'!C36</f>
        <v>400000</v>
      </c>
      <c r="D38" s="698">
        <f>+'All. 12'!D36</f>
        <v>164000</v>
      </c>
      <c r="E38" s="403">
        <f t="shared" si="1"/>
        <v>564000</v>
      </c>
      <c r="F38" s="670">
        <f>'Tab 0'!$B$48</f>
        <v>0.12</v>
      </c>
      <c r="G38" s="671">
        <f t="shared" si="2"/>
        <v>67680</v>
      </c>
      <c r="I38" s="700">
        <f>+'All. 12'!G36</f>
        <v>646868.82626696944</v>
      </c>
      <c r="J38" s="699">
        <f>+'All. 12'!H36</f>
        <v>114594.1057776594</v>
      </c>
      <c r="K38" s="403">
        <f t="shared" si="3"/>
        <v>761462.93204462877</v>
      </c>
      <c r="L38" s="670">
        <f>'Tab 0'!$B$48</f>
        <v>0.12</v>
      </c>
      <c r="M38" s="403">
        <f t="shared" si="4"/>
        <v>91375.551845355454</v>
      </c>
      <c r="N38" s="403"/>
      <c r="O38" s="403">
        <f t="shared" si="0"/>
        <v>9873.1466022314398</v>
      </c>
      <c r="P38" s="672">
        <f t="shared" si="5"/>
        <v>0.13296602393463952</v>
      </c>
      <c r="Q38" s="671">
        <f t="shared" si="6"/>
        <v>101248.6984475869</v>
      </c>
    </row>
    <row r="39" spans="2:17" x14ac:dyDescent="0.15">
      <c r="B39" s="230" t="s">
        <v>900</v>
      </c>
      <c r="C39" s="698">
        <f>+'All. 12'!C37</f>
        <v>400000</v>
      </c>
      <c r="D39" s="698">
        <f>+'All. 12'!D37</f>
        <v>164000</v>
      </c>
      <c r="E39" s="403">
        <f t="shared" si="1"/>
        <v>564000</v>
      </c>
      <c r="F39" s="670">
        <f>'Tab 0'!$B$48</f>
        <v>0.12</v>
      </c>
      <c r="G39" s="671">
        <f t="shared" si="2"/>
        <v>67680</v>
      </c>
      <c r="I39" s="700">
        <f>+'All. 12'!G37</f>
        <v>646868.82626696944</v>
      </c>
      <c r="J39" s="699">
        <f>+'All. 12'!H37</f>
        <v>114594.1057776594</v>
      </c>
      <c r="K39" s="403">
        <f t="shared" si="3"/>
        <v>761462.93204462877</v>
      </c>
      <c r="L39" s="670">
        <f>'Tab 0'!$B$48</f>
        <v>0.12</v>
      </c>
      <c r="M39" s="403">
        <f t="shared" si="4"/>
        <v>91375.551845355454</v>
      </c>
      <c r="N39" s="403"/>
      <c r="O39" s="403">
        <f t="shared" si="0"/>
        <v>9873.1466022314398</v>
      </c>
      <c r="P39" s="672">
        <f t="shared" si="5"/>
        <v>0.13296602393463952</v>
      </c>
      <c r="Q39" s="671">
        <f t="shared" si="6"/>
        <v>101248.6984475869</v>
      </c>
    </row>
    <row r="40" spans="2:17" x14ac:dyDescent="0.15">
      <c r="B40" s="230" t="s">
        <v>901</v>
      </c>
      <c r="C40" s="698">
        <f>+'All. 12'!C38</f>
        <v>400000</v>
      </c>
      <c r="D40" s="698">
        <f>+'All. 12'!D38</f>
        <v>164000</v>
      </c>
      <c r="E40" s="403">
        <f t="shared" si="1"/>
        <v>564000</v>
      </c>
      <c r="F40" s="670">
        <f>'Tab 0'!$B$48</f>
        <v>0.12</v>
      </c>
      <c r="G40" s="671">
        <f t="shared" si="2"/>
        <v>67680</v>
      </c>
      <c r="I40" s="700">
        <f>+'All. 12'!G38</f>
        <v>646868.82626696944</v>
      </c>
      <c r="J40" s="699">
        <f>+'All. 12'!H38</f>
        <v>114594.1057776594</v>
      </c>
      <c r="K40" s="403">
        <f t="shared" si="3"/>
        <v>761462.93204462877</v>
      </c>
      <c r="L40" s="670">
        <f>'Tab 0'!$B$48</f>
        <v>0.12</v>
      </c>
      <c r="M40" s="403">
        <f t="shared" si="4"/>
        <v>91375.551845355454</v>
      </c>
      <c r="N40" s="403"/>
      <c r="O40" s="403">
        <f t="shared" si="0"/>
        <v>9873.1466022314398</v>
      </c>
      <c r="P40" s="672">
        <f t="shared" si="5"/>
        <v>0.13296602393463952</v>
      </c>
      <c r="Q40" s="671">
        <f t="shared" si="6"/>
        <v>101248.6984475869</v>
      </c>
    </row>
    <row r="41" spans="2:17" x14ac:dyDescent="0.15">
      <c r="B41" s="230" t="s">
        <v>902</v>
      </c>
      <c r="C41" s="698">
        <f>+'All. 12'!C39</f>
        <v>300000</v>
      </c>
      <c r="D41" s="698">
        <f>+'All. 12'!D39</f>
        <v>123000</v>
      </c>
      <c r="E41" s="403">
        <f t="shared" si="1"/>
        <v>423000</v>
      </c>
      <c r="F41" s="670">
        <f>'Tab 0'!$B$48</f>
        <v>0.12</v>
      </c>
      <c r="G41" s="671">
        <f t="shared" si="2"/>
        <v>50760</v>
      </c>
      <c r="I41" s="700">
        <f>+'All. 12'!G39</f>
        <v>485151.61970022705</v>
      </c>
      <c r="J41" s="699">
        <f>+'All. 12'!H39</f>
        <v>85945.579333244546</v>
      </c>
      <c r="K41" s="403">
        <f t="shared" si="3"/>
        <v>571097.19903347164</v>
      </c>
      <c r="L41" s="670">
        <f>'Tab 0'!$B$48</f>
        <v>0.12</v>
      </c>
      <c r="M41" s="403">
        <f t="shared" si="4"/>
        <v>68531.663884016598</v>
      </c>
      <c r="N41" s="403"/>
      <c r="O41" s="403">
        <f t="shared" ref="O41:O72" si="7">IF(AND(E41&gt;0,K41&gt;E41),(K41-E41)*$C$4,0)</f>
        <v>7404.8599516735821</v>
      </c>
      <c r="P41" s="672">
        <f t="shared" si="5"/>
        <v>0.13296602393463952</v>
      </c>
      <c r="Q41" s="671">
        <f t="shared" si="6"/>
        <v>75936.523835690183</v>
      </c>
    </row>
    <row r="42" spans="2:17" x14ac:dyDescent="0.15">
      <c r="B42" s="230" t="s">
        <v>903</v>
      </c>
      <c r="C42" s="698">
        <f>+'All. 12'!C40</f>
        <v>300000</v>
      </c>
      <c r="D42" s="698">
        <f>+'All. 12'!D40</f>
        <v>123000</v>
      </c>
      <c r="E42" s="403">
        <f t="shared" si="1"/>
        <v>423000</v>
      </c>
      <c r="F42" s="670">
        <f>'Tab 0'!$B$48</f>
        <v>0.12</v>
      </c>
      <c r="G42" s="671">
        <f t="shared" si="2"/>
        <v>50760</v>
      </c>
      <c r="I42" s="700">
        <f>+'All. 12'!G40</f>
        <v>485151.61970022705</v>
      </c>
      <c r="J42" s="699">
        <f>+'All. 12'!H40</f>
        <v>85945.579333244546</v>
      </c>
      <c r="K42" s="403">
        <f t="shared" si="3"/>
        <v>571097.19903347164</v>
      </c>
      <c r="L42" s="670">
        <f>'Tab 0'!$B$48</f>
        <v>0.12</v>
      </c>
      <c r="M42" s="403">
        <f t="shared" si="4"/>
        <v>68531.663884016598</v>
      </c>
      <c r="N42" s="403"/>
      <c r="O42" s="403">
        <f t="shared" si="7"/>
        <v>7404.8599516735821</v>
      </c>
      <c r="P42" s="672">
        <f t="shared" si="5"/>
        <v>0.13296602393463952</v>
      </c>
      <c r="Q42" s="671">
        <f t="shared" si="6"/>
        <v>75936.523835690183</v>
      </c>
    </row>
    <row r="43" spans="2:17" x14ac:dyDescent="0.15">
      <c r="B43" s="230" t="s">
        <v>904</v>
      </c>
      <c r="C43" s="698">
        <f>+'All. 12'!C41</f>
        <v>300000</v>
      </c>
      <c r="D43" s="698">
        <f>+'All. 12'!D41</f>
        <v>123000</v>
      </c>
      <c r="E43" s="403">
        <f t="shared" si="1"/>
        <v>423000</v>
      </c>
      <c r="F43" s="670">
        <f>'Tab 0'!$B$48</f>
        <v>0.12</v>
      </c>
      <c r="G43" s="671">
        <f t="shared" si="2"/>
        <v>50760</v>
      </c>
      <c r="I43" s="700">
        <f>+'All. 12'!G41</f>
        <v>485151.61970022705</v>
      </c>
      <c r="J43" s="699">
        <f>+'All. 12'!H41</f>
        <v>85945.579333244546</v>
      </c>
      <c r="K43" s="403">
        <f t="shared" si="3"/>
        <v>571097.19903347164</v>
      </c>
      <c r="L43" s="670">
        <f>'Tab 0'!$B$48</f>
        <v>0.12</v>
      </c>
      <c r="M43" s="403">
        <f t="shared" si="4"/>
        <v>68531.663884016598</v>
      </c>
      <c r="N43" s="403"/>
      <c r="O43" s="403">
        <f t="shared" si="7"/>
        <v>7404.8599516735821</v>
      </c>
      <c r="P43" s="672">
        <f t="shared" si="5"/>
        <v>0.13296602393463952</v>
      </c>
      <c r="Q43" s="671">
        <f t="shared" si="6"/>
        <v>75936.523835690183</v>
      </c>
    </row>
    <row r="44" spans="2:17" x14ac:dyDescent="0.15">
      <c r="B44" s="230" t="s">
        <v>905</v>
      </c>
      <c r="C44" s="698">
        <f>+'All. 12'!C42</f>
        <v>300000</v>
      </c>
      <c r="D44" s="698">
        <f>+'All. 12'!D42</f>
        <v>123000</v>
      </c>
      <c r="E44" s="403">
        <f t="shared" si="1"/>
        <v>423000</v>
      </c>
      <c r="F44" s="670">
        <f>'Tab 0'!$B$48</f>
        <v>0.12</v>
      </c>
      <c r="G44" s="671">
        <f t="shared" si="2"/>
        <v>50760</v>
      </c>
      <c r="I44" s="700">
        <f>+'All. 12'!G42</f>
        <v>485151.61970022705</v>
      </c>
      <c r="J44" s="699">
        <f>+'All. 12'!H42</f>
        <v>85945.579333244546</v>
      </c>
      <c r="K44" s="403">
        <f t="shared" si="3"/>
        <v>571097.19903347164</v>
      </c>
      <c r="L44" s="670">
        <f>'Tab 0'!$B$48</f>
        <v>0.12</v>
      </c>
      <c r="M44" s="403">
        <f t="shared" si="4"/>
        <v>68531.663884016598</v>
      </c>
      <c r="N44" s="403"/>
      <c r="O44" s="403">
        <f t="shared" si="7"/>
        <v>7404.8599516735821</v>
      </c>
      <c r="P44" s="672">
        <f t="shared" si="5"/>
        <v>0.13296602393463952</v>
      </c>
      <c r="Q44" s="671">
        <f t="shared" si="6"/>
        <v>75936.523835690183</v>
      </c>
    </row>
    <row r="45" spans="2:17" x14ac:dyDescent="0.15">
      <c r="B45" s="230" t="s">
        <v>906</v>
      </c>
      <c r="C45" s="698">
        <f>+'All. 12'!C43</f>
        <v>300000</v>
      </c>
      <c r="D45" s="698">
        <f>+'All. 12'!D43</f>
        <v>123000</v>
      </c>
      <c r="E45" s="403">
        <f t="shared" si="1"/>
        <v>423000</v>
      </c>
      <c r="F45" s="670">
        <f>'Tab 0'!$B$48</f>
        <v>0.12</v>
      </c>
      <c r="G45" s="671">
        <f t="shared" si="2"/>
        <v>50760</v>
      </c>
      <c r="I45" s="700">
        <f>+'All. 12'!G43</f>
        <v>485151.61970022705</v>
      </c>
      <c r="J45" s="699">
        <f>+'All. 12'!H43</f>
        <v>85945.579333244546</v>
      </c>
      <c r="K45" s="403">
        <f t="shared" si="3"/>
        <v>571097.19903347164</v>
      </c>
      <c r="L45" s="670">
        <f>'Tab 0'!$B$48</f>
        <v>0.12</v>
      </c>
      <c r="M45" s="403">
        <f t="shared" si="4"/>
        <v>68531.663884016598</v>
      </c>
      <c r="N45" s="403"/>
      <c r="O45" s="403">
        <f t="shared" si="7"/>
        <v>7404.8599516735821</v>
      </c>
      <c r="P45" s="672">
        <f t="shared" si="5"/>
        <v>0.13296602393463952</v>
      </c>
      <c r="Q45" s="671">
        <f t="shared" si="6"/>
        <v>75936.523835690183</v>
      </c>
    </row>
    <row r="46" spans="2:17" x14ac:dyDescent="0.15">
      <c r="B46" s="230" t="s">
        <v>907</v>
      </c>
      <c r="C46" s="698">
        <f>+'All. 12'!C44</f>
        <v>300000</v>
      </c>
      <c r="D46" s="698">
        <f>+'All. 12'!D44</f>
        <v>123000</v>
      </c>
      <c r="E46" s="403">
        <f t="shared" si="1"/>
        <v>423000</v>
      </c>
      <c r="F46" s="670">
        <f>'Tab 0'!$B$48</f>
        <v>0.12</v>
      </c>
      <c r="G46" s="671">
        <f t="shared" si="2"/>
        <v>50760</v>
      </c>
      <c r="I46" s="700">
        <f>+'All. 12'!G44</f>
        <v>485151.61970022705</v>
      </c>
      <c r="J46" s="699">
        <f>+'All. 12'!H44</f>
        <v>85945.579333244546</v>
      </c>
      <c r="K46" s="403">
        <f t="shared" si="3"/>
        <v>571097.19903347164</v>
      </c>
      <c r="L46" s="670">
        <f>'Tab 0'!$B$48</f>
        <v>0.12</v>
      </c>
      <c r="M46" s="403">
        <f t="shared" si="4"/>
        <v>68531.663884016598</v>
      </c>
      <c r="N46" s="403"/>
      <c r="O46" s="403">
        <f t="shared" si="7"/>
        <v>7404.8599516735821</v>
      </c>
      <c r="P46" s="672">
        <f t="shared" si="5"/>
        <v>0.13296602393463952</v>
      </c>
      <c r="Q46" s="671">
        <f t="shared" si="6"/>
        <v>75936.523835690183</v>
      </c>
    </row>
    <row r="47" spans="2:17" x14ac:dyDescent="0.15">
      <c r="B47" s="230" t="s">
        <v>908</v>
      </c>
      <c r="C47" s="698">
        <f>+'All. 12'!C45</f>
        <v>300000</v>
      </c>
      <c r="D47" s="698">
        <f>+'All. 12'!D45</f>
        <v>123000</v>
      </c>
      <c r="E47" s="403">
        <f t="shared" si="1"/>
        <v>423000</v>
      </c>
      <c r="F47" s="670">
        <f>'Tab 0'!$B$48</f>
        <v>0.12</v>
      </c>
      <c r="G47" s="671">
        <f t="shared" si="2"/>
        <v>50760</v>
      </c>
      <c r="I47" s="700">
        <f>+'All. 12'!G45</f>
        <v>485151.61970022705</v>
      </c>
      <c r="J47" s="699">
        <f>+'All. 12'!H45</f>
        <v>85945.579333244546</v>
      </c>
      <c r="K47" s="403">
        <f t="shared" si="3"/>
        <v>571097.19903347164</v>
      </c>
      <c r="L47" s="670">
        <f>'Tab 0'!$B$48</f>
        <v>0.12</v>
      </c>
      <c r="M47" s="403">
        <f t="shared" si="4"/>
        <v>68531.663884016598</v>
      </c>
      <c r="N47" s="403"/>
      <c r="O47" s="403">
        <f t="shared" si="7"/>
        <v>7404.8599516735821</v>
      </c>
      <c r="P47" s="672">
        <f t="shared" si="5"/>
        <v>0.13296602393463952</v>
      </c>
      <c r="Q47" s="671">
        <f t="shared" si="6"/>
        <v>75936.523835690183</v>
      </c>
    </row>
    <row r="48" spans="2:17" x14ac:dyDescent="0.15">
      <c r="B48" s="230" t="s">
        <v>909</v>
      </c>
      <c r="C48" s="698">
        <f>+'All. 12'!C46</f>
        <v>300000</v>
      </c>
      <c r="D48" s="698">
        <f>+'All. 12'!D46</f>
        <v>123000</v>
      </c>
      <c r="E48" s="403">
        <f t="shared" si="1"/>
        <v>423000</v>
      </c>
      <c r="F48" s="670">
        <f>'Tab 0'!$B$48</f>
        <v>0.12</v>
      </c>
      <c r="G48" s="671">
        <f t="shared" si="2"/>
        <v>50760</v>
      </c>
      <c r="I48" s="700">
        <f>+'All. 12'!G46</f>
        <v>485151.61970022705</v>
      </c>
      <c r="J48" s="699">
        <f>+'All. 12'!H46</f>
        <v>85945.579333244546</v>
      </c>
      <c r="K48" s="403">
        <f t="shared" si="3"/>
        <v>571097.19903347164</v>
      </c>
      <c r="L48" s="670">
        <f>'Tab 0'!$B$48</f>
        <v>0.12</v>
      </c>
      <c r="M48" s="403">
        <f t="shared" si="4"/>
        <v>68531.663884016598</v>
      </c>
      <c r="N48" s="403"/>
      <c r="O48" s="403">
        <f t="shared" si="7"/>
        <v>7404.8599516735821</v>
      </c>
      <c r="P48" s="672">
        <f t="shared" si="5"/>
        <v>0.13296602393463952</v>
      </c>
      <c r="Q48" s="671">
        <f t="shared" si="6"/>
        <v>75936.523835690183</v>
      </c>
    </row>
    <row r="49" spans="2:17" x14ac:dyDescent="0.15">
      <c r="B49" s="230" t="s">
        <v>910</v>
      </c>
      <c r="C49" s="698">
        <f>+'All. 12'!C47</f>
        <v>300000</v>
      </c>
      <c r="D49" s="698">
        <f>+'All. 12'!D47</f>
        <v>123000</v>
      </c>
      <c r="E49" s="403">
        <f t="shared" si="1"/>
        <v>423000</v>
      </c>
      <c r="F49" s="670">
        <f>'Tab 0'!$B$48</f>
        <v>0.12</v>
      </c>
      <c r="G49" s="671">
        <f t="shared" si="2"/>
        <v>50760</v>
      </c>
      <c r="I49" s="700">
        <f>+'All. 12'!G47</f>
        <v>485151.61970022705</v>
      </c>
      <c r="J49" s="699">
        <f>+'All. 12'!H47</f>
        <v>85945.579333244546</v>
      </c>
      <c r="K49" s="403">
        <f t="shared" si="3"/>
        <v>571097.19903347164</v>
      </c>
      <c r="L49" s="670">
        <f>'Tab 0'!$B$48</f>
        <v>0.12</v>
      </c>
      <c r="M49" s="403">
        <f t="shared" si="4"/>
        <v>68531.663884016598</v>
      </c>
      <c r="N49" s="403"/>
      <c r="O49" s="403">
        <f t="shared" si="7"/>
        <v>7404.8599516735821</v>
      </c>
      <c r="P49" s="672">
        <f t="shared" si="5"/>
        <v>0.13296602393463952</v>
      </c>
      <c r="Q49" s="671">
        <f t="shared" si="6"/>
        <v>75936.523835690183</v>
      </c>
    </row>
    <row r="50" spans="2:17" x14ac:dyDescent="0.15">
      <c r="B50" s="230" t="s">
        <v>911</v>
      </c>
      <c r="C50" s="698">
        <f>+'All. 12'!C48</f>
        <v>300000</v>
      </c>
      <c r="D50" s="698">
        <f>+'All. 12'!D48</f>
        <v>123000</v>
      </c>
      <c r="E50" s="403">
        <f t="shared" si="1"/>
        <v>423000</v>
      </c>
      <c r="F50" s="670">
        <f>'Tab 0'!$B$48</f>
        <v>0.12</v>
      </c>
      <c r="G50" s="671">
        <f t="shared" si="2"/>
        <v>50760</v>
      </c>
      <c r="I50" s="700">
        <f>+'All. 12'!G48</f>
        <v>485151.61970022705</v>
      </c>
      <c r="J50" s="699">
        <f>+'All. 12'!H48</f>
        <v>85945.579333244546</v>
      </c>
      <c r="K50" s="403">
        <f t="shared" si="3"/>
        <v>571097.19903347164</v>
      </c>
      <c r="L50" s="670">
        <f>'Tab 0'!$B$48</f>
        <v>0.12</v>
      </c>
      <c r="M50" s="403">
        <f t="shared" si="4"/>
        <v>68531.663884016598</v>
      </c>
      <c r="N50" s="403"/>
      <c r="O50" s="403">
        <f t="shared" si="7"/>
        <v>7404.8599516735821</v>
      </c>
      <c r="P50" s="672">
        <f t="shared" si="5"/>
        <v>0.13296602393463952</v>
      </c>
      <c r="Q50" s="671">
        <f t="shared" si="6"/>
        <v>75936.523835690183</v>
      </c>
    </row>
    <row r="51" spans="2:17" x14ac:dyDescent="0.15">
      <c r="B51" s="230" t="s">
        <v>912</v>
      </c>
      <c r="C51" s="698">
        <f>+'All. 12'!C49</f>
        <v>300000</v>
      </c>
      <c r="D51" s="698">
        <f>+'All. 12'!D49</f>
        <v>123000</v>
      </c>
      <c r="E51" s="403">
        <f t="shared" si="1"/>
        <v>423000</v>
      </c>
      <c r="F51" s="670">
        <f>'Tab 0'!$B$48</f>
        <v>0.12</v>
      </c>
      <c r="G51" s="671">
        <f t="shared" si="2"/>
        <v>50760</v>
      </c>
      <c r="I51" s="700">
        <f>+'All. 12'!G49</f>
        <v>485151.61970022705</v>
      </c>
      <c r="J51" s="699">
        <f>+'All. 12'!H49</f>
        <v>85945.579333244546</v>
      </c>
      <c r="K51" s="403">
        <f t="shared" si="3"/>
        <v>571097.19903347164</v>
      </c>
      <c r="L51" s="670">
        <f>'Tab 0'!$B$48</f>
        <v>0.12</v>
      </c>
      <c r="M51" s="403">
        <f t="shared" si="4"/>
        <v>68531.663884016598</v>
      </c>
      <c r="N51" s="403"/>
      <c r="O51" s="403">
        <f t="shared" si="7"/>
        <v>7404.8599516735821</v>
      </c>
      <c r="P51" s="672">
        <f t="shared" si="5"/>
        <v>0.13296602393463952</v>
      </c>
      <c r="Q51" s="671">
        <f t="shared" si="6"/>
        <v>75936.523835690183</v>
      </c>
    </row>
    <row r="52" spans="2:17" x14ac:dyDescent="0.15">
      <c r="B52" s="230" t="s">
        <v>913</v>
      </c>
      <c r="C52" s="698">
        <f>+'All. 12'!C50</f>
        <v>300000</v>
      </c>
      <c r="D52" s="698">
        <f>+'All. 12'!D50</f>
        <v>123000</v>
      </c>
      <c r="E52" s="403">
        <f t="shared" si="1"/>
        <v>423000</v>
      </c>
      <c r="F52" s="670">
        <f>'Tab 0'!$B$48</f>
        <v>0.12</v>
      </c>
      <c r="G52" s="671">
        <f t="shared" si="2"/>
        <v>50760</v>
      </c>
      <c r="I52" s="700">
        <f>+'All. 12'!G50</f>
        <v>485151.61970022705</v>
      </c>
      <c r="J52" s="699">
        <f>+'All. 12'!H50</f>
        <v>85945.579333244546</v>
      </c>
      <c r="K52" s="403">
        <f t="shared" si="3"/>
        <v>571097.19903347164</v>
      </c>
      <c r="L52" s="670">
        <f>'Tab 0'!$B$48</f>
        <v>0.12</v>
      </c>
      <c r="M52" s="403">
        <f t="shared" si="4"/>
        <v>68531.663884016598</v>
      </c>
      <c r="N52" s="403"/>
      <c r="O52" s="403">
        <f t="shared" si="7"/>
        <v>7404.8599516735821</v>
      </c>
      <c r="P52" s="672">
        <f t="shared" si="5"/>
        <v>0.13296602393463952</v>
      </c>
      <c r="Q52" s="671">
        <f t="shared" si="6"/>
        <v>75936.523835690183</v>
      </c>
    </row>
    <row r="53" spans="2:17" x14ac:dyDescent="0.15">
      <c r="B53" s="230" t="s">
        <v>914</v>
      </c>
      <c r="C53" s="698">
        <f>+'All. 12'!C51</f>
        <v>300000</v>
      </c>
      <c r="D53" s="698">
        <f>+'All. 12'!D51</f>
        <v>123000</v>
      </c>
      <c r="E53" s="403">
        <f t="shared" si="1"/>
        <v>423000</v>
      </c>
      <c r="F53" s="670">
        <f>'Tab 0'!$B$48</f>
        <v>0.12</v>
      </c>
      <c r="G53" s="671">
        <f t="shared" si="2"/>
        <v>50760</v>
      </c>
      <c r="I53" s="700">
        <f>+'All. 12'!G51</f>
        <v>485151.61970022705</v>
      </c>
      <c r="J53" s="699">
        <f>+'All. 12'!H51</f>
        <v>85945.579333244546</v>
      </c>
      <c r="K53" s="403">
        <f t="shared" si="3"/>
        <v>571097.19903347164</v>
      </c>
      <c r="L53" s="670">
        <f>'Tab 0'!$B$48</f>
        <v>0.12</v>
      </c>
      <c r="M53" s="403">
        <f t="shared" si="4"/>
        <v>68531.663884016598</v>
      </c>
      <c r="N53" s="403"/>
      <c r="O53" s="403">
        <f t="shared" si="7"/>
        <v>7404.8599516735821</v>
      </c>
      <c r="P53" s="672">
        <f t="shared" si="5"/>
        <v>0.13296602393463952</v>
      </c>
      <c r="Q53" s="671">
        <f t="shared" si="6"/>
        <v>75936.523835690183</v>
      </c>
    </row>
    <row r="54" spans="2:17" x14ac:dyDescent="0.15">
      <c r="B54" s="230" t="s">
        <v>915</v>
      </c>
      <c r="C54" s="698">
        <f>+'All. 12'!C52</f>
        <v>300000</v>
      </c>
      <c r="D54" s="698">
        <f>+'All. 12'!D52</f>
        <v>123000</v>
      </c>
      <c r="E54" s="403">
        <f t="shared" si="1"/>
        <v>423000</v>
      </c>
      <c r="F54" s="670">
        <f>'Tab 0'!$B$48</f>
        <v>0.12</v>
      </c>
      <c r="G54" s="671">
        <f t="shared" si="2"/>
        <v>50760</v>
      </c>
      <c r="I54" s="700">
        <f>+'All. 12'!G52</f>
        <v>485151.61970022705</v>
      </c>
      <c r="J54" s="699">
        <f>+'All. 12'!H52</f>
        <v>85945.579333244546</v>
      </c>
      <c r="K54" s="403">
        <f t="shared" si="3"/>
        <v>571097.19903347164</v>
      </c>
      <c r="L54" s="670">
        <f>'Tab 0'!$B$48</f>
        <v>0.12</v>
      </c>
      <c r="M54" s="403">
        <f t="shared" si="4"/>
        <v>68531.663884016598</v>
      </c>
      <c r="N54" s="403"/>
      <c r="O54" s="403">
        <f t="shared" si="7"/>
        <v>7404.8599516735821</v>
      </c>
      <c r="P54" s="672">
        <f t="shared" si="5"/>
        <v>0.13296602393463952</v>
      </c>
      <c r="Q54" s="671">
        <f t="shared" si="6"/>
        <v>75936.523835690183</v>
      </c>
    </row>
    <row r="55" spans="2:17" x14ac:dyDescent="0.15">
      <c r="B55" s="230" t="s">
        <v>916</v>
      </c>
      <c r="C55" s="698">
        <f>+'All. 12'!C53</f>
        <v>293820</v>
      </c>
      <c r="D55" s="698">
        <f>+'All. 12'!D53</f>
        <v>78180</v>
      </c>
      <c r="E55" s="403">
        <f t="shared" si="1"/>
        <v>372000</v>
      </c>
      <c r="F55" s="670">
        <f>'Tab 0'!$B$48</f>
        <v>0.12</v>
      </c>
      <c r="G55" s="671">
        <f t="shared" si="2"/>
        <v>44640</v>
      </c>
      <c r="I55" s="700">
        <f>+'All. 12'!G53</f>
        <v>475157.49633440241</v>
      </c>
      <c r="J55" s="699">
        <f>+'All. 12'!H53</f>
        <v>54627.848717667148</v>
      </c>
      <c r="K55" s="403">
        <f t="shared" si="3"/>
        <v>529785.34505206952</v>
      </c>
      <c r="L55" s="670">
        <f>'Tab 0'!$B$48</f>
        <v>0.12</v>
      </c>
      <c r="M55" s="403">
        <f t="shared" si="4"/>
        <v>63574.241406248337</v>
      </c>
      <c r="N55" s="403"/>
      <c r="O55" s="403">
        <f t="shared" si="7"/>
        <v>7889.2672526034767</v>
      </c>
      <c r="P55" s="672">
        <f t="shared" si="5"/>
        <v>0.13489144108323359</v>
      </c>
      <c r="Q55" s="671">
        <f t="shared" si="6"/>
        <v>71463.508658851817</v>
      </c>
    </row>
    <row r="56" spans="2:17" x14ac:dyDescent="0.15">
      <c r="B56" s="230" t="s">
        <v>917</v>
      </c>
      <c r="C56" s="698">
        <f>+'All. 12'!C54</f>
        <v>200000</v>
      </c>
      <c r="D56" s="698">
        <f>+'All. 12'!D54</f>
        <v>82000</v>
      </c>
      <c r="E56" s="403">
        <f t="shared" si="1"/>
        <v>282000</v>
      </c>
      <c r="F56" s="670">
        <f>'Tab 0'!$B$48</f>
        <v>0.12</v>
      </c>
      <c r="G56" s="671">
        <f t="shared" si="2"/>
        <v>33840</v>
      </c>
      <c r="I56" s="700">
        <f>+'All. 12'!G54</f>
        <v>323434.41313348472</v>
      </c>
      <c r="J56" s="699">
        <f>+'All. 12'!H54</f>
        <v>57297.052888829698</v>
      </c>
      <c r="K56" s="403">
        <f t="shared" si="3"/>
        <v>380731.46602231439</v>
      </c>
      <c r="L56" s="670">
        <f>'Tab 0'!$B$48</f>
        <v>0.12</v>
      </c>
      <c r="M56" s="403">
        <f t="shared" si="4"/>
        <v>45687.775922677727</v>
      </c>
      <c r="N56" s="403"/>
      <c r="O56" s="403">
        <f t="shared" si="7"/>
        <v>4936.5733011157199</v>
      </c>
      <c r="P56" s="672">
        <f t="shared" si="5"/>
        <v>0.13296602393463952</v>
      </c>
      <c r="Q56" s="671">
        <f t="shared" si="6"/>
        <v>50624.349223793448</v>
      </c>
    </row>
    <row r="57" spans="2:17" x14ac:dyDescent="0.15">
      <c r="B57" s="230" t="s">
        <v>918</v>
      </c>
      <c r="C57" s="698">
        <f>+'All. 12'!C55</f>
        <v>200000</v>
      </c>
      <c r="D57" s="698">
        <f>+'All. 12'!D55</f>
        <v>82000</v>
      </c>
      <c r="E57" s="403">
        <f t="shared" si="1"/>
        <v>282000</v>
      </c>
      <c r="F57" s="670">
        <f>'Tab 0'!$B$48</f>
        <v>0.12</v>
      </c>
      <c r="G57" s="671">
        <f t="shared" si="2"/>
        <v>33840</v>
      </c>
      <c r="I57" s="700">
        <f>+'All. 12'!G55</f>
        <v>323434.41313348472</v>
      </c>
      <c r="J57" s="699">
        <f>+'All. 12'!H55</f>
        <v>57297.052888829698</v>
      </c>
      <c r="K57" s="403">
        <f t="shared" si="3"/>
        <v>380731.46602231439</v>
      </c>
      <c r="L57" s="670">
        <f>'Tab 0'!$B$48</f>
        <v>0.12</v>
      </c>
      <c r="M57" s="403">
        <f t="shared" si="4"/>
        <v>45687.775922677727</v>
      </c>
      <c r="N57" s="403"/>
      <c r="O57" s="403">
        <f t="shared" si="7"/>
        <v>4936.5733011157199</v>
      </c>
      <c r="P57" s="672">
        <f t="shared" si="5"/>
        <v>0.13296602393463952</v>
      </c>
      <c r="Q57" s="671">
        <f t="shared" si="6"/>
        <v>50624.349223793448</v>
      </c>
    </row>
    <row r="58" spans="2:17" x14ac:dyDescent="0.15">
      <c r="B58" s="230" t="s">
        <v>919</v>
      </c>
      <c r="C58" s="698">
        <f>+'All. 12'!C56</f>
        <v>200000</v>
      </c>
      <c r="D58" s="698">
        <f>+'All. 12'!D56</f>
        <v>82000</v>
      </c>
      <c r="E58" s="403">
        <f t="shared" si="1"/>
        <v>282000</v>
      </c>
      <c r="F58" s="670">
        <f>'Tab 0'!$B$48</f>
        <v>0.12</v>
      </c>
      <c r="G58" s="671">
        <f t="shared" si="2"/>
        <v>33840</v>
      </c>
      <c r="I58" s="700">
        <f>+'All. 12'!G56</f>
        <v>323434.41313348472</v>
      </c>
      <c r="J58" s="699">
        <f>+'All. 12'!H56</f>
        <v>57297.052888829698</v>
      </c>
      <c r="K58" s="403">
        <f t="shared" si="3"/>
        <v>380731.46602231439</v>
      </c>
      <c r="L58" s="670">
        <f>'Tab 0'!$B$48</f>
        <v>0.12</v>
      </c>
      <c r="M58" s="403">
        <f t="shared" si="4"/>
        <v>45687.775922677727</v>
      </c>
      <c r="N58" s="403"/>
      <c r="O58" s="403">
        <f t="shared" si="7"/>
        <v>4936.5733011157199</v>
      </c>
      <c r="P58" s="672">
        <f t="shared" si="5"/>
        <v>0.13296602393463952</v>
      </c>
      <c r="Q58" s="671">
        <f t="shared" si="6"/>
        <v>50624.349223793448</v>
      </c>
    </row>
    <row r="59" spans="2:17" x14ac:dyDescent="0.15">
      <c r="B59" s="230" t="s">
        <v>920</v>
      </c>
      <c r="C59" s="698">
        <f>+'All. 12'!C57</f>
        <v>200000</v>
      </c>
      <c r="D59" s="698">
        <f>+'All. 12'!D57</f>
        <v>82000</v>
      </c>
      <c r="E59" s="403">
        <f t="shared" si="1"/>
        <v>282000</v>
      </c>
      <c r="F59" s="670">
        <f>'Tab 0'!$B$48</f>
        <v>0.12</v>
      </c>
      <c r="G59" s="671">
        <f t="shared" si="2"/>
        <v>33840</v>
      </c>
      <c r="I59" s="700">
        <f>+'All. 12'!G57</f>
        <v>323434.41313348472</v>
      </c>
      <c r="J59" s="699">
        <f>+'All. 12'!H57</f>
        <v>57297.052888829698</v>
      </c>
      <c r="K59" s="403">
        <f t="shared" si="3"/>
        <v>380731.46602231439</v>
      </c>
      <c r="L59" s="670">
        <f>'Tab 0'!$B$48</f>
        <v>0.12</v>
      </c>
      <c r="M59" s="403">
        <f t="shared" si="4"/>
        <v>45687.775922677727</v>
      </c>
      <c r="N59" s="403"/>
      <c r="O59" s="403">
        <f t="shared" si="7"/>
        <v>4936.5733011157199</v>
      </c>
      <c r="P59" s="672">
        <f t="shared" si="5"/>
        <v>0.13296602393463952</v>
      </c>
      <c r="Q59" s="671">
        <f t="shared" si="6"/>
        <v>50624.349223793448</v>
      </c>
    </row>
    <row r="60" spans="2:17" x14ac:dyDescent="0.15">
      <c r="B60" s="230" t="s">
        <v>921</v>
      </c>
      <c r="C60" s="698">
        <f>+'All. 12'!C58</f>
        <v>200000</v>
      </c>
      <c r="D60" s="698">
        <f>+'All. 12'!D58</f>
        <v>82000</v>
      </c>
      <c r="E60" s="403">
        <f t="shared" si="1"/>
        <v>282000</v>
      </c>
      <c r="F60" s="670">
        <f>'Tab 0'!$B$48</f>
        <v>0.12</v>
      </c>
      <c r="G60" s="671">
        <f t="shared" si="2"/>
        <v>33840</v>
      </c>
      <c r="I60" s="700">
        <f>+'All. 12'!G58</f>
        <v>323434.41313348472</v>
      </c>
      <c r="J60" s="699">
        <f>+'All. 12'!H58</f>
        <v>57297.052888829698</v>
      </c>
      <c r="K60" s="403">
        <f t="shared" si="3"/>
        <v>380731.46602231439</v>
      </c>
      <c r="L60" s="670">
        <f>'Tab 0'!$B$48</f>
        <v>0.12</v>
      </c>
      <c r="M60" s="403">
        <f t="shared" si="4"/>
        <v>45687.775922677727</v>
      </c>
      <c r="N60" s="403"/>
      <c r="O60" s="403">
        <f t="shared" si="7"/>
        <v>4936.5733011157199</v>
      </c>
      <c r="P60" s="672">
        <f t="shared" si="5"/>
        <v>0.13296602393463952</v>
      </c>
      <c r="Q60" s="671">
        <f t="shared" si="6"/>
        <v>50624.349223793448</v>
      </c>
    </row>
    <row r="61" spans="2:17" x14ac:dyDescent="0.15">
      <c r="B61" s="230" t="s">
        <v>922</v>
      </c>
      <c r="C61" s="698">
        <f>+'All. 12'!C59</f>
        <v>200000</v>
      </c>
      <c r="D61" s="698">
        <f>+'All. 12'!D59</f>
        <v>82000</v>
      </c>
      <c r="E61" s="403">
        <f t="shared" si="1"/>
        <v>282000</v>
      </c>
      <c r="F61" s="670">
        <f>'Tab 0'!$B$48</f>
        <v>0.12</v>
      </c>
      <c r="G61" s="671">
        <f t="shared" si="2"/>
        <v>33840</v>
      </c>
      <c r="I61" s="700">
        <f>+'All. 12'!G59</f>
        <v>323434.41313348472</v>
      </c>
      <c r="J61" s="699">
        <f>+'All. 12'!H59</f>
        <v>57297.052888829698</v>
      </c>
      <c r="K61" s="403">
        <f t="shared" si="3"/>
        <v>380731.46602231439</v>
      </c>
      <c r="L61" s="670">
        <f>'Tab 0'!$B$48</f>
        <v>0.12</v>
      </c>
      <c r="M61" s="403">
        <f t="shared" si="4"/>
        <v>45687.775922677727</v>
      </c>
      <c r="N61" s="403"/>
      <c r="O61" s="403">
        <f t="shared" si="7"/>
        <v>4936.5733011157199</v>
      </c>
      <c r="P61" s="672">
        <f t="shared" si="5"/>
        <v>0.13296602393463952</v>
      </c>
      <c r="Q61" s="671">
        <f t="shared" si="6"/>
        <v>50624.349223793448</v>
      </c>
    </row>
    <row r="62" spans="2:17" x14ac:dyDescent="0.15">
      <c r="B62" s="230" t="s">
        <v>923</v>
      </c>
      <c r="C62" s="698">
        <f>+'All. 12'!C60</f>
        <v>200000</v>
      </c>
      <c r="D62" s="698">
        <f>+'All. 12'!D60</f>
        <v>82000</v>
      </c>
      <c r="E62" s="403">
        <f t="shared" si="1"/>
        <v>282000</v>
      </c>
      <c r="F62" s="670">
        <f>'Tab 0'!$B$48</f>
        <v>0.12</v>
      </c>
      <c r="G62" s="671">
        <f t="shared" si="2"/>
        <v>33840</v>
      </c>
      <c r="I62" s="700">
        <f>+'All. 12'!G60</f>
        <v>323434.41313348472</v>
      </c>
      <c r="J62" s="699">
        <f>+'All. 12'!H60</f>
        <v>57297.052888829698</v>
      </c>
      <c r="K62" s="403">
        <f t="shared" si="3"/>
        <v>380731.46602231439</v>
      </c>
      <c r="L62" s="670">
        <f>'Tab 0'!$B$48</f>
        <v>0.12</v>
      </c>
      <c r="M62" s="403">
        <f t="shared" si="4"/>
        <v>45687.775922677727</v>
      </c>
      <c r="N62" s="403"/>
      <c r="O62" s="403">
        <f t="shared" si="7"/>
        <v>4936.5733011157199</v>
      </c>
      <c r="P62" s="672">
        <f t="shared" si="5"/>
        <v>0.13296602393463952</v>
      </c>
      <c r="Q62" s="671">
        <f t="shared" si="6"/>
        <v>50624.349223793448</v>
      </c>
    </row>
    <row r="63" spans="2:17" x14ac:dyDescent="0.15">
      <c r="B63" s="230" t="s">
        <v>924</v>
      </c>
      <c r="C63" s="698">
        <f>+'All. 12'!C61</f>
        <v>200000</v>
      </c>
      <c r="D63" s="698">
        <f>+'All. 12'!D61</f>
        <v>82000</v>
      </c>
      <c r="E63" s="403">
        <f t="shared" si="1"/>
        <v>282000</v>
      </c>
      <c r="F63" s="670">
        <f>'Tab 0'!$B$48</f>
        <v>0.12</v>
      </c>
      <c r="G63" s="671">
        <f t="shared" si="2"/>
        <v>33840</v>
      </c>
      <c r="I63" s="700">
        <f>+'All. 12'!G61</f>
        <v>323434.41313348472</v>
      </c>
      <c r="J63" s="699">
        <f>+'All. 12'!H61</f>
        <v>57297.052888829698</v>
      </c>
      <c r="K63" s="403">
        <f t="shared" si="3"/>
        <v>380731.46602231439</v>
      </c>
      <c r="L63" s="670">
        <f>'Tab 0'!$B$48</f>
        <v>0.12</v>
      </c>
      <c r="M63" s="403">
        <f t="shared" si="4"/>
        <v>45687.775922677727</v>
      </c>
      <c r="N63" s="403"/>
      <c r="O63" s="403">
        <f t="shared" si="7"/>
        <v>4936.5733011157199</v>
      </c>
      <c r="P63" s="672">
        <f t="shared" si="5"/>
        <v>0.13296602393463952</v>
      </c>
      <c r="Q63" s="671">
        <f t="shared" si="6"/>
        <v>50624.349223793448</v>
      </c>
    </row>
    <row r="64" spans="2:17" x14ac:dyDescent="0.15">
      <c r="B64" s="230" t="s">
        <v>925</v>
      </c>
      <c r="C64" s="698">
        <f>+'All. 12'!C62</f>
        <v>200000</v>
      </c>
      <c r="D64" s="698">
        <f>+'All. 12'!D62</f>
        <v>82000</v>
      </c>
      <c r="E64" s="403">
        <f t="shared" si="1"/>
        <v>282000</v>
      </c>
      <c r="F64" s="670">
        <f>'Tab 0'!$B$48</f>
        <v>0.12</v>
      </c>
      <c r="G64" s="671">
        <f t="shared" si="2"/>
        <v>33840</v>
      </c>
      <c r="I64" s="700">
        <f>+'All. 12'!G62</f>
        <v>323434.41313348472</v>
      </c>
      <c r="J64" s="699">
        <f>+'All. 12'!H62</f>
        <v>57297.052888829698</v>
      </c>
      <c r="K64" s="403">
        <f t="shared" si="3"/>
        <v>380731.46602231439</v>
      </c>
      <c r="L64" s="670">
        <f>'Tab 0'!$B$48</f>
        <v>0.12</v>
      </c>
      <c r="M64" s="403">
        <f t="shared" si="4"/>
        <v>45687.775922677727</v>
      </c>
      <c r="N64" s="403"/>
      <c r="O64" s="403">
        <f t="shared" si="7"/>
        <v>4936.5733011157199</v>
      </c>
      <c r="P64" s="672">
        <f t="shared" si="5"/>
        <v>0.13296602393463952</v>
      </c>
      <c r="Q64" s="671">
        <f t="shared" si="6"/>
        <v>50624.349223793448</v>
      </c>
    </row>
    <row r="65" spans="2:17" x14ac:dyDescent="0.15">
      <c r="B65" s="230" t="s">
        <v>926</v>
      </c>
      <c r="C65" s="698">
        <f>+'All. 12'!C63</f>
        <v>200000</v>
      </c>
      <c r="D65" s="698">
        <f>+'All. 12'!D63</f>
        <v>82000</v>
      </c>
      <c r="E65" s="403">
        <f t="shared" si="1"/>
        <v>282000</v>
      </c>
      <c r="F65" s="670">
        <f>'Tab 0'!$B$48</f>
        <v>0.12</v>
      </c>
      <c r="G65" s="671">
        <f t="shared" si="2"/>
        <v>33840</v>
      </c>
      <c r="I65" s="700">
        <f>+'All. 12'!G63</f>
        <v>323434.41313348472</v>
      </c>
      <c r="J65" s="699">
        <f>+'All. 12'!H63</f>
        <v>57297.052888829698</v>
      </c>
      <c r="K65" s="403">
        <f t="shared" si="3"/>
        <v>380731.46602231439</v>
      </c>
      <c r="L65" s="670">
        <f>'Tab 0'!$B$48</f>
        <v>0.12</v>
      </c>
      <c r="M65" s="403">
        <f t="shared" si="4"/>
        <v>45687.775922677727</v>
      </c>
      <c r="N65" s="403"/>
      <c r="O65" s="403">
        <f t="shared" si="7"/>
        <v>4936.5733011157199</v>
      </c>
      <c r="P65" s="672">
        <f t="shared" si="5"/>
        <v>0.13296602393463952</v>
      </c>
      <c r="Q65" s="671">
        <f t="shared" si="6"/>
        <v>50624.349223793448</v>
      </c>
    </row>
    <row r="66" spans="2:17" x14ac:dyDescent="0.15">
      <c r="B66" s="230" t="s">
        <v>927</v>
      </c>
      <c r="C66" s="698">
        <f>+'All. 12'!C64</f>
        <v>200000</v>
      </c>
      <c r="D66" s="698">
        <f>+'All. 12'!D64</f>
        <v>82000</v>
      </c>
      <c r="E66" s="403">
        <f t="shared" si="1"/>
        <v>282000</v>
      </c>
      <c r="F66" s="670">
        <f>'Tab 0'!$B$48</f>
        <v>0.12</v>
      </c>
      <c r="G66" s="671">
        <f t="shared" si="2"/>
        <v>33840</v>
      </c>
      <c r="I66" s="700">
        <f>+'All. 12'!G64</f>
        <v>323434.41313348472</v>
      </c>
      <c r="J66" s="699">
        <f>+'All. 12'!H64</f>
        <v>57297.052888829698</v>
      </c>
      <c r="K66" s="403">
        <f t="shared" si="3"/>
        <v>380731.46602231439</v>
      </c>
      <c r="L66" s="670">
        <f>'Tab 0'!$B$48</f>
        <v>0.12</v>
      </c>
      <c r="M66" s="403">
        <f t="shared" si="4"/>
        <v>45687.775922677727</v>
      </c>
      <c r="N66" s="403"/>
      <c r="O66" s="403">
        <f t="shared" si="7"/>
        <v>4936.5733011157199</v>
      </c>
      <c r="P66" s="672">
        <f t="shared" si="5"/>
        <v>0.13296602393463952</v>
      </c>
      <c r="Q66" s="671">
        <f t="shared" si="6"/>
        <v>50624.349223793448</v>
      </c>
    </row>
    <row r="67" spans="2:17" x14ac:dyDescent="0.15">
      <c r="B67" s="230" t="s">
        <v>928</v>
      </c>
      <c r="C67" s="698">
        <f>+'All. 12'!C65</f>
        <v>200000</v>
      </c>
      <c r="D67" s="698">
        <f>+'All. 12'!D65</f>
        <v>82000</v>
      </c>
      <c r="E67" s="403">
        <f t="shared" si="1"/>
        <v>282000</v>
      </c>
      <c r="F67" s="670">
        <f>'Tab 0'!$B$48</f>
        <v>0.12</v>
      </c>
      <c r="G67" s="671">
        <f t="shared" si="2"/>
        <v>33840</v>
      </c>
      <c r="I67" s="700">
        <f>+'All. 12'!G65</f>
        <v>323434.41313348472</v>
      </c>
      <c r="J67" s="699">
        <f>+'All. 12'!H65</f>
        <v>57297.052888829698</v>
      </c>
      <c r="K67" s="403">
        <f t="shared" si="3"/>
        <v>380731.46602231439</v>
      </c>
      <c r="L67" s="670">
        <f>'Tab 0'!$B$48</f>
        <v>0.12</v>
      </c>
      <c r="M67" s="403">
        <f t="shared" si="4"/>
        <v>45687.775922677727</v>
      </c>
      <c r="N67" s="403"/>
      <c r="O67" s="403">
        <f t="shared" si="7"/>
        <v>4936.5733011157199</v>
      </c>
      <c r="P67" s="672">
        <f t="shared" si="5"/>
        <v>0.13296602393463952</v>
      </c>
      <c r="Q67" s="671">
        <f t="shared" si="6"/>
        <v>50624.349223793448</v>
      </c>
    </row>
    <row r="68" spans="2:17" x14ac:dyDescent="0.15">
      <c r="B68" s="230" t="s">
        <v>929</v>
      </c>
      <c r="C68" s="698">
        <f>+'All. 12'!C66</f>
        <v>200000</v>
      </c>
      <c r="D68" s="698">
        <f>+'All. 12'!D66</f>
        <v>82000</v>
      </c>
      <c r="E68" s="403">
        <f t="shared" si="1"/>
        <v>282000</v>
      </c>
      <c r="F68" s="670">
        <f>'Tab 0'!$B$48</f>
        <v>0.12</v>
      </c>
      <c r="G68" s="671">
        <f t="shared" si="2"/>
        <v>33840</v>
      </c>
      <c r="I68" s="700">
        <f>+'All. 12'!G66</f>
        <v>323434.41313348472</v>
      </c>
      <c r="J68" s="699">
        <f>+'All. 12'!H66</f>
        <v>57297.052888829698</v>
      </c>
      <c r="K68" s="403">
        <f t="shared" si="3"/>
        <v>380731.46602231439</v>
      </c>
      <c r="L68" s="670">
        <f>'Tab 0'!$B$48</f>
        <v>0.12</v>
      </c>
      <c r="M68" s="403">
        <f t="shared" si="4"/>
        <v>45687.775922677727</v>
      </c>
      <c r="N68" s="403"/>
      <c r="O68" s="403">
        <f t="shared" si="7"/>
        <v>4936.5733011157199</v>
      </c>
      <c r="P68" s="672">
        <f t="shared" si="5"/>
        <v>0.13296602393463952</v>
      </c>
      <c r="Q68" s="671">
        <f t="shared" si="6"/>
        <v>50624.349223793448</v>
      </c>
    </row>
    <row r="69" spans="2:17" x14ac:dyDescent="0.15">
      <c r="B69" s="230" t="s">
        <v>930</v>
      </c>
      <c r="C69" s="698">
        <f>+'All. 12'!C67</f>
        <v>200000</v>
      </c>
      <c r="D69" s="698">
        <f>+'All. 12'!D67</f>
        <v>82000</v>
      </c>
      <c r="E69" s="403">
        <f t="shared" si="1"/>
        <v>282000</v>
      </c>
      <c r="F69" s="670">
        <f>'Tab 0'!$B$48</f>
        <v>0.12</v>
      </c>
      <c r="G69" s="671">
        <f t="shared" si="2"/>
        <v>33840</v>
      </c>
      <c r="I69" s="700">
        <f>+'All. 12'!G67</f>
        <v>323434.41313348472</v>
      </c>
      <c r="J69" s="699">
        <f>+'All. 12'!H67</f>
        <v>57297.052888829698</v>
      </c>
      <c r="K69" s="403">
        <f t="shared" si="3"/>
        <v>380731.46602231439</v>
      </c>
      <c r="L69" s="670">
        <f>'Tab 0'!$B$48</f>
        <v>0.12</v>
      </c>
      <c r="M69" s="403">
        <f t="shared" si="4"/>
        <v>45687.775922677727</v>
      </c>
      <c r="N69" s="403"/>
      <c r="O69" s="403">
        <f t="shared" si="7"/>
        <v>4936.5733011157199</v>
      </c>
      <c r="P69" s="672">
        <f t="shared" si="5"/>
        <v>0.13296602393463952</v>
      </c>
      <c r="Q69" s="671">
        <f t="shared" si="6"/>
        <v>50624.349223793448</v>
      </c>
    </row>
    <row r="70" spans="2:17" x14ac:dyDescent="0.15">
      <c r="B70" s="230" t="s">
        <v>931</v>
      </c>
      <c r="C70" s="698">
        <f>+'All. 12'!C68</f>
        <v>200000</v>
      </c>
      <c r="D70" s="698">
        <f>+'All. 12'!D68</f>
        <v>82000</v>
      </c>
      <c r="E70" s="403">
        <f t="shared" si="1"/>
        <v>282000</v>
      </c>
      <c r="F70" s="670">
        <f>'Tab 0'!$B$48</f>
        <v>0.12</v>
      </c>
      <c r="G70" s="671">
        <f t="shared" si="2"/>
        <v>33840</v>
      </c>
      <c r="I70" s="700">
        <f>+'All. 12'!G68</f>
        <v>323434.41313348472</v>
      </c>
      <c r="J70" s="699">
        <f>+'All. 12'!H68</f>
        <v>57297.052888829698</v>
      </c>
      <c r="K70" s="403">
        <f t="shared" si="3"/>
        <v>380731.46602231439</v>
      </c>
      <c r="L70" s="670">
        <f>'Tab 0'!$B$48</f>
        <v>0.12</v>
      </c>
      <c r="M70" s="403">
        <f t="shared" si="4"/>
        <v>45687.775922677727</v>
      </c>
      <c r="N70" s="403"/>
      <c r="O70" s="403">
        <f t="shared" si="7"/>
        <v>4936.5733011157199</v>
      </c>
      <c r="P70" s="672">
        <f t="shared" si="5"/>
        <v>0.13296602393463952</v>
      </c>
      <c r="Q70" s="671">
        <f t="shared" si="6"/>
        <v>50624.349223793448</v>
      </c>
    </row>
    <row r="71" spans="2:17" x14ac:dyDescent="0.15">
      <c r="B71" s="230" t="s">
        <v>932</v>
      </c>
      <c r="C71" s="698">
        <f>+'All. 12'!C69</f>
        <v>200000</v>
      </c>
      <c r="D71" s="698">
        <f>+'All. 12'!D69</f>
        <v>82000</v>
      </c>
      <c r="E71" s="403">
        <f t="shared" si="1"/>
        <v>282000</v>
      </c>
      <c r="F71" s="670">
        <f>'Tab 0'!$B$48</f>
        <v>0.12</v>
      </c>
      <c r="G71" s="671">
        <f t="shared" si="2"/>
        <v>33840</v>
      </c>
      <c r="I71" s="700">
        <f>+'All. 12'!G69</f>
        <v>323434.41313348472</v>
      </c>
      <c r="J71" s="699">
        <f>+'All. 12'!H69</f>
        <v>57297.052888829698</v>
      </c>
      <c r="K71" s="403">
        <f t="shared" si="3"/>
        <v>380731.46602231439</v>
      </c>
      <c r="L71" s="670">
        <f>'Tab 0'!$B$48</f>
        <v>0.12</v>
      </c>
      <c r="M71" s="403">
        <f t="shared" si="4"/>
        <v>45687.775922677727</v>
      </c>
      <c r="N71" s="403"/>
      <c r="O71" s="403">
        <f t="shared" si="7"/>
        <v>4936.5733011157199</v>
      </c>
      <c r="P71" s="672">
        <f t="shared" si="5"/>
        <v>0.13296602393463952</v>
      </c>
      <c r="Q71" s="671">
        <f t="shared" si="6"/>
        <v>50624.349223793448</v>
      </c>
    </row>
    <row r="72" spans="2:17" x14ac:dyDescent="0.15">
      <c r="B72" s="230" t="s">
        <v>933</v>
      </c>
      <c r="C72" s="698">
        <f>+'All. 12'!C70</f>
        <v>200000</v>
      </c>
      <c r="D72" s="698">
        <f>+'All. 12'!D70</f>
        <v>82000</v>
      </c>
      <c r="E72" s="403">
        <f t="shared" si="1"/>
        <v>282000</v>
      </c>
      <c r="F72" s="670">
        <f>'Tab 0'!$B$48</f>
        <v>0.12</v>
      </c>
      <c r="G72" s="671">
        <f t="shared" si="2"/>
        <v>33840</v>
      </c>
      <c r="I72" s="700">
        <f>+'All. 12'!G70</f>
        <v>323434.41313348472</v>
      </c>
      <c r="J72" s="699">
        <f>+'All. 12'!H70</f>
        <v>57297.052888829698</v>
      </c>
      <c r="K72" s="403">
        <f t="shared" si="3"/>
        <v>380731.46602231439</v>
      </c>
      <c r="L72" s="670">
        <f>'Tab 0'!$B$48</f>
        <v>0.12</v>
      </c>
      <c r="M72" s="403">
        <f t="shared" si="4"/>
        <v>45687.775922677727</v>
      </c>
      <c r="N72" s="403"/>
      <c r="O72" s="403">
        <f t="shared" si="7"/>
        <v>4936.5733011157199</v>
      </c>
      <c r="P72" s="672">
        <f t="shared" si="5"/>
        <v>0.13296602393463952</v>
      </c>
      <c r="Q72" s="671">
        <f t="shared" si="6"/>
        <v>50624.349223793448</v>
      </c>
    </row>
    <row r="73" spans="2:17" x14ac:dyDescent="0.15">
      <c r="B73" s="230" t="s">
        <v>934</v>
      </c>
      <c r="C73" s="698">
        <f>+'All. 12'!C71</f>
        <v>200000</v>
      </c>
      <c r="D73" s="698">
        <f>+'All. 12'!D71</f>
        <v>82000</v>
      </c>
      <c r="E73" s="403">
        <f t="shared" si="1"/>
        <v>282000</v>
      </c>
      <c r="F73" s="670">
        <f>'Tab 0'!$B$48</f>
        <v>0.12</v>
      </c>
      <c r="G73" s="671">
        <f t="shared" si="2"/>
        <v>33840</v>
      </c>
      <c r="I73" s="700">
        <f>+'All. 12'!G71</f>
        <v>323434.41313348472</v>
      </c>
      <c r="J73" s="699">
        <f>+'All. 12'!H71</f>
        <v>57297.052888829698</v>
      </c>
      <c r="K73" s="403">
        <f t="shared" si="3"/>
        <v>380731.46602231439</v>
      </c>
      <c r="L73" s="670">
        <f>'Tab 0'!$B$48</f>
        <v>0.12</v>
      </c>
      <c r="M73" s="403">
        <f t="shared" si="4"/>
        <v>45687.775922677727</v>
      </c>
      <c r="N73" s="403"/>
      <c r="O73" s="403">
        <f t="shared" ref="O73:O104" si="8">IF(AND(E73&gt;0,K73&gt;E73),(K73-E73)*$C$4,0)</f>
        <v>4936.5733011157199</v>
      </c>
      <c r="P73" s="672">
        <f t="shared" si="5"/>
        <v>0.13296602393463952</v>
      </c>
      <c r="Q73" s="671">
        <f t="shared" si="6"/>
        <v>50624.349223793448</v>
      </c>
    </row>
    <row r="74" spans="2:17" x14ac:dyDescent="0.15">
      <c r="B74" s="230" t="s">
        <v>935</v>
      </c>
      <c r="C74" s="698">
        <f>+'All. 12'!C72</f>
        <v>200000</v>
      </c>
      <c r="D74" s="698">
        <f>+'All. 12'!D72</f>
        <v>82000</v>
      </c>
      <c r="E74" s="403">
        <f t="shared" ref="E74:E131" si="9">SUM(C74:D74)</f>
        <v>282000</v>
      </c>
      <c r="F74" s="670">
        <f>'Tab 0'!$B$48</f>
        <v>0.12</v>
      </c>
      <c r="G74" s="671">
        <f t="shared" ref="G74:G131" si="10">+E74*F74</f>
        <v>33840</v>
      </c>
      <c r="I74" s="700">
        <f>+'All. 12'!G72</f>
        <v>323434.41313348472</v>
      </c>
      <c r="J74" s="699">
        <f>+'All. 12'!H72</f>
        <v>57297.052888829698</v>
      </c>
      <c r="K74" s="403">
        <f t="shared" ref="K74:K123" si="11">SUM(I74:J74)</f>
        <v>380731.46602231439</v>
      </c>
      <c r="L74" s="670">
        <f>'Tab 0'!$B$48</f>
        <v>0.12</v>
      </c>
      <c r="M74" s="403">
        <f t="shared" ref="M74:M123" si="12">+K74*L74</f>
        <v>45687.775922677727</v>
      </c>
      <c r="N74" s="403"/>
      <c r="O74" s="403">
        <f t="shared" si="8"/>
        <v>4936.5733011157199</v>
      </c>
      <c r="P74" s="672">
        <f t="shared" ref="P74:P137" si="13">IFERROR(Q74/K74,0)</f>
        <v>0.13296602393463952</v>
      </c>
      <c r="Q74" s="671">
        <f t="shared" ref="Q74:Q131" si="14">+M74+N74+O74</f>
        <v>50624.349223793448</v>
      </c>
    </row>
    <row r="75" spans="2:17" x14ac:dyDescent="0.15">
      <c r="B75" s="230" t="s">
        <v>936</v>
      </c>
      <c r="C75" s="698">
        <f>+'All. 12'!C73</f>
        <v>200000</v>
      </c>
      <c r="D75" s="698">
        <f>+'All. 12'!D73</f>
        <v>82000</v>
      </c>
      <c r="E75" s="403">
        <f t="shared" si="9"/>
        <v>282000</v>
      </c>
      <c r="F75" s="670">
        <f>'Tab 0'!$B$48</f>
        <v>0.12</v>
      </c>
      <c r="G75" s="671">
        <f t="shared" si="10"/>
        <v>33840</v>
      </c>
      <c r="I75" s="700">
        <f>+'All. 12'!G73</f>
        <v>323434.41313348472</v>
      </c>
      <c r="J75" s="699">
        <f>+'All. 12'!H73</f>
        <v>57297.052888829698</v>
      </c>
      <c r="K75" s="403">
        <f t="shared" si="11"/>
        <v>380731.46602231439</v>
      </c>
      <c r="L75" s="670">
        <f>'Tab 0'!$B$48</f>
        <v>0.12</v>
      </c>
      <c r="M75" s="403">
        <f t="shared" si="12"/>
        <v>45687.775922677727</v>
      </c>
      <c r="N75" s="403"/>
      <c r="O75" s="403">
        <f t="shared" si="8"/>
        <v>4936.5733011157199</v>
      </c>
      <c r="P75" s="672">
        <f t="shared" si="13"/>
        <v>0.13296602393463952</v>
      </c>
      <c r="Q75" s="671">
        <f t="shared" si="14"/>
        <v>50624.349223793448</v>
      </c>
    </row>
    <row r="76" spans="2:17" x14ac:dyDescent="0.15">
      <c r="B76" s="230" t="s">
        <v>937</v>
      </c>
      <c r="C76" s="698">
        <f>+'All. 12'!C74</f>
        <v>200000</v>
      </c>
      <c r="D76" s="698">
        <f>+'All. 12'!D74</f>
        <v>82000</v>
      </c>
      <c r="E76" s="403">
        <f t="shared" si="9"/>
        <v>282000</v>
      </c>
      <c r="F76" s="670">
        <f>'Tab 0'!$B$48</f>
        <v>0.12</v>
      </c>
      <c r="G76" s="671">
        <f t="shared" si="10"/>
        <v>33840</v>
      </c>
      <c r="I76" s="700">
        <f>+'All. 12'!G74</f>
        <v>323434.41313348472</v>
      </c>
      <c r="J76" s="699">
        <f>+'All. 12'!H74</f>
        <v>57297.052888829698</v>
      </c>
      <c r="K76" s="403">
        <f t="shared" si="11"/>
        <v>380731.46602231439</v>
      </c>
      <c r="L76" s="670">
        <f>'Tab 0'!$B$48</f>
        <v>0.12</v>
      </c>
      <c r="M76" s="403">
        <f t="shared" si="12"/>
        <v>45687.775922677727</v>
      </c>
      <c r="N76" s="403"/>
      <c r="O76" s="403">
        <f t="shared" si="8"/>
        <v>4936.5733011157199</v>
      </c>
      <c r="P76" s="672">
        <f t="shared" si="13"/>
        <v>0.13296602393463952</v>
      </c>
      <c r="Q76" s="671">
        <f t="shared" si="14"/>
        <v>50624.349223793448</v>
      </c>
    </row>
    <row r="77" spans="2:17" x14ac:dyDescent="0.15">
      <c r="B77" s="230" t="s">
        <v>938</v>
      </c>
      <c r="C77" s="698">
        <f>+'All. 12'!C75</f>
        <v>200000</v>
      </c>
      <c r="D77" s="698">
        <f>+'All. 12'!D75</f>
        <v>82000</v>
      </c>
      <c r="E77" s="403">
        <f t="shared" si="9"/>
        <v>282000</v>
      </c>
      <c r="F77" s="670">
        <f>'Tab 0'!$B$48</f>
        <v>0.12</v>
      </c>
      <c r="G77" s="671">
        <f t="shared" si="10"/>
        <v>33840</v>
      </c>
      <c r="I77" s="700">
        <f>+'All. 12'!G75</f>
        <v>323434.41313348472</v>
      </c>
      <c r="J77" s="699">
        <f>+'All. 12'!H75</f>
        <v>57297.052888829698</v>
      </c>
      <c r="K77" s="403">
        <f t="shared" si="11"/>
        <v>380731.46602231439</v>
      </c>
      <c r="L77" s="670">
        <f>'Tab 0'!$B$48</f>
        <v>0.12</v>
      </c>
      <c r="M77" s="403">
        <f t="shared" si="12"/>
        <v>45687.775922677727</v>
      </c>
      <c r="N77" s="403"/>
      <c r="O77" s="403">
        <f t="shared" si="8"/>
        <v>4936.5733011157199</v>
      </c>
      <c r="P77" s="672">
        <f t="shared" si="13"/>
        <v>0.13296602393463952</v>
      </c>
      <c r="Q77" s="671">
        <f t="shared" si="14"/>
        <v>50624.349223793448</v>
      </c>
    </row>
    <row r="78" spans="2:17" x14ac:dyDescent="0.15">
      <c r="B78" s="230" t="s">
        <v>939</v>
      </c>
      <c r="C78" s="698">
        <f>+'All. 12'!C76</f>
        <v>200000</v>
      </c>
      <c r="D78" s="698">
        <f>+'All. 12'!D76</f>
        <v>82000</v>
      </c>
      <c r="E78" s="403">
        <f t="shared" si="9"/>
        <v>282000</v>
      </c>
      <c r="F78" s="670">
        <f>'Tab 0'!$B$48</f>
        <v>0.12</v>
      </c>
      <c r="G78" s="671">
        <f t="shared" si="10"/>
        <v>33840</v>
      </c>
      <c r="I78" s="700">
        <f>+'All. 12'!G76</f>
        <v>323434.41313348472</v>
      </c>
      <c r="J78" s="699">
        <f>+'All. 12'!H76</f>
        <v>57297.052888829698</v>
      </c>
      <c r="K78" s="403">
        <f t="shared" si="11"/>
        <v>380731.46602231439</v>
      </c>
      <c r="L78" s="670">
        <f>'Tab 0'!$B$48</f>
        <v>0.12</v>
      </c>
      <c r="M78" s="403">
        <f t="shared" si="12"/>
        <v>45687.775922677727</v>
      </c>
      <c r="N78" s="403"/>
      <c r="O78" s="403">
        <f t="shared" si="8"/>
        <v>4936.5733011157199</v>
      </c>
      <c r="P78" s="672">
        <f t="shared" si="13"/>
        <v>0.13296602393463952</v>
      </c>
      <c r="Q78" s="671">
        <f t="shared" si="14"/>
        <v>50624.349223793448</v>
      </c>
    </row>
    <row r="79" spans="2:17" x14ac:dyDescent="0.15">
      <c r="B79" s="230" t="s">
        <v>940</v>
      </c>
      <c r="C79" s="698">
        <f>+'All. 12'!C77</f>
        <v>200000</v>
      </c>
      <c r="D79" s="698">
        <f>+'All. 12'!D77</f>
        <v>82000</v>
      </c>
      <c r="E79" s="403">
        <f t="shared" si="9"/>
        <v>282000</v>
      </c>
      <c r="F79" s="670">
        <f>'Tab 0'!$B$48</f>
        <v>0.12</v>
      </c>
      <c r="G79" s="671">
        <f t="shared" si="10"/>
        <v>33840</v>
      </c>
      <c r="I79" s="700">
        <f>+'All. 12'!G77</f>
        <v>323434.41313348472</v>
      </c>
      <c r="J79" s="699">
        <f>+'All. 12'!H77</f>
        <v>57297.052888829698</v>
      </c>
      <c r="K79" s="403">
        <f t="shared" si="11"/>
        <v>380731.46602231439</v>
      </c>
      <c r="L79" s="670">
        <f>'Tab 0'!$B$48</f>
        <v>0.12</v>
      </c>
      <c r="M79" s="403">
        <f t="shared" si="12"/>
        <v>45687.775922677727</v>
      </c>
      <c r="N79" s="403"/>
      <c r="O79" s="403">
        <f t="shared" si="8"/>
        <v>4936.5733011157199</v>
      </c>
      <c r="P79" s="672">
        <f t="shared" si="13"/>
        <v>0.13296602393463952</v>
      </c>
      <c r="Q79" s="671">
        <f t="shared" si="14"/>
        <v>50624.349223793448</v>
      </c>
    </row>
    <row r="80" spans="2:17" x14ac:dyDescent="0.15">
      <c r="B80" s="230" t="s">
        <v>941</v>
      </c>
      <c r="C80" s="698">
        <f>+'All. 12'!C78</f>
        <v>200000</v>
      </c>
      <c r="D80" s="698">
        <f>+'All. 12'!D78</f>
        <v>82000</v>
      </c>
      <c r="E80" s="403">
        <f t="shared" si="9"/>
        <v>282000</v>
      </c>
      <c r="F80" s="670">
        <f>'Tab 0'!$B$48</f>
        <v>0.12</v>
      </c>
      <c r="G80" s="671">
        <f t="shared" si="10"/>
        <v>33840</v>
      </c>
      <c r="I80" s="700">
        <f>+'All. 12'!G78</f>
        <v>323434.41313348472</v>
      </c>
      <c r="J80" s="699">
        <f>+'All. 12'!H78</f>
        <v>57297.052888829698</v>
      </c>
      <c r="K80" s="403">
        <f t="shared" si="11"/>
        <v>380731.46602231439</v>
      </c>
      <c r="L80" s="670">
        <f>'Tab 0'!$B$48</f>
        <v>0.12</v>
      </c>
      <c r="M80" s="403">
        <f t="shared" si="12"/>
        <v>45687.775922677727</v>
      </c>
      <c r="N80" s="403"/>
      <c r="O80" s="403">
        <f t="shared" si="8"/>
        <v>4936.5733011157199</v>
      </c>
      <c r="P80" s="672">
        <f t="shared" si="13"/>
        <v>0.13296602393463952</v>
      </c>
      <c r="Q80" s="671">
        <f t="shared" si="14"/>
        <v>50624.349223793448</v>
      </c>
    </row>
    <row r="81" spans="2:17" x14ac:dyDescent="0.15">
      <c r="B81" s="230" t="s">
        <v>942</v>
      </c>
      <c r="C81" s="698">
        <f>+'All. 12'!C79</f>
        <v>200000</v>
      </c>
      <c r="D81" s="698">
        <f>+'All. 12'!D79</f>
        <v>82000</v>
      </c>
      <c r="E81" s="403">
        <f t="shared" si="9"/>
        <v>282000</v>
      </c>
      <c r="F81" s="670">
        <f>'Tab 0'!$B$48</f>
        <v>0.12</v>
      </c>
      <c r="G81" s="671">
        <f t="shared" si="10"/>
        <v>33840</v>
      </c>
      <c r="I81" s="700">
        <f>+'All. 12'!G79</f>
        <v>323434.41313348472</v>
      </c>
      <c r="J81" s="699">
        <f>+'All. 12'!H79</f>
        <v>57297.052888829698</v>
      </c>
      <c r="K81" s="403">
        <f t="shared" si="11"/>
        <v>380731.46602231439</v>
      </c>
      <c r="L81" s="670">
        <f>'Tab 0'!$B$48</f>
        <v>0.12</v>
      </c>
      <c r="M81" s="403">
        <f t="shared" si="12"/>
        <v>45687.775922677727</v>
      </c>
      <c r="N81" s="403"/>
      <c r="O81" s="403">
        <f t="shared" si="8"/>
        <v>4936.5733011157199</v>
      </c>
      <c r="P81" s="672">
        <f t="shared" si="13"/>
        <v>0.13296602393463952</v>
      </c>
      <c r="Q81" s="671">
        <f t="shared" si="14"/>
        <v>50624.349223793448</v>
      </c>
    </row>
    <row r="82" spans="2:17" x14ac:dyDescent="0.15">
      <c r="B82" s="230" t="s">
        <v>943</v>
      </c>
      <c r="C82" s="698">
        <f>+'All. 12'!C80</f>
        <v>200000</v>
      </c>
      <c r="D82" s="698">
        <f>+'All. 12'!D80</f>
        <v>82000</v>
      </c>
      <c r="E82" s="403">
        <f t="shared" si="9"/>
        <v>282000</v>
      </c>
      <c r="F82" s="670">
        <f>'Tab 0'!$B$48</f>
        <v>0.12</v>
      </c>
      <c r="G82" s="671">
        <f t="shared" si="10"/>
        <v>33840</v>
      </c>
      <c r="I82" s="700">
        <f>+'All. 12'!G80</f>
        <v>323434.41313348472</v>
      </c>
      <c r="J82" s="699">
        <f>+'All. 12'!H80</f>
        <v>57297.052888829698</v>
      </c>
      <c r="K82" s="403">
        <f t="shared" si="11"/>
        <v>380731.46602231439</v>
      </c>
      <c r="L82" s="670">
        <f>'Tab 0'!$B$48</f>
        <v>0.12</v>
      </c>
      <c r="M82" s="403">
        <f t="shared" si="12"/>
        <v>45687.775922677727</v>
      </c>
      <c r="N82" s="403"/>
      <c r="O82" s="403">
        <f t="shared" si="8"/>
        <v>4936.5733011157199</v>
      </c>
      <c r="P82" s="672">
        <f t="shared" si="13"/>
        <v>0.13296602393463952</v>
      </c>
      <c r="Q82" s="671">
        <f t="shared" si="14"/>
        <v>50624.349223793448</v>
      </c>
    </row>
    <row r="83" spans="2:17" x14ac:dyDescent="0.15">
      <c r="B83" s="230" t="s">
        <v>944</v>
      </c>
      <c r="C83" s="698">
        <f>+'All. 12'!C81</f>
        <v>200000</v>
      </c>
      <c r="D83" s="698">
        <f>+'All. 12'!D81</f>
        <v>82000</v>
      </c>
      <c r="E83" s="403">
        <f t="shared" si="9"/>
        <v>282000</v>
      </c>
      <c r="F83" s="670">
        <f>'Tab 0'!$B$48</f>
        <v>0.12</v>
      </c>
      <c r="G83" s="671">
        <f t="shared" si="10"/>
        <v>33840</v>
      </c>
      <c r="I83" s="700">
        <f>+'All. 12'!G81</f>
        <v>323434.41313348472</v>
      </c>
      <c r="J83" s="699">
        <f>+'All. 12'!H81</f>
        <v>57297.052888829698</v>
      </c>
      <c r="K83" s="403">
        <f t="shared" si="11"/>
        <v>380731.46602231439</v>
      </c>
      <c r="L83" s="670">
        <f>'Tab 0'!$B$48</f>
        <v>0.12</v>
      </c>
      <c r="M83" s="403">
        <f t="shared" si="12"/>
        <v>45687.775922677727</v>
      </c>
      <c r="N83" s="403"/>
      <c r="O83" s="403">
        <f t="shared" si="8"/>
        <v>4936.5733011157199</v>
      </c>
      <c r="P83" s="672">
        <f t="shared" si="13"/>
        <v>0.13296602393463952</v>
      </c>
      <c r="Q83" s="671">
        <f t="shared" si="14"/>
        <v>50624.349223793448</v>
      </c>
    </row>
    <row r="84" spans="2:17" x14ac:dyDescent="0.15">
      <c r="B84" s="230" t="s">
        <v>945</v>
      </c>
      <c r="C84" s="698">
        <f>+'All. 12'!C82</f>
        <v>100000</v>
      </c>
      <c r="D84" s="698">
        <f>+'All. 12'!D82</f>
        <v>41000</v>
      </c>
      <c r="E84" s="403">
        <f t="shared" si="9"/>
        <v>141000</v>
      </c>
      <c r="F84" s="670">
        <f>'Tab 0'!$B$48</f>
        <v>0.12</v>
      </c>
      <c r="G84" s="671">
        <f t="shared" si="10"/>
        <v>16920</v>
      </c>
      <c r="I84" s="700">
        <f>+'All. 12'!G82</f>
        <v>161717.20656674236</v>
      </c>
      <c r="J84" s="699">
        <f>+'All. 12'!H82</f>
        <v>28648.526444414849</v>
      </c>
      <c r="K84" s="403">
        <f t="shared" si="11"/>
        <v>190365.73301115719</v>
      </c>
      <c r="L84" s="670">
        <f>'Tab 0'!$B$48</f>
        <v>0.12</v>
      </c>
      <c r="M84" s="403">
        <f t="shared" si="12"/>
        <v>22843.887961338864</v>
      </c>
      <c r="N84" s="403"/>
      <c r="O84" s="403">
        <f t="shared" si="8"/>
        <v>2468.28665055786</v>
      </c>
      <c r="P84" s="672">
        <f t="shared" si="13"/>
        <v>0.13296602393463952</v>
      </c>
      <c r="Q84" s="671">
        <f t="shared" si="14"/>
        <v>25312.174611896724</v>
      </c>
    </row>
    <row r="85" spans="2:17" x14ac:dyDescent="0.15">
      <c r="B85" s="230" t="s">
        <v>946</v>
      </c>
      <c r="C85" s="698">
        <f>+'All. 12'!C83</f>
        <v>100000</v>
      </c>
      <c r="D85" s="698">
        <f>+'All. 12'!D83</f>
        <v>41000</v>
      </c>
      <c r="E85" s="403">
        <f t="shared" si="9"/>
        <v>141000</v>
      </c>
      <c r="F85" s="670">
        <f>'Tab 0'!$B$48</f>
        <v>0.12</v>
      </c>
      <c r="G85" s="671">
        <f t="shared" si="10"/>
        <v>16920</v>
      </c>
      <c r="I85" s="700">
        <f>+'All. 12'!G83</f>
        <v>161717.20656674236</v>
      </c>
      <c r="J85" s="699">
        <f>+'All. 12'!H83</f>
        <v>28648.526444414849</v>
      </c>
      <c r="K85" s="403">
        <f t="shared" si="11"/>
        <v>190365.73301115719</v>
      </c>
      <c r="L85" s="670">
        <f>'Tab 0'!$B$48</f>
        <v>0.12</v>
      </c>
      <c r="M85" s="403">
        <f t="shared" si="12"/>
        <v>22843.887961338864</v>
      </c>
      <c r="N85" s="403"/>
      <c r="O85" s="403">
        <f t="shared" si="8"/>
        <v>2468.28665055786</v>
      </c>
      <c r="P85" s="672">
        <f t="shared" si="13"/>
        <v>0.13296602393463952</v>
      </c>
      <c r="Q85" s="671">
        <f t="shared" si="14"/>
        <v>25312.174611896724</v>
      </c>
    </row>
    <row r="86" spans="2:17" x14ac:dyDescent="0.15">
      <c r="B86" s="230" t="s">
        <v>947</v>
      </c>
      <c r="C86" s="698">
        <f>+'All. 12'!C84</f>
        <v>100000</v>
      </c>
      <c r="D86" s="698">
        <f>+'All. 12'!D84</f>
        <v>41000</v>
      </c>
      <c r="E86" s="403">
        <f t="shared" si="9"/>
        <v>141000</v>
      </c>
      <c r="F86" s="670">
        <f>'Tab 0'!$B$48</f>
        <v>0.12</v>
      </c>
      <c r="G86" s="671">
        <f t="shared" si="10"/>
        <v>16920</v>
      </c>
      <c r="I86" s="700">
        <f>+'All. 12'!G84</f>
        <v>161717.20656674236</v>
      </c>
      <c r="J86" s="699">
        <f>+'All. 12'!H84</f>
        <v>28648.526444414849</v>
      </c>
      <c r="K86" s="403">
        <f t="shared" si="11"/>
        <v>190365.73301115719</v>
      </c>
      <c r="L86" s="670">
        <f>'Tab 0'!$B$48</f>
        <v>0.12</v>
      </c>
      <c r="M86" s="403">
        <f t="shared" si="12"/>
        <v>22843.887961338864</v>
      </c>
      <c r="N86" s="403"/>
      <c r="O86" s="403">
        <f t="shared" si="8"/>
        <v>2468.28665055786</v>
      </c>
      <c r="P86" s="672">
        <f t="shared" si="13"/>
        <v>0.13296602393463952</v>
      </c>
      <c r="Q86" s="671">
        <f t="shared" si="14"/>
        <v>25312.174611896724</v>
      </c>
    </row>
    <row r="87" spans="2:17" x14ac:dyDescent="0.15">
      <c r="B87" s="230" t="s">
        <v>948</v>
      </c>
      <c r="C87" s="698">
        <f>+'All. 12'!C85</f>
        <v>100000</v>
      </c>
      <c r="D87" s="698">
        <f>+'All. 12'!D85</f>
        <v>41000</v>
      </c>
      <c r="E87" s="403">
        <f t="shared" si="9"/>
        <v>141000</v>
      </c>
      <c r="F87" s="670">
        <f>'Tab 0'!$B$48</f>
        <v>0.12</v>
      </c>
      <c r="G87" s="671">
        <f t="shared" si="10"/>
        <v>16920</v>
      </c>
      <c r="I87" s="700">
        <f>+'All. 12'!G85</f>
        <v>161717.20656674236</v>
      </c>
      <c r="J87" s="699">
        <f>+'All. 12'!H85</f>
        <v>28648.526444414849</v>
      </c>
      <c r="K87" s="403">
        <f t="shared" si="11"/>
        <v>190365.73301115719</v>
      </c>
      <c r="L87" s="670">
        <f>'Tab 0'!$B$48</f>
        <v>0.12</v>
      </c>
      <c r="M87" s="403">
        <f t="shared" si="12"/>
        <v>22843.887961338864</v>
      </c>
      <c r="N87" s="403"/>
      <c r="O87" s="403">
        <f t="shared" si="8"/>
        <v>2468.28665055786</v>
      </c>
      <c r="P87" s="672">
        <f t="shared" si="13"/>
        <v>0.13296602393463952</v>
      </c>
      <c r="Q87" s="671">
        <f t="shared" si="14"/>
        <v>25312.174611896724</v>
      </c>
    </row>
    <row r="88" spans="2:17" x14ac:dyDescent="0.15">
      <c r="B88" s="230" t="s">
        <v>949</v>
      </c>
      <c r="C88" s="698">
        <f>+'All. 12'!C86</f>
        <v>100000</v>
      </c>
      <c r="D88" s="698">
        <f>+'All. 12'!D86</f>
        <v>41000</v>
      </c>
      <c r="E88" s="403">
        <f t="shared" si="9"/>
        <v>141000</v>
      </c>
      <c r="F88" s="670">
        <f>'Tab 0'!$B$48</f>
        <v>0.12</v>
      </c>
      <c r="G88" s="671">
        <f t="shared" si="10"/>
        <v>16920</v>
      </c>
      <c r="I88" s="700">
        <f>+'All. 12'!G86</f>
        <v>161717.20656674236</v>
      </c>
      <c r="J88" s="699">
        <f>+'All. 12'!H86</f>
        <v>28648.526444414849</v>
      </c>
      <c r="K88" s="403">
        <f t="shared" si="11"/>
        <v>190365.73301115719</v>
      </c>
      <c r="L88" s="670">
        <f>'Tab 0'!$B$48</f>
        <v>0.12</v>
      </c>
      <c r="M88" s="403">
        <f t="shared" si="12"/>
        <v>22843.887961338864</v>
      </c>
      <c r="N88" s="403"/>
      <c r="O88" s="403">
        <f t="shared" si="8"/>
        <v>2468.28665055786</v>
      </c>
      <c r="P88" s="672">
        <f t="shared" si="13"/>
        <v>0.13296602393463952</v>
      </c>
      <c r="Q88" s="671">
        <f t="shared" si="14"/>
        <v>25312.174611896724</v>
      </c>
    </row>
    <row r="89" spans="2:17" x14ac:dyDescent="0.15">
      <c r="B89" s="230" t="s">
        <v>950</v>
      </c>
      <c r="C89" s="698">
        <f>+'All. 12'!C87</f>
        <v>100000</v>
      </c>
      <c r="D89" s="698">
        <f>+'All. 12'!D87</f>
        <v>41000</v>
      </c>
      <c r="E89" s="403">
        <f t="shared" si="9"/>
        <v>141000</v>
      </c>
      <c r="F89" s="670">
        <f>'Tab 0'!$B$48</f>
        <v>0.12</v>
      </c>
      <c r="G89" s="671">
        <f t="shared" si="10"/>
        <v>16920</v>
      </c>
      <c r="I89" s="700">
        <f>+'All. 12'!G87</f>
        <v>161717.20656674236</v>
      </c>
      <c r="J89" s="699">
        <f>+'All. 12'!H87</f>
        <v>28648.526444414849</v>
      </c>
      <c r="K89" s="403">
        <f t="shared" si="11"/>
        <v>190365.73301115719</v>
      </c>
      <c r="L89" s="670">
        <f>'Tab 0'!$B$48</f>
        <v>0.12</v>
      </c>
      <c r="M89" s="403">
        <f t="shared" si="12"/>
        <v>22843.887961338864</v>
      </c>
      <c r="N89" s="403"/>
      <c r="O89" s="403">
        <f t="shared" si="8"/>
        <v>2468.28665055786</v>
      </c>
      <c r="P89" s="672">
        <f t="shared" si="13"/>
        <v>0.13296602393463952</v>
      </c>
      <c r="Q89" s="671">
        <f t="shared" si="14"/>
        <v>25312.174611896724</v>
      </c>
    </row>
    <row r="90" spans="2:17" x14ac:dyDescent="0.15">
      <c r="B90" s="230" t="s">
        <v>951</v>
      </c>
      <c r="C90" s="698">
        <f>+'All. 12'!C88</f>
        <v>100000</v>
      </c>
      <c r="D90" s="698">
        <f>+'All. 12'!D88</f>
        <v>41000</v>
      </c>
      <c r="E90" s="403">
        <f t="shared" si="9"/>
        <v>141000</v>
      </c>
      <c r="F90" s="670">
        <f>'Tab 0'!$B$48</f>
        <v>0.12</v>
      </c>
      <c r="G90" s="671">
        <f t="shared" si="10"/>
        <v>16920</v>
      </c>
      <c r="I90" s="700">
        <f>+'All. 12'!G88</f>
        <v>161717.20656674236</v>
      </c>
      <c r="J90" s="699">
        <f>+'All. 12'!H88</f>
        <v>28648.526444414849</v>
      </c>
      <c r="K90" s="403">
        <f t="shared" si="11"/>
        <v>190365.73301115719</v>
      </c>
      <c r="L90" s="670">
        <f>'Tab 0'!$B$48</f>
        <v>0.12</v>
      </c>
      <c r="M90" s="403">
        <f t="shared" si="12"/>
        <v>22843.887961338864</v>
      </c>
      <c r="N90" s="403"/>
      <c r="O90" s="403">
        <f t="shared" si="8"/>
        <v>2468.28665055786</v>
      </c>
      <c r="P90" s="672">
        <f t="shared" si="13"/>
        <v>0.13296602393463952</v>
      </c>
      <c r="Q90" s="671">
        <f t="shared" si="14"/>
        <v>25312.174611896724</v>
      </c>
    </row>
    <row r="91" spans="2:17" x14ac:dyDescent="0.15">
      <c r="B91" s="230" t="s">
        <v>952</v>
      </c>
      <c r="C91" s="698">
        <f>+'All. 12'!C89</f>
        <v>100000</v>
      </c>
      <c r="D91" s="698">
        <f>+'All. 12'!D89</f>
        <v>41000</v>
      </c>
      <c r="E91" s="403">
        <f t="shared" si="9"/>
        <v>141000</v>
      </c>
      <c r="F91" s="670">
        <f>'Tab 0'!$B$48</f>
        <v>0.12</v>
      </c>
      <c r="G91" s="671">
        <f t="shared" si="10"/>
        <v>16920</v>
      </c>
      <c r="I91" s="700">
        <f>+'All. 12'!G89</f>
        <v>161717.20656674236</v>
      </c>
      <c r="J91" s="699">
        <f>+'All. 12'!H89</f>
        <v>28648.526444414849</v>
      </c>
      <c r="K91" s="403">
        <f t="shared" si="11"/>
        <v>190365.73301115719</v>
      </c>
      <c r="L91" s="670">
        <f>'Tab 0'!$B$48</f>
        <v>0.12</v>
      </c>
      <c r="M91" s="403">
        <f t="shared" si="12"/>
        <v>22843.887961338864</v>
      </c>
      <c r="N91" s="403"/>
      <c r="O91" s="403">
        <f t="shared" si="8"/>
        <v>2468.28665055786</v>
      </c>
      <c r="P91" s="672">
        <f t="shared" si="13"/>
        <v>0.13296602393463952</v>
      </c>
      <c r="Q91" s="671">
        <f t="shared" si="14"/>
        <v>25312.174611896724</v>
      </c>
    </row>
    <row r="92" spans="2:17" x14ac:dyDescent="0.15">
      <c r="B92" s="230" t="s">
        <v>953</v>
      </c>
      <c r="C92" s="698">
        <f>+'All. 12'!C90</f>
        <v>100000</v>
      </c>
      <c r="D92" s="698">
        <f>+'All. 12'!D90</f>
        <v>41000</v>
      </c>
      <c r="E92" s="403">
        <f t="shared" si="9"/>
        <v>141000</v>
      </c>
      <c r="F92" s="670">
        <f>'Tab 0'!$B$48</f>
        <v>0.12</v>
      </c>
      <c r="G92" s="671">
        <f t="shared" si="10"/>
        <v>16920</v>
      </c>
      <c r="I92" s="700">
        <f>+'All. 12'!G90</f>
        <v>161717.20656674236</v>
      </c>
      <c r="J92" s="699">
        <f>+'All. 12'!H90</f>
        <v>28648.526444414849</v>
      </c>
      <c r="K92" s="403">
        <f t="shared" si="11"/>
        <v>190365.73301115719</v>
      </c>
      <c r="L92" s="670">
        <f>'Tab 0'!$B$48</f>
        <v>0.12</v>
      </c>
      <c r="M92" s="403">
        <f t="shared" si="12"/>
        <v>22843.887961338864</v>
      </c>
      <c r="N92" s="403"/>
      <c r="O92" s="403">
        <f t="shared" si="8"/>
        <v>2468.28665055786</v>
      </c>
      <c r="P92" s="672">
        <f t="shared" si="13"/>
        <v>0.13296602393463952</v>
      </c>
      <c r="Q92" s="671">
        <f t="shared" si="14"/>
        <v>25312.174611896724</v>
      </c>
    </row>
    <row r="93" spans="2:17" x14ac:dyDescent="0.15">
      <c r="B93" s="230" t="s">
        <v>954</v>
      </c>
      <c r="C93" s="698">
        <f>+'All. 12'!C91</f>
        <v>100000</v>
      </c>
      <c r="D93" s="698">
        <f>+'All. 12'!D91</f>
        <v>41000</v>
      </c>
      <c r="E93" s="403">
        <f t="shared" si="9"/>
        <v>141000</v>
      </c>
      <c r="F93" s="670">
        <f>'Tab 0'!$B$48</f>
        <v>0.12</v>
      </c>
      <c r="G93" s="671">
        <f t="shared" si="10"/>
        <v>16920</v>
      </c>
      <c r="I93" s="700">
        <f>+'All. 12'!G91</f>
        <v>161717.20656674236</v>
      </c>
      <c r="J93" s="699">
        <f>+'All. 12'!H91</f>
        <v>28648.526444414849</v>
      </c>
      <c r="K93" s="403">
        <f t="shared" si="11"/>
        <v>190365.73301115719</v>
      </c>
      <c r="L93" s="670">
        <f>'Tab 0'!$B$48</f>
        <v>0.12</v>
      </c>
      <c r="M93" s="403">
        <f t="shared" si="12"/>
        <v>22843.887961338864</v>
      </c>
      <c r="N93" s="403"/>
      <c r="O93" s="403">
        <f t="shared" si="8"/>
        <v>2468.28665055786</v>
      </c>
      <c r="P93" s="672">
        <f t="shared" si="13"/>
        <v>0.13296602393463952</v>
      </c>
      <c r="Q93" s="671">
        <f t="shared" si="14"/>
        <v>25312.174611896724</v>
      </c>
    </row>
    <row r="94" spans="2:17" x14ac:dyDescent="0.15">
      <c r="B94" s="230" t="s">
        <v>955</v>
      </c>
      <c r="C94" s="698">
        <f>+'All. 12'!C92</f>
        <v>100000</v>
      </c>
      <c r="D94" s="698">
        <f>+'All. 12'!D92</f>
        <v>41000</v>
      </c>
      <c r="E94" s="403">
        <f t="shared" si="9"/>
        <v>141000</v>
      </c>
      <c r="F94" s="670">
        <f>'Tab 0'!$B$48</f>
        <v>0.12</v>
      </c>
      <c r="G94" s="671">
        <f t="shared" si="10"/>
        <v>16920</v>
      </c>
      <c r="I94" s="700">
        <f>+'All. 12'!G92</f>
        <v>161717.20656674236</v>
      </c>
      <c r="J94" s="699">
        <f>+'All. 12'!H92</f>
        <v>28648.526444414849</v>
      </c>
      <c r="K94" s="403">
        <f t="shared" si="11"/>
        <v>190365.73301115719</v>
      </c>
      <c r="L94" s="670">
        <f>'Tab 0'!$B$48</f>
        <v>0.12</v>
      </c>
      <c r="M94" s="403">
        <f t="shared" si="12"/>
        <v>22843.887961338864</v>
      </c>
      <c r="N94" s="403"/>
      <c r="O94" s="403">
        <f t="shared" si="8"/>
        <v>2468.28665055786</v>
      </c>
      <c r="P94" s="672">
        <f t="shared" si="13"/>
        <v>0.13296602393463952</v>
      </c>
      <c r="Q94" s="671">
        <f t="shared" si="14"/>
        <v>25312.174611896724</v>
      </c>
    </row>
    <row r="95" spans="2:17" x14ac:dyDescent="0.15">
      <c r="B95" s="230" t="s">
        <v>956</v>
      </c>
      <c r="C95" s="698">
        <f>+'All. 12'!C93</f>
        <v>100000</v>
      </c>
      <c r="D95" s="698">
        <f>+'All. 12'!D93</f>
        <v>41000</v>
      </c>
      <c r="E95" s="403">
        <f t="shared" si="9"/>
        <v>141000</v>
      </c>
      <c r="F95" s="670">
        <f>'Tab 0'!$B$48</f>
        <v>0.12</v>
      </c>
      <c r="G95" s="671">
        <f t="shared" si="10"/>
        <v>16920</v>
      </c>
      <c r="I95" s="700">
        <f>+'All. 12'!G93</f>
        <v>161717.20656674236</v>
      </c>
      <c r="J95" s="699">
        <f>+'All. 12'!H93</f>
        <v>28648.526444414849</v>
      </c>
      <c r="K95" s="403">
        <f t="shared" si="11"/>
        <v>190365.73301115719</v>
      </c>
      <c r="L95" s="670">
        <f>'Tab 0'!$B$48</f>
        <v>0.12</v>
      </c>
      <c r="M95" s="403">
        <f t="shared" si="12"/>
        <v>22843.887961338864</v>
      </c>
      <c r="N95" s="403"/>
      <c r="O95" s="403">
        <f t="shared" si="8"/>
        <v>2468.28665055786</v>
      </c>
      <c r="P95" s="672">
        <f t="shared" si="13"/>
        <v>0.13296602393463952</v>
      </c>
      <c r="Q95" s="671">
        <f t="shared" si="14"/>
        <v>25312.174611896724</v>
      </c>
    </row>
    <row r="96" spans="2:17" x14ac:dyDescent="0.15">
      <c r="B96" s="230" t="s">
        <v>957</v>
      </c>
      <c r="C96" s="698">
        <f>+'All. 12'!C94</f>
        <v>100000</v>
      </c>
      <c r="D96" s="698">
        <f>+'All. 12'!D94</f>
        <v>41000</v>
      </c>
      <c r="E96" s="403">
        <f t="shared" si="9"/>
        <v>141000</v>
      </c>
      <c r="F96" s="670">
        <f>'Tab 0'!$B$48</f>
        <v>0.12</v>
      </c>
      <c r="G96" s="671">
        <f t="shared" si="10"/>
        <v>16920</v>
      </c>
      <c r="I96" s="700">
        <f>+'All. 12'!G94</f>
        <v>161717.20656674236</v>
      </c>
      <c r="J96" s="699">
        <f>+'All. 12'!H94</f>
        <v>28648.526444414849</v>
      </c>
      <c r="K96" s="403">
        <f t="shared" si="11"/>
        <v>190365.73301115719</v>
      </c>
      <c r="L96" s="670">
        <f>'Tab 0'!$B$48</f>
        <v>0.12</v>
      </c>
      <c r="M96" s="403">
        <f t="shared" si="12"/>
        <v>22843.887961338864</v>
      </c>
      <c r="N96" s="403"/>
      <c r="O96" s="403">
        <f t="shared" si="8"/>
        <v>2468.28665055786</v>
      </c>
      <c r="P96" s="672">
        <f t="shared" si="13"/>
        <v>0.13296602393463952</v>
      </c>
      <c r="Q96" s="671">
        <f t="shared" si="14"/>
        <v>25312.174611896724</v>
      </c>
    </row>
    <row r="97" spans="2:17" x14ac:dyDescent="0.15">
      <c r="B97" s="230" t="s">
        <v>958</v>
      </c>
      <c r="C97" s="698">
        <f>+'All. 12'!C95</f>
        <v>100000</v>
      </c>
      <c r="D97" s="698">
        <f>+'All. 12'!D95</f>
        <v>41000</v>
      </c>
      <c r="E97" s="403">
        <f t="shared" si="9"/>
        <v>141000</v>
      </c>
      <c r="F97" s="670">
        <f>'Tab 0'!$B$48</f>
        <v>0.12</v>
      </c>
      <c r="G97" s="671">
        <f t="shared" si="10"/>
        <v>16920</v>
      </c>
      <c r="I97" s="700">
        <f>+'All. 12'!G95</f>
        <v>161717.20656674236</v>
      </c>
      <c r="J97" s="699">
        <f>+'All. 12'!H95</f>
        <v>28648.526444414849</v>
      </c>
      <c r="K97" s="403">
        <f t="shared" si="11"/>
        <v>190365.73301115719</v>
      </c>
      <c r="L97" s="670">
        <f>'Tab 0'!$B$48</f>
        <v>0.12</v>
      </c>
      <c r="M97" s="403">
        <f t="shared" si="12"/>
        <v>22843.887961338864</v>
      </c>
      <c r="N97" s="403"/>
      <c r="O97" s="403">
        <f t="shared" si="8"/>
        <v>2468.28665055786</v>
      </c>
      <c r="P97" s="672">
        <f t="shared" si="13"/>
        <v>0.13296602393463952</v>
      </c>
      <c r="Q97" s="671">
        <f t="shared" si="14"/>
        <v>25312.174611896724</v>
      </c>
    </row>
    <row r="98" spans="2:17" x14ac:dyDescent="0.15">
      <c r="B98" s="230" t="s">
        <v>959</v>
      </c>
      <c r="C98" s="698">
        <f>+'All. 12'!C96</f>
        <v>100000</v>
      </c>
      <c r="D98" s="698">
        <f>+'All. 12'!D96</f>
        <v>41000</v>
      </c>
      <c r="E98" s="403">
        <f t="shared" si="9"/>
        <v>141000</v>
      </c>
      <c r="F98" s="670">
        <f>'Tab 0'!$B$48</f>
        <v>0.12</v>
      </c>
      <c r="G98" s="671">
        <f t="shared" si="10"/>
        <v>16920</v>
      </c>
      <c r="I98" s="700">
        <f>+'All. 12'!G96</f>
        <v>161717.20656674236</v>
      </c>
      <c r="J98" s="699">
        <f>+'All. 12'!H96</f>
        <v>28648.526444414849</v>
      </c>
      <c r="K98" s="403">
        <f t="shared" si="11"/>
        <v>190365.73301115719</v>
      </c>
      <c r="L98" s="670">
        <f>'Tab 0'!$B$48</f>
        <v>0.12</v>
      </c>
      <c r="M98" s="403">
        <f t="shared" si="12"/>
        <v>22843.887961338864</v>
      </c>
      <c r="N98" s="403"/>
      <c r="O98" s="403">
        <f t="shared" si="8"/>
        <v>2468.28665055786</v>
      </c>
      <c r="P98" s="672">
        <f t="shared" si="13"/>
        <v>0.13296602393463952</v>
      </c>
      <c r="Q98" s="671">
        <f t="shared" si="14"/>
        <v>25312.174611896724</v>
      </c>
    </row>
    <row r="99" spans="2:17" x14ac:dyDescent="0.15">
      <c r="B99" s="230" t="s">
        <v>960</v>
      </c>
      <c r="C99" s="698">
        <f>+'All. 12'!C97</f>
        <v>100000</v>
      </c>
      <c r="D99" s="698">
        <f>+'All. 12'!D97</f>
        <v>41000</v>
      </c>
      <c r="E99" s="403">
        <f t="shared" si="9"/>
        <v>141000</v>
      </c>
      <c r="F99" s="670">
        <f>'Tab 0'!$B$48</f>
        <v>0.12</v>
      </c>
      <c r="G99" s="671">
        <f t="shared" si="10"/>
        <v>16920</v>
      </c>
      <c r="I99" s="700">
        <f>+'All. 12'!G97</f>
        <v>161717.20656674236</v>
      </c>
      <c r="J99" s="699">
        <f>+'All. 12'!H97</f>
        <v>28648.526444414849</v>
      </c>
      <c r="K99" s="403">
        <f t="shared" si="11"/>
        <v>190365.73301115719</v>
      </c>
      <c r="L99" s="670">
        <f>'Tab 0'!$B$48</f>
        <v>0.12</v>
      </c>
      <c r="M99" s="403">
        <f t="shared" si="12"/>
        <v>22843.887961338864</v>
      </c>
      <c r="N99" s="403"/>
      <c r="O99" s="403">
        <f t="shared" si="8"/>
        <v>2468.28665055786</v>
      </c>
      <c r="P99" s="672">
        <f t="shared" si="13"/>
        <v>0.13296602393463952</v>
      </c>
      <c r="Q99" s="671">
        <f t="shared" si="14"/>
        <v>25312.174611896724</v>
      </c>
    </row>
    <row r="100" spans="2:17" x14ac:dyDescent="0.15">
      <c r="B100" s="230" t="s">
        <v>961</v>
      </c>
      <c r="C100" s="698">
        <f>+'All. 12'!C98</f>
        <v>100000</v>
      </c>
      <c r="D100" s="698">
        <f>+'All. 12'!D98</f>
        <v>41000</v>
      </c>
      <c r="E100" s="403">
        <f t="shared" si="9"/>
        <v>141000</v>
      </c>
      <c r="F100" s="670">
        <f>'Tab 0'!$B$48</f>
        <v>0.12</v>
      </c>
      <c r="G100" s="671">
        <f t="shared" si="10"/>
        <v>16920</v>
      </c>
      <c r="I100" s="700">
        <f>+'All. 12'!G98</f>
        <v>161717.20656674236</v>
      </c>
      <c r="J100" s="699">
        <f>+'All. 12'!H98</f>
        <v>28648.526444414849</v>
      </c>
      <c r="K100" s="403">
        <f t="shared" si="11"/>
        <v>190365.73301115719</v>
      </c>
      <c r="L100" s="670">
        <f>'Tab 0'!$B$48</f>
        <v>0.12</v>
      </c>
      <c r="M100" s="403">
        <f t="shared" si="12"/>
        <v>22843.887961338864</v>
      </c>
      <c r="N100" s="403"/>
      <c r="O100" s="403">
        <f t="shared" si="8"/>
        <v>2468.28665055786</v>
      </c>
      <c r="P100" s="672">
        <f t="shared" si="13"/>
        <v>0.13296602393463952</v>
      </c>
      <c r="Q100" s="671">
        <f t="shared" si="14"/>
        <v>25312.174611896724</v>
      </c>
    </row>
    <row r="101" spans="2:17" x14ac:dyDescent="0.15">
      <c r="B101" s="230" t="s">
        <v>962</v>
      </c>
      <c r="C101" s="698">
        <f>+'All. 12'!C99</f>
        <v>100000</v>
      </c>
      <c r="D101" s="698">
        <f>+'All. 12'!D99</f>
        <v>41000</v>
      </c>
      <c r="E101" s="403">
        <f t="shared" si="9"/>
        <v>141000</v>
      </c>
      <c r="F101" s="670">
        <f>'Tab 0'!$B$48</f>
        <v>0.12</v>
      </c>
      <c r="G101" s="671">
        <f t="shared" si="10"/>
        <v>16920</v>
      </c>
      <c r="I101" s="700">
        <f>+'All. 12'!G99</f>
        <v>161717.20656674236</v>
      </c>
      <c r="J101" s="699">
        <f>+'All. 12'!H99</f>
        <v>28648.526444414849</v>
      </c>
      <c r="K101" s="403">
        <f t="shared" si="11"/>
        <v>190365.73301115719</v>
      </c>
      <c r="L101" s="670">
        <f>'Tab 0'!$B$48</f>
        <v>0.12</v>
      </c>
      <c r="M101" s="403">
        <f t="shared" si="12"/>
        <v>22843.887961338864</v>
      </c>
      <c r="N101" s="403"/>
      <c r="O101" s="403">
        <f t="shared" si="8"/>
        <v>2468.28665055786</v>
      </c>
      <c r="P101" s="672">
        <f t="shared" si="13"/>
        <v>0.13296602393463952</v>
      </c>
      <c r="Q101" s="671">
        <f t="shared" si="14"/>
        <v>25312.174611896724</v>
      </c>
    </row>
    <row r="102" spans="2:17" x14ac:dyDescent="0.15">
      <c r="B102" s="230" t="s">
        <v>963</v>
      </c>
      <c r="C102" s="698">
        <f>+'All. 12'!C100</f>
        <v>100000</v>
      </c>
      <c r="D102" s="698">
        <f>+'All. 12'!D100</f>
        <v>41000</v>
      </c>
      <c r="E102" s="403">
        <f t="shared" si="9"/>
        <v>141000</v>
      </c>
      <c r="F102" s="670">
        <f>'Tab 0'!$B$48</f>
        <v>0.12</v>
      </c>
      <c r="G102" s="671">
        <f t="shared" si="10"/>
        <v>16920</v>
      </c>
      <c r="I102" s="700">
        <f>+'All. 12'!G100</f>
        <v>161717.20656674236</v>
      </c>
      <c r="J102" s="699">
        <f>+'All. 12'!H100</f>
        <v>28648.526444414849</v>
      </c>
      <c r="K102" s="403">
        <f t="shared" si="11"/>
        <v>190365.73301115719</v>
      </c>
      <c r="L102" s="670">
        <f>'Tab 0'!$B$48</f>
        <v>0.12</v>
      </c>
      <c r="M102" s="403">
        <f t="shared" si="12"/>
        <v>22843.887961338864</v>
      </c>
      <c r="N102" s="403"/>
      <c r="O102" s="403">
        <f t="shared" si="8"/>
        <v>2468.28665055786</v>
      </c>
      <c r="P102" s="672">
        <f t="shared" si="13"/>
        <v>0.13296602393463952</v>
      </c>
      <c r="Q102" s="671">
        <f t="shared" si="14"/>
        <v>25312.174611896724</v>
      </c>
    </row>
    <row r="103" spans="2:17" x14ac:dyDescent="0.15">
      <c r="B103" s="230" t="s">
        <v>964</v>
      </c>
      <c r="C103" s="698">
        <f>+'All. 12'!C101</f>
        <v>100000</v>
      </c>
      <c r="D103" s="698">
        <f>+'All. 12'!D101</f>
        <v>41000</v>
      </c>
      <c r="E103" s="403">
        <f t="shared" si="9"/>
        <v>141000</v>
      </c>
      <c r="F103" s="670">
        <f>'Tab 0'!$B$48</f>
        <v>0.12</v>
      </c>
      <c r="G103" s="671">
        <f t="shared" si="10"/>
        <v>16920</v>
      </c>
      <c r="I103" s="700">
        <f>+'All. 12'!G101</f>
        <v>161717.20656674236</v>
      </c>
      <c r="J103" s="699">
        <f>+'All. 12'!H101</f>
        <v>28648.526444414849</v>
      </c>
      <c r="K103" s="403">
        <f t="shared" si="11"/>
        <v>190365.73301115719</v>
      </c>
      <c r="L103" s="670">
        <f>'Tab 0'!$B$48</f>
        <v>0.12</v>
      </c>
      <c r="M103" s="403">
        <f t="shared" si="12"/>
        <v>22843.887961338864</v>
      </c>
      <c r="N103" s="403"/>
      <c r="O103" s="403">
        <f t="shared" si="8"/>
        <v>2468.28665055786</v>
      </c>
      <c r="P103" s="672">
        <f t="shared" si="13"/>
        <v>0.13296602393463952</v>
      </c>
      <c r="Q103" s="671">
        <f t="shared" si="14"/>
        <v>25312.174611896724</v>
      </c>
    </row>
    <row r="104" spans="2:17" x14ac:dyDescent="0.15">
      <c r="B104" s="230" t="s">
        <v>965</v>
      </c>
      <c r="C104" s="698">
        <f>+'All. 12'!C102</f>
        <v>100000</v>
      </c>
      <c r="D104" s="698">
        <f>+'All. 12'!D102</f>
        <v>41000</v>
      </c>
      <c r="E104" s="403">
        <f t="shared" si="9"/>
        <v>141000</v>
      </c>
      <c r="F104" s="670">
        <f>'Tab 0'!$B$48</f>
        <v>0.12</v>
      </c>
      <c r="G104" s="671">
        <f t="shared" si="10"/>
        <v>16920</v>
      </c>
      <c r="I104" s="700">
        <f>+'All. 12'!G102</f>
        <v>161717.20656674236</v>
      </c>
      <c r="J104" s="699">
        <f>+'All. 12'!H102</f>
        <v>28648.526444414849</v>
      </c>
      <c r="K104" s="403">
        <f t="shared" si="11"/>
        <v>190365.73301115719</v>
      </c>
      <c r="L104" s="670">
        <f>'Tab 0'!$B$48</f>
        <v>0.12</v>
      </c>
      <c r="M104" s="403">
        <f t="shared" si="12"/>
        <v>22843.887961338864</v>
      </c>
      <c r="N104" s="403"/>
      <c r="O104" s="403">
        <f t="shared" si="8"/>
        <v>2468.28665055786</v>
      </c>
      <c r="P104" s="672">
        <f t="shared" si="13"/>
        <v>0.13296602393463952</v>
      </c>
      <c r="Q104" s="671">
        <f t="shared" si="14"/>
        <v>25312.174611896724</v>
      </c>
    </row>
    <row r="105" spans="2:17" x14ac:dyDescent="0.15">
      <c r="B105" s="230" t="s">
        <v>966</v>
      </c>
      <c r="C105" s="698">
        <f>+'All. 12'!C103</f>
        <v>100000</v>
      </c>
      <c r="D105" s="698">
        <f>+'All. 12'!D103</f>
        <v>41000</v>
      </c>
      <c r="E105" s="403">
        <f t="shared" si="9"/>
        <v>141000</v>
      </c>
      <c r="F105" s="670">
        <f>'Tab 0'!$B$48</f>
        <v>0.12</v>
      </c>
      <c r="G105" s="671">
        <f t="shared" si="10"/>
        <v>16920</v>
      </c>
      <c r="I105" s="700">
        <f>+'All. 12'!G103</f>
        <v>161717.20656674236</v>
      </c>
      <c r="J105" s="699">
        <f>+'All. 12'!H103</f>
        <v>28648.526444414849</v>
      </c>
      <c r="K105" s="403">
        <f t="shared" si="11"/>
        <v>190365.73301115719</v>
      </c>
      <c r="L105" s="670">
        <f>'Tab 0'!$B$48</f>
        <v>0.12</v>
      </c>
      <c r="M105" s="403">
        <f t="shared" si="12"/>
        <v>22843.887961338864</v>
      </c>
      <c r="N105" s="403"/>
      <c r="O105" s="403">
        <f t="shared" ref="O105:O123" si="15">IF(AND(E105&gt;0,K105&gt;E105),(K105-E105)*$C$4,0)</f>
        <v>2468.28665055786</v>
      </c>
      <c r="P105" s="672">
        <f t="shared" si="13"/>
        <v>0.13296602393463952</v>
      </c>
      <c r="Q105" s="671">
        <f t="shared" si="14"/>
        <v>25312.174611896724</v>
      </c>
    </row>
    <row r="106" spans="2:17" x14ac:dyDescent="0.15">
      <c r="B106" s="230" t="s">
        <v>967</v>
      </c>
      <c r="C106" s="698">
        <f>+'All. 12'!C104</f>
        <v>100000</v>
      </c>
      <c r="D106" s="698">
        <f>+'All. 12'!D104</f>
        <v>41000</v>
      </c>
      <c r="E106" s="403">
        <f t="shared" si="9"/>
        <v>141000</v>
      </c>
      <c r="F106" s="670">
        <f>'Tab 0'!$B$48</f>
        <v>0.12</v>
      </c>
      <c r="G106" s="671">
        <f t="shared" si="10"/>
        <v>16920</v>
      </c>
      <c r="I106" s="700">
        <f>+'All. 12'!G104</f>
        <v>161717.20656674236</v>
      </c>
      <c r="J106" s="699">
        <f>+'All. 12'!H104</f>
        <v>28648.526444414849</v>
      </c>
      <c r="K106" s="403">
        <f t="shared" si="11"/>
        <v>190365.73301115719</v>
      </c>
      <c r="L106" s="670">
        <f>'Tab 0'!$B$48</f>
        <v>0.12</v>
      </c>
      <c r="M106" s="403">
        <f t="shared" si="12"/>
        <v>22843.887961338864</v>
      </c>
      <c r="N106" s="403"/>
      <c r="O106" s="403">
        <f t="shared" si="15"/>
        <v>2468.28665055786</v>
      </c>
      <c r="P106" s="672">
        <f t="shared" si="13"/>
        <v>0.13296602393463952</v>
      </c>
      <c r="Q106" s="671">
        <f t="shared" si="14"/>
        <v>25312.174611896724</v>
      </c>
    </row>
    <row r="107" spans="2:17" x14ac:dyDescent="0.15">
      <c r="B107" s="230" t="s">
        <v>968</v>
      </c>
      <c r="C107" s="698">
        <f>+'All. 12'!C105</f>
        <v>100000</v>
      </c>
      <c r="D107" s="698">
        <f>+'All. 12'!D105</f>
        <v>41000</v>
      </c>
      <c r="E107" s="403">
        <f t="shared" si="9"/>
        <v>141000</v>
      </c>
      <c r="F107" s="670">
        <f>'Tab 0'!$B$48</f>
        <v>0.12</v>
      </c>
      <c r="G107" s="671">
        <f t="shared" si="10"/>
        <v>16920</v>
      </c>
      <c r="I107" s="700">
        <f>+'All. 12'!G105</f>
        <v>161717.20656674236</v>
      </c>
      <c r="J107" s="699">
        <f>+'All. 12'!H105</f>
        <v>28648.526444414849</v>
      </c>
      <c r="K107" s="403">
        <f t="shared" si="11"/>
        <v>190365.73301115719</v>
      </c>
      <c r="L107" s="670">
        <f>'Tab 0'!$B$48</f>
        <v>0.12</v>
      </c>
      <c r="M107" s="403">
        <f t="shared" si="12"/>
        <v>22843.887961338864</v>
      </c>
      <c r="N107" s="403"/>
      <c r="O107" s="403">
        <f t="shared" si="15"/>
        <v>2468.28665055786</v>
      </c>
      <c r="P107" s="672">
        <f t="shared" si="13"/>
        <v>0.13296602393463952</v>
      </c>
      <c r="Q107" s="671">
        <f t="shared" si="14"/>
        <v>25312.174611896724</v>
      </c>
    </row>
    <row r="108" spans="2:17" x14ac:dyDescent="0.15">
      <c r="B108" s="230" t="s">
        <v>969</v>
      </c>
      <c r="C108" s="698">
        <f>+'All. 12'!C106</f>
        <v>100000</v>
      </c>
      <c r="D108" s="698">
        <f>+'All. 12'!D106</f>
        <v>41000</v>
      </c>
      <c r="E108" s="403">
        <f t="shared" si="9"/>
        <v>141000</v>
      </c>
      <c r="F108" s="670">
        <f>'Tab 0'!$B$48</f>
        <v>0.12</v>
      </c>
      <c r="G108" s="671">
        <f t="shared" si="10"/>
        <v>16920</v>
      </c>
      <c r="I108" s="700">
        <f>+'All. 12'!G106</f>
        <v>161717.20656674236</v>
      </c>
      <c r="J108" s="699">
        <f>+'All. 12'!H106</f>
        <v>28648.526444414849</v>
      </c>
      <c r="K108" s="403">
        <f t="shared" si="11"/>
        <v>190365.73301115719</v>
      </c>
      <c r="L108" s="670">
        <f>'Tab 0'!$B$48</f>
        <v>0.12</v>
      </c>
      <c r="M108" s="403">
        <f t="shared" si="12"/>
        <v>22843.887961338864</v>
      </c>
      <c r="N108" s="403"/>
      <c r="O108" s="403">
        <f t="shared" si="15"/>
        <v>2468.28665055786</v>
      </c>
      <c r="P108" s="672">
        <f t="shared" si="13"/>
        <v>0.13296602393463952</v>
      </c>
      <c r="Q108" s="671">
        <f t="shared" si="14"/>
        <v>25312.174611896724</v>
      </c>
    </row>
    <row r="109" spans="2:17" x14ac:dyDescent="0.15">
      <c r="B109" s="230" t="s">
        <v>970</v>
      </c>
      <c r="C109" s="698">
        <f>+'All. 12'!C107</f>
        <v>100000</v>
      </c>
      <c r="D109" s="698">
        <f>+'All. 12'!D107</f>
        <v>41000</v>
      </c>
      <c r="E109" s="403">
        <f t="shared" si="9"/>
        <v>141000</v>
      </c>
      <c r="F109" s="670">
        <f>'Tab 0'!$B$48</f>
        <v>0.12</v>
      </c>
      <c r="G109" s="671">
        <f t="shared" si="10"/>
        <v>16920</v>
      </c>
      <c r="I109" s="700">
        <f>+'All. 12'!G107</f>
        <v>161717.20656674236</v>
      </c>
      <c r="J109" s="699">
        <f>+'All. 12'!H107</f>
        <v>28648.526444414849</v>
      </c>
      <c r="K109" s="403">
        <f t="shared" si="11"/>
        <v>190365.73301115719</v>
      </c>
      <c r="L109" s="670">
        <f>'Tab 0'!$B$48</f>
        <v>0.12</v>
      </c>
      <c r="M109" s="403">
        <f t="shared" si="12"/>
        <v>22843.887961338864</v>
      </c>
      <c r="N109" s="403"/>
      <c r="O109" s="403">
        <f t="shared" si="15"/>
        <v>2468.28665055786</v>
      </c>
      <c r="P109" s="672">
        <f t="shared" si="13"/>
        <v>0.13296602393463952</v>
      </c>
      <c r="Q109" s="671">
        <f t="shared" si="14"/>
        <v>25312.174611896724</v>
      </c>
    </row>
    <row r="110" spans="2:17" x14ac:dyDescent="0.15">
      <c r="B110" s="230" t="s">
        <v>971</v>
      </c>
      <c r="C110" s="698">
        <f>+'All. 12'!C108</f>
        <v>100000</v>
      </c>
      <c r="D110" s="698">
        <f>+'All. 12'!D108</f>
        <v>41000</v>
      </c>
      <c r="E110" s="403">
        <f t="shared" si="9"/>
        <v>141000</v>
      </c>
      <c r="F110" s="670">
        <f>'Tab 0'!$B$48</f>
        <v>0.12</v>
      </c>
      <c r="G110" s="671">
        <f t="shared" si="10"/>
        <v>16920</v>
      </c>
      <c r="I110" s="700">
        <f>+'All. 12'!G108</f>
        <v>161717.20656674236</v>
      </c>
      <c r="J110" s="699">
        <f>+'All. 12'!H108</f>
        <v>28648.526444414849</v>
      </c>
      <c r="K110" s="403">
        <f t="shared" si="11"/>
        <v>190365.73301115719</v>
      </c>
      <c r="L110" s="670">
        <f>'Tab 0'!$B$48</f>
        <v>0.12</v>
      </c>
      <c r="M110" s="403">
        <f t="shared" si="12"/>
        <v>22843.887961338864</v>
      </c>
      <c r="N110" s="403"/>
      <c r="O110" s="403">
        <f t="shared" si="15"/>
        <v>2468.28665055786</v>
      </c>
      <c r="P110" s="672">
        <f t="shared" si="13"/>
        <v>0.13296602393463952</v>
      </c>
      <c r="Q110" s="671">
        <f t="shared" si="14"/>
        <v>25312.174611896724</v>
      </c>
    </row>
    <row r="111" spans="2:17" x14ac:dyDescent="0.15">
      <c r="B111" s="230" t="s">
        <v>972</v>
      </c>
      <c r="C111" s="698">
        <f>+'All. 12'!C109</f>
        <v>100000</v>
      </c>
      <c r="D111" s="698">
        <f>+'All. 12'!D109</f>
        <v>41000</v>
      </c>
      <c r="E111" s="403">
        <f t="shared" si="9"/>
        <v>141000</v>
      </c>
      <c r="F111" s="670">
        <f>'Tab 0'!$B$48</f>
        <v>0.12</v>
      </c>
      <c r="G111" s="671">
        <f t="shared" si="10"/>
        <v>16920</v>
      </c>
      <c r="I111" s="700">
        <f>+'All. 12'!G109</f>
        <v>161717.20656674236</v>
      </c>
      <c r="J111" s="699">
        <f>+'All. 12'!H109</f>
        <v>28648.526444414849</v>
      </c>
      <c r="K111" s="403">
        <f t="shared" si="11"/>
        <v>190365.73301115719</v>
      </c>
      <c r="L111" s="670">
        <f>'Tab 0'!$B$48</f>
        <v>0.12</v>
      </c>
      <c r="M111" s="403">
        <f t="shared" si="12"/>
        <v>22843.887961338864</v>
      </c>
      <c r="N111" s="403"/>
      <c r="O111" s="403">
        <f t="shared" si="15"/>
        <v>2468.28665055786</v>
      </c>
      <c r="P111" s="672">
        <f t="shared" si="13"/>
        <v>0.13296602393463952</v>
      </c>
      <c r="Q111" s="671">
        <f t="shared" si="14"/>
        <v>25312.174611896724</v>
      </c>
    </row>
    <row r="112" spans="2:17" x14ac:dyDescent="0.15">
      <c r="B112" s="230" t="s">
        <v>973</v>
      </c>
      <c r="C112" s="698">
        <f>+'All. 12'!C110</f>
        <v>50000</v>
      </c>
      <c r="D112" s="698">
        <f>+'All. 12'!D110</f>
        <v>20500</v>
      </c>
      <c r="E112" s="403">
        <f t="shared" si="9"/>
        <v>70500</v>
      </c>
      <c r="F112" s="670">
        <f>'Tab 0'!$B$48</f>
        <v>0.12</v>
      </c>
      <c r="G112" s="671">
        <f t="shared" si="10"/>
        <v>8460</v>
      </c>
      <c r="I112" s="700">
        <f>+'All. 12'!G110</f>
        <v>80858.60328337118</v>
      </c>
      <c r="J112" s="699">
        <f>+'All. 12'!H110</f>
        <v>14324.263222207424</v>
      </c>
      <c r="K112" s="403">
        <f t="shared" si="11"/>
        <v>95182.866505578597</v>
      </c>
      <c r="L112" s="670">
        <f>'Tab 0'!$B$48</f>
        <v>0.12</v>
      </c>
      <c r="M112" s="403">
        <f t="shared" si="12"/>
        <v>11421.943980669432</v>
      </c>
      <c r="N112" s="403"/>
      <c r="O112" s="403">
        <f t="shared" si="15"/>
        <v>1234.14332527893</v>
      </c>
      <c r="P112" s="672">
        <f t="shared" si="13"/>
        <v>0.13296602393463952</v>
      </c>
      <c r="Q112" s="671">
        <f t="shared" si="14"/>
        <v>12656.087305948362</v>
      </c>
    </row>
    <row r="113" spans="2:17" x14ac:dyDescent="0.15">
      <c r="B113" s="230" t="s">
        <v>974</v>
      </c>
      <c r="C113" s="698">
        <f>+'All. 12'!C111</f>
        <v>50000</v>
      </c>
      <c r="D113" s="698">
        <f>+'All. 12'!D111</f>
        <v>20500</v>
      </c>
      <c r="E113" s="403">
        <f t="shared" si="9"/>
        <v>70500</v>
      </c>
      <c r="F113" s="670">
        <f>'Tab 0'!$B$48</f>
        <v>0.12</v>
      </c>
      <c r="G113" s="671">
        <f t="shared" si="10"/>
        <v>8460</v>
      </c>
      <c r="I113" s="700">
        <f>+'All. 12'!G111</f>
        <v>80858.60328337118</v>
      </c>
      <c r="J113" s="699">
        <f>+'All. 12'!H111</f>
        <v>14324.263222207424</v>
      </c>
      <c r="K113" s="403">
        <f t="shared" si="11"/>
        <v>95182.866505578597</v>
      </c>
      <c r="L113" s="670">
        <f>'Tab 0'!$B$48</f>
        <v>0.12</v>
      </c>
      <c r="M113" s="403">
        <f t="shared" si="12"/>
        <v>11421.943980669432</v>
      </c>
      <c r="N113" s="403"/>
      <c r="O113" s="403">
        <f t="shared" si="15"/>
        <v>1234.14332527893</v>
      </c>
      <c r="P113" s="672">
        <f t="shared" si="13"/>
        <v>0.13296602393463952</v>
      </c>
      <c r="Q113" s="671">
        <f t="shared" si="14"/>
        <v>12656.087305948362</v>
      </c>
    </row>
    <row r="114" spans="2:17" x14ac:dyDescent="0.15">
      <c r="B114" s="230" t="s">
        <v>975</v>
      </c>
      <c r="C114" s="698">
        <f>+'All. 12'!C112</f>
        <v>50000</v>
      </c>
      <c r="D114" s="698">
        <f>+'All. 12'!D112</f>
        <v>20500</v>
      </c>
      <c r="E114" s="403">
        <f t="shared" si="9"/>
        <v>70500</v>
      </c>
      <c r="F114" s="670">
        <f>'Tab 0'!$B$48</f>
        <v>0.12</v>
      </c>
      <c r="G114" s="671">
        <f t="shared" si="10"/>
        <v>8460</v>
      </c>
      <c r="I114" s="700">
        <f>+'All. 12'!G112</f>
        <v>80858.60328337118</v>
      </c>
      <c r="J114" s="699">
        <f>+'All. 12'!H112</f>
        <v>14324.263222207424</v>
      </c>
      <c r="K114" s="403">
        <f t="shared" si="11"/>
        <v>95182.866505578597</v>
      </c>
      <c r="L114" s="670">
        <f>'Tab 0'!$B$48</f>
        <v>0.12</v>
      </c>
      <c r="M114" s="403">
        <f t="shared" si="12"/>
        <v>11421.943980669432</v>
      </c>
      <c r="N114" s="403"/>
      <c r="O114" s="403">
        <f t="shared" si="15"/>
        <v>1234.14332527893</v>
      </c>
      <c r="P114" s="672">
        <f t="shared" si="13"/>
        <v>0.13296602393463952</v>
      </c>
      <c r="Q114" s="671">
        <f t="shared" si="14"/>
        <v>12656.087305948362</v>
      </c>
    </row>
    <row r="115" spans="2:17" x14ac:dyDescent="0.15">
      <c r="B115" s="230" t="s">
        <v>976</v>
      </c>
      <c r="C115" s="698">
        <f>+'All. 12'!C113</f>
        <v>50000</v>
      </c>
      <c r="D115" s="698">
        <f>+'All. 12'!D113</f>
        <v>20500</v>
      </c>
      <c r="E115" s="403">
        <f t="shared" si="9"/>
        <v>70500</v>
      </c>
      <c r="F115" s="670">
        <f>'Tab 0'!$B$48</f>
        <v>0.12</v>
      </c>
      <c r="G115" s="671">
        <f t="shared" si="10"/>
        <v>8460</v>
      </c>
      <c r="I115" s="700">
        <f>+'All. 12'!G113</f>
        <v>80858.60328337118</v>
      </c>
      <c r="J115" s="699">
        <f>+'All. 12'!H113</f>
        <v>14324.263222207424</v>
      </c>
      <c r="K115" s="403">
        <f t="shared" si="11"/>
        <v>95182.866505578597</v>
      </c>
      <c r="L115" s="670">
        <f>'Tab 0'!$B$48</f>
        <v>0.12</v>
      </c>
      <c r="M115" s="403">
        <f t="shared" si="12"/>
        <v>11421.943980669432</v>
      </c>
      <c r="N115" s="403"/>
      <c r="O115" s="403">
        <f t="shared" si="15"/>
        <v>1234.14332527893</v>
      </c>
      <c r="P115" s="672">
        <f t="shared" si="13"/>
        <v>0.13296602393463952</v>
      </c>
      <c r="Q115" s="671">
        <f t="shared" si="14"/>
        <v>12656.087305948362</v>
      </c>
    </row>
    <row r="116" spans="2:17" x14ac:dyDescent="0.15">
      <c r="B116" s="230" t="s">
        <v>977</v>
      </c>
      <c r="C116" s="698">
        <f>+'All. 12'!C114</f>
        <v>50000</v>
      </c>
      <c r="D116" s="698">
        <f>+'All. 12'!D114</f>
        <v>20500</v>
      </c>
      <c r="E116" s="403">
        <f t="shared" si="9"/>
        <v>70500</v>
      </c>
      <c r="F116" s="670">
        <f>'Tab 0'!$B$48</f>
        <v>0.12</v>
      </c>
      <c r="G116" s="671">
        <f t="shared" si="10"/>
        <v>8460</v>
      </c>
      <c r="I116" s="700">
        <f>+'All. 12'!G114</f>
        <v>80858.60328337118</v>
      </c>
      <c r="J116" s="699">
        <f>+'All. 12'!H114</f>
        <v>14324.263222207424</v>
      </c>
      <c r="K116" s="403">
        <f t="shared" si="11"/>
        <v>95182.866505578597</v>
      </c>
      <c r="L116" s="670">
        <f>'Tab 0'!$B$48</f>
        <v>0.12</v>
      </c>
      <c r="M116" s="403">
        <f t="shared" si="12"/>
        <v>11421.943980669432</v>
      </c>
      <c r="N116" s="403"/>
      <c r="O116" s="403">
        <f t="shared" si="15"/>
        <v>1234.14332527893</v>
      </c>
      <c r="P116" s="672">
        <f t="shared" si="13"/>
        <v>0.13296602393463952</v>
      </c>
      <c r="Q116" s="671">
        <f t="shared" si="14"/>
        <v>12656.087305948362</v>
      </c>
    </row>
    <row r="117" spans="2:17" x14ac:dyDescent="0.15">
      <c r="B117" s="230" t="s">
        <v>978</v>
      </c>
      <c r="C117" s="698">
        <f>+'All. 12'!C115</f>
        <v>50000</v>
      </c>
      <c r="D117" s="698">
        <f>+'All. 12'!D115</f>
        <v>20500</v>
      </c>
      <c r="E117" s="403">
        <f t="shared" si="9"/>
        <v>70500</v>
      </c>
      <c r="F117" s="670">
        <f>'Tab 0'!$B$48</f>
        <v>0.12</v>
      </c>
      <c r="G117" s="671">
        <f t="shared" si="10"/>
        <v>8460</v>
      </c>
      <c r="I117" s="700">
        <f>+'All. 12'!G115</f>
        <v>80858.60328337118</v>
      </c>
      <c r="J117" s="699">
        <f>+'All. 12'!H115</f>
        <v>14324.263222207424</v>
      </c>
      <c r="K117" s="403">
        <f t="shared" si="11"/>
        <v>95182.866505578597</v>
      </c>
      <c r="L117" s="670">
        <f>'Tab 0'!$B$48</f>
        <v>0.12</v>
      </c>
      <c r="M117" s="403">
        <f t="shared" si="12"/>
        <v>11421.943980669432</v>
      </c>
      <c r="N117" s="403"/>
      <c r="O117" s="403">
        <f t="shared" si="15"/>
        <v>1234.14332527893</v>
      </c>
      <c r="P117" s="672">
        <f t="shared" si="13"/>
        <v>0.13296602393463952</v>
      </c>
      <c r="Q117" s="671">
        <f t="shared" si="14"/>
        <v>12656.087305948362</v>
      </c>
    </row>
    <row r="118" spans="2:17" x14ac:dyDescent="0.15">
      <c r="B118" s="230" t="s">
        <v>979</v>
      </c>
      <c r="C118" s="698">
        <f>+'All. 12'!C116</f>
        <v>50000</v>
      </c>
      <c r="D118" s="698">
        <f>+'All. 12'!D116</f>
        <v>20500</v>
      </c>
      <c r="E118" s="403">
        <f t="shared" si="9"/>
        <v>70500</v>
      </c>
      <c r="F118" s="670">
        <f>'Tab 0'!$B$48</f>
        <v>0.12</v>
      </c>
      <c r="G118" s="671">
        <f t="shared" si="10"/>
        <v>8460</v>
      </c>
      <c r="I118" s="700">
        <f>+'All. 12'!G116</f>
        <v>80858.60328337118</v>
      </c>
      <c r="J118" s="699">
        <f>+'All. 12'!H116</f>
        <v>14324.263222207424</v>
      </c>
      <c r="K118" s="403">
        <f t="shared" si="11"/>
        <v>95182.866505578597</v>
      </c>
      <c r="L118" s="670">
        <f>'Tab 0'!$B$48</f>
        <v>0.12</v>
      </c>
      <c r="M118" s="403">
        <f t="shared" si="12"/>
        <v>11421.943980669432</v>
      </c>
      <c r="N118" s="403"/>
      <c r="O118" s="403">
        <f t="shared" si="15"/>
        <v>1234.14332527893</v>
      </c>
      <c r="P118" s="672">
        <f t="shared" si="13"/>
        <v>0.13296602393463952</v>
      </c>
      <c r="Q118" s="671">
        <f t="shared" si="14"/>
        <v>12656.087305948362</v>
      </c>
    </row>
    <row r="119" spans="2:17" x14ac:dyDescent="0.15">
      <c r="B119" s="230" t="s">
        <v>980</v>
      </c>
      <c r="C119" s="698">
        <f>+'All. 12'!C117</f>
        <v>50000</v>
      </c>
      <c r="D119" s="698">
        <f>+'All. 12'!D117</f>
        <v>20500</v>
      </c>
      <c r="E119" s="403">
        <f t="shared" si="9"/>
        <v>70500</v>
      </c>
      <c r="F119" s="670">
        <f>'Tab 0'!$B$48</f>
        <v>0.12</v>
      </c>
      <c r="G119" s="671">
        <f t="shared" si="10"/>
        <v>8460</v>
      </c>
      <c r="I119" s="700">
        <f>+'All. 12'!G117</f>
        <v>80858.60328337118</v>
      </c>
      <c r="J119" s="699">
        <f>+'All. 12'!H117</f>
        <v>14324.263222207424</v>
      </c>
      <c r="K119" s="403">
        <f t="shared" si="11"/>
        <v>95182.866505578597</v>
      </c>
      <c r="L119" s="670">
        <f>'Tab 0'!$B$48</f>
        <v>0.12</v>
      </c>
      <c r="M119" s="403">
        <f t="shared" si="12"/>
        <v>11421.943980669432</v>
      </c>
      <c r="N119" s="403"/>
      <c r="O119" s="403">
        <f t="shared" si="15"/>
        <v>1234.14332527893</v>
      </c>
      <c r="P119" s="672">
        <f t="shared" si="13"/>
        <v>0.13296602393463952</v>
      </c>
      <c r="Q119" s="671">
        <f t="shared" si="14"/>
        <v>12656.087305948362</v>
      </c>
    </row>
    <row r="120" spans="2:17" x14ac:dyDescent="0.15">
      <c r="B120" s="230" t="s">
        <v>981</v>
      </c>
      <c r="C120" s="698">
        <f>+'All. 12'!C118</f>
        <v>50000</v>
      </c>
      <c r="D120" s="698">
        <f>+'All. 12'!D118</f>
        <v>20500</v>
      </c>
      <c r="E120" s="403">
        <f t="shared" si="9"/>
        <v>70500</v>
      </c>
      <c r="F120" s="670">
        <f>'Tab 0'!$B$48</f>
        <v>0.12</v>
      </c>
      <c r="G120" s="671">
        <f t="shared" si="10"/>
        <v>8460</v>
      </c>
      <c r="I120" s="700">
        <f>+'All. 12'!G118</f>
        <v>80858.60328337118</v>
      </c>
      <c r="J120" s="699">
        <f>+'All. 12'!H118</f>
        <v>14324.263222207424</v>
      </c>
      <c r="K120" s="403">
        <f t="shared" si="11"/>
        <v>95182.866505578597</v>
      </c>
      <c r="L120" s="670">
        <f>'Tab 0'!$B$48</f>
        <v>0.12</v>
      </c>
      <c r="M120" s="403">
        <f t="shared" si="12"/>
        <v>11421.943980669432</v>
      </c>
      <c r="N120" s="403"/>
      <c r="O120" s="403">
        <f t="shared" si="15"/>
        <v>1234.14332527893</v>
      </c>
      <c r="P120" s="672">
        <f t="shared" si="13"/>
        <v>0.13296602393463952</v>
      </c>
      <c r="Q120" s="671">
        <f t="shared" si="14"/>
        <v>12656.087305948362</v>
      </c>
    </row>
    <row r="121" spans="2:17" x14ac:dyDescent="0.15">
      <c r="B121" s="230" t="s">
        <v>982</v>
      </c>
      <c r="C121" s="698">
        <f>+'All. 12'!C119</f>
        <v>50000</v>
      </c>
      <c r="D121" s="698">
        <f>+'All. 12'!D119</f>
        <v>20500</v>
      </c>
      <c r="E121" s="403">
        <f t="shared" si="9"/>
        <v>70500</v>
      </c>
      <c r="F121" s="670">
        <f>'Tab 0'!$B$48</f>
        <v>0.12</v>
      </c>
      <c r="G121" s="671">
        <f t="shared" si="10"/>
        <v>8460</v>
      </c>
      <c r="I121" s="700">
        <f>+'All. 12'!G119</f>
        <v>80858.60328337118</v>
      </c>
      <c r="J121" s="699">
        <f>+'All. 12'!H119</f>
        <v>14324.263222207424</v>
      </c>
      <c r="K121" s="403">
        <f t="shared" si="11"/>
        <v>95182.866505578597</v>
      </c>
      <c r="L121" s="670">
        <f>'Tab 0'!$B$48</f>
        <v>0.12</v>
      </c>
      <c r="M121" s="403">
        <f t="shared" si="12"/>
        <v>11421.943980669432</v>
      </c>
      <c r="N121" s="403"/>
      <c r="O121" s="403">
        <f t="shared" si="15"/>
        <v>1234.14332527893</v>
      </c>
      <c r="P121" s="672">
        <f t="shared" si="13"/>
        <v>0.13296602393463952</v>
      </c>
      <c r="Q121" s="671">
        <f t="shared" si="14"/>
        <v>12656.087305948362</v>
      </c>
    </row>
    <row r="122" spans="2:17" x14ac:dyDescent="0.15">
      <c r="B122" s="230" t="s">
        <v>983</v>
      </c>
      <c r="C122" s="698">
        <f>+'All. 12'!C120</f>
        <v>50000</v>
      </c>
      <c r="D122" s="698">
        <f>+'All. 12'!D120</f>
        <v>20500</v>
      </c>
      <c r="E122" s="403">
        <f t="shared" si="9"/>
        <v>70500</v>
      </c>
      <c r="F122" s="670">
        <f>'Tab 0'!$B$48</f>
        <v>0.12</v>
      </c>
      <c r="G122" s="671">
        <f t="shared" si="10"/>
        <v>8460</v>
      </c>
      <c r="I122" s="700">
        <f>+'All. 12'!G120</f>
        <v>80858.60328337118</v>
      </c>
      <c r="J122" s="699">
        <f>+'All. 12'!H120</f>
        <v>14324.263222207424</v>
      </c>
      <c r="K122" s="403">
        <f t="shared" si="11"/>
        <v>95182.866505578597</v>
      </c>
      <c r="L122" s="670">
        <f>'Tab 0'!$B$48</f>
        <v>0.12</v>
      </c>
      <c r="M122" s="403">
        <f t="shared" si="12"/>
        <v>11421.943980669432</v>
      </c>
      <c r="N122" s="403"/>
      <c r="O122" s="403">
        <f t="shared" si="15"/>
        <v>1234.14332527893</v>
      </c>
      <c r="P122" s="672">
        <f t="shared" si="13"/>
        <v>0.13296602393463952</v>
      </c>
      <c r="Q122" s="671">
        <f t="shared" si="14"/>
        <v>12656.087305948362</v>
      </c>
    </row>
    <row r="123" spans="2:17" x14ac:dyDescent="0.15">
      <c r="B123" s="230" t="s">
        <v>984</v>
      </c>
      <c r="C123" s="698">
        <f>+'All. 12'!C121</f>
        <v>50000</v>
      </c>
      <c r="D123" s="698">
        <f>+'All. 12'!D121</f>
        <v>20500</v>
      </c>
      <c r="E123" s="403">
        <f t="shared" si="9"/>
        <v>70500</v>
      </c>
      <c r="F123" s="670">
        <f>'Tab 0'!$B$48</f>
        <v>0.12</v>
      </c>
      <c r="G123" s="671">
        <f t="shared" si="10"/>
        <v>8460</v>
      </c>
      <c r="I123" s="700">
        <f>+'All. 12'!G121</f>
        <v>80858.60328337118</v>
      </c>
      <c r="J123" s="699">
        <f>+'All. 12'!H121</f>
        <v>14324.263222207424</v>
      </c>
      <c r="K123" s="403">
        <f t="shared" si="11"/>
        <v>95182.866505578597</v>
      </c>
      <c r="L123" s="670">
        <f>'Tab 0'!$B$48</f>
        <v>0.12</v>
      </c>
      <c r="M123" s="403">
        <f t="shared" si="12"/>
        <v>11421.943980669432</v>
      </c>
      <c r="N123" s="403"/>
      <c r="O123" s="403">
        <f t="shared" si="15"/>
        <v>1234.14332527893</v>
      </c>
      <c r="P123" s="672">
        <f t="shared" si="13"/>
        <v>0.13296602393463952</v>
      </c>
      <c r="Q123" s="671">
        <f t="shared" si="14"/>
        <v>12656.087305948362</v>
      </c>
    </row>
    <row r="124" spans="2:17" x14ac:dyDescent="0.15">
      <c r="B124" s="674" t="s">
        <v>992</v>
      </c>
      <c r="C124" s="675">
        <f>SUM(C9:C123)</f>
        <v>27293820</v>
      </c>
      <c r="D124" s="675">
        <f t="shared" ref="D124:E124" si="16">SUM(D9:D123)</f>
        <v>11148180</v>
      </c>
      <c r="E124" s="675">
        <f t="shared" si="16"/>
        <v>38442000</v>
      </c>
      <c r="F124" s="676">
        <f>IFERROR(+G124/E124,0)</f>
        <v>0.12</v>
      </c>
      <c r="G124" s="677">
        <f t="shared" ref="G124" si="17">SUM(G9:G123)</f>
        <v>4613040</v>
      </c>
      <c r="I124" s="693">
        <f>SUM(I9:I123)</f>
        <v>44138803.269354858</v>
      </c>
      <c r="J124" s="675">
        <f t="shared" ref="J124" si="18">SUM(J9:J123)</f>
        <v>7789729.9887096612</v>
      </c>
      <c r="K124" s="675">
        <f t="shared" ref="K124" si="19">SUM(K9:K123)</f>
        <v>51928533.258064449</v>
      </c>
      <c r="L124" s="676">
        <f>IFERROR(+M124/K124,0)</f>
        <v>0.12000000000000025</v>
      </c>
      <c r="M124" s="675">
        <f t="shared" ref="M124:Q124" si="20">SUM(M9:M123)</f>
        <v>6231423.9909677468</v>
      </c>
      <c r="N124" s="675">
        <f t="shared" si="20"/>
        <v>0</v>
      </c>
      <c r="O124" s="675">
        <f t="shared" si="20"/>
        <v>674326.66290322645</v>
      </c>
      <c r="P124" s="678">
        <f t="shared" si="13"/>
        <v>0.13298566742781046</v>
      </c>
      <c r="Q124" s="677">
        <f t="shared" si="20"/>
        <v>6905750.6538709532</v>
      </c>
    </row>
    <row r="125" spans="2:17" x14ac:dyDescent="0.15">
      <c r="B125" s="230" t="s">
        <v>985</v>
      </c>
      <c r="C125" s="698">
        <f>+'All. 12'!C123</f>
        <v>0</v>
      </c>
      <c r="D125" s="698">
        <f>+'All. 12'!D123</f>
        <v>0</v>
      </c>
      <c r="E125" s="403">
        <f t="shared" si="9"/>
        <v>0</v>
      </c>
      <c r="F125" s="670">
        <v>0</v>
      </c>
      <c r="G125" s="671">
        <f t="shared" si="10"/>
        <v>0</v>
      </c>
      <c r="I125" s="700">
        <f>+'All. 12'!G123</f>
        <v>30000</v>
      </c>
      <c r="J125" s="699">
        <f>+'All. 12'!H123</f>
        <v>5000</v>
      </c>
      <c r="K125" s="403">
        <f t="shared" ref="K125:K131" si="21">SUM(I125:J125)</f>
        <v>35000</v>
      </c>
      <c r="L125" s="670">
        <v>0.12</v>
      </c>
      <c r="M125" s="403">
        <f t="shared" ref="M125:M131" si="22">+K125*L125</f>
        <v>4200</v>
      </c>
      <c r="N125" s="402">
        <f>IF(M125&lt;$C$5,($C$5-M125),M125)</f>
        <v>15800</v>
      </c>
      <c r="O125" s="403">
        <f t="shared" ref="O125:O131" si="23">IF(AND(E125&gt;0,K125&gt;E125),(K125-E125)*$C$4,0)</f>
        <v>0</v>
      </c>
      <c r="P125" s="672">
        <f t="shared" si="13"/>
        <v>0.5714285714285714</v>
      </c>
      <c r="Q125" s="671">
        <f t="shared" si="14"/>
        <v>20000</v>
      </c>
    </row>
    <row r="126" spans="2:17" x14ac:dyDescent="0.15">
      <c r="B126" s="230" t="s">
        <v>986</v>
      </c>
      <c r="C126" s="698">
        <f>+'All. 12'!C124</f>
        <v>0</v>
      </c>
      <c r="D126" s="698">
        <f>+'All. 12'!D124</f>
        <v>0</v>
      </c>
      <c r="E126" s="403">
        <f t="shared" si="9"/>
        <v>0</v>
      </c>
      <c r="F126" s="670">
        <v>0</v>
      </c>
      <c r="G126" s="671">
        <f t="shared" si="10"/>
        <v>0</v>
      </c>
      <c r="I126" s="700">
        <f>+'All. 12'!G124</f>
        <v>30000</v>
      </c>
      <c r="J126" s="699">
        <f>+'All. 12'!H124</f>
        <v>5000</v>
      </c>
      <c r="K126" s="403">
        <f t="shared" si="21"/>
        <v>35000</v>
      </c>
      <c r="L126" s="670">
        <v>0.12</v>
      </c>
      <c r="M126" s="403">
        <f t="shared" si="22"/>
        <v>4200</v>
      </c>
      <c r="N126" s="402">
        <f t="shared" ref="N126:N131" si="24">IF(M126&lt;$C$5,($C$5-M126),M126)</f>
        <v>15800</v>
      </c>
      <c r="O126" s="403">
        <f t="shared" si="23"/>
        <v>0</v>
      </c>
      <c r="P126" s="672">
        <f t="shared" si="13"/>
        <v>0.5714285714285714</v>
      </c>
      <c r="Q126" s="671">
        <f t="shared" si="14"/>
        <v>20000</v>
      </c>
    </row>
    <row r="127" spans="2:17" x14ac:dyDescent="0.15">
      <c r="B127" s="230" t="s">
        <v>987</v>
      </c>
      <c r="C127" s="698">
        <f>+'All. 12'!C125</f>
        <v>0</v>
      </c>
      <c r="D127" s="698">
        <f>+'All. 12'!D125</f>
        <v>0</v>
      </c>
      <c r="E127" s="403">
        <f t="shared" si="9"/>
        <v>0</v>
      </c>
      <c r="F127" s="670">
        <v>0</v>
      </c>
      <c r="G127" s="671">
        <f t="shared" si="10"/>
        <v>0</v>
      </c>
      <c r="I127" s="700">
        <f>+'All. 12'!G125</f>
        <v>30000</v>
      </c>
      <c r="J127" s="699">
        <f>+'All. 12'!H125</f>
        <v>5000</v>
      </c>
      <c r="K127" s="403">
        <f t="shared" si="21"/>
        <v>35000</v>
      </c>
      <c r="L127" s="670">
        <v>0.12</v>
      </c>
      <c r="M127" s="403">
        <f t="shared" si="22"/>
        <v>4200</v>
      </c>
      <c r="N127" s="402">
        <f t="shared" si="24"/>
        <v>15800</v>
      </c>
      <c r="O127" s="403">
        <f t="shared" si="23"/>
        <v>0</v>
      </c>
      <c r="P127" s="672">
        <f t="shared" si="13"/>
        <v>0.5714285714285714</v>
      </c>
      <c r="Q127" s="671">
        <f t="shared" si="14"/>
        <v>20000</v>
      </c>
    </row>
    <row r="128" spans="2:17" x14ac:dyDescent="0.15">
      <c r="B128" s="230" t="s">
        <v>988</v>
      </c>
      <c r="C128" s="698">
        <f>+'All. 12'!C126</f>
        <v>0</v>
      </c>
      <c r="D128" s="698">
        <f>+'All. 12'!D126</f>
        <v>0</v>
      </c>
      <c r="E128" s="403">
        <f t="shared" si="9"/>
        <v>0</v>
      </c>
      <c r="F128" s="670">
        <v>0</v>
      </c>
      <c r="G128" s="671">
        <f t="shared" si="10"/>
        <v>0</v>
      </c>
      <c r="I128" s="700">
        <f>+'All. 12'!G126</f>
        <v>30000</v>
      </c>
      <c r="J128" s="699">
        <f>+'All. 12'!H126</f>
        <v>5000</v>
      </c>
      <c r="K128" s="403">
        <f t="shared" si="21"/>
        <v>35000</v>
      </c>
      <c r="L128" s="670">
        <v>0.12</v>
      </c>
      <c r="M128" s="403">
        <f t="shared" si="22"/>
        <v>4200</v>
      </c>
      <c r="N128" s="402">
        <f t="shared" si="24"/>
        <v>15800</v>
      </c>
      <c r="O128" s="403">
        <f t="shared" si="23"/>
        <v>0</v>
      </c>
      <c r="P128" s="672">
        <f t="shared" si="13"/>
        <v>0.5714285714285714</v>
      </c>
      <c r="Q128" s="671">
        <f t="shared" si="14"/>
        <v>20000</v>
      </c>
    </row>
    <row r="129" spans="2:17" x14ac:dyDescent="0.15">
      <c r="B129" s="230" t="s">
        <v>989</v>
      </c>
      <c r="C129" s="698">
        <f>+'All. 12'!C127</f>
        <v>0</v>
      </c>
      <c r="D129" s="698">
        <f>+'All. 12'!D127</f>
        <v>0</v>
      </c>
      <c r="E129" s="403">
        <f t="shared" si="9"/>
        <v>0</v>
      </c>
      <c r="F129" s="670">
        <v>0</v>
      </c>
      <c r="G129" s="671">
        <f t="shared" si="10"/>
        <v>0</v>
      </c>
      <c r="I129" s="700">
        <f>+'All. 12'!G127</f>
        <v>30000</v>
      </c>
      <c r="J129" s="699">
        <f>+'All. 12'!H127</f>
        <v>5000</v>
      </c>
      <c r="K129" s="403">
        <f t="shared" si="21"/>
        <v>35000</v>
      </c>
      <c r="L129" s="670">
        <v>0.12</v>
      </c>
      <c r="M129" s="403">
        <f t="shared" si="22"/>
        <v>4200</v>
      </c>
      <c r="N129" s="402">
        <f t="shared" si="24"/>
        <v>15800</v>
      </c>
      <c r="O129" s="403">
        <f t="shared" si="23"/>
        <v>0</v>
      </c>
      <c r="P129" s="672">
        <f t="shared" si="13"/>
        <v>0.5714285714285714</v>
      </c>
      <c r="Q129" s="671">
        <f t="shared" si="14"/>
        <v>20000</v>
      </c>
    </row>
    <row r="130" spans="2:17" x14ac:dyDescent="0.15">
      <c r="B130" s="230" t="s">
        <v>990</v>
      </c>
      <c r="C130" s="698">
        <f>+'All. 12'!C128</f>
        <v>0</v>
      </c>
      <c r="D130" s="698">
        <f>+'All. 12'!D128</f>
        <v>0</v>
      </c>
      <c r="E130" s="403">
        <f t="shared" si="9"/>
        <v>0</v>
      </c>
      <c r="F130" s="670">
        <v>0</v>
      </c>
      <c r="G130" s="671">
        <f t="shared" si="10"/>
        <v>0</v>
      </c>
      <c r="I130" s="700">
        <f>+'All. 12'!G128</f>
        <v>20000</v>
      </c>
      <c r="J130" s="699">
        <f>+'All. 12'!H128</f>
        <v>4000</v>
      </c>
      <c r="K130" s="403">
        <f t="shared" si="21"/>
        <v>24000</v>
      </c>
      <c r="L130" s="670">
        <v>0.12</v>
      </c>
      <c r="M130" s="403">
        <f t="shared" si="22"/>
        <v>2880</v>
      </c>
      <c r="N130" s="402">
        <f t="shared" si="24"/>
        <v>17120</v>
      </c>
      <c r="O130" s="403">
        <f t="shared" si="23"/>
        <v>0</v>
      </c>
      <c r="P130" s="672">
        <f t="shared" si="13"/>
        <v>0.83333333333333337</v>
      </c>
      <c r="Q130" s="671">
        <f t="shared" si="14"/>
        <v>20000</v>
      </c>
    </row>
    <row r="131" spans="2:17" x14ac:dyDescent="0.15">
      <c r="B131" s="230" t="s">
        <v>991</v>
      </c>
      <c r="C131" s="698">
        <f>+'All. 12'!C129</f>
        <v>0</v>
      </c>
      <c r="D131" s="698">
        <f>+'All. 12'!D129</f>
        <v>0</v>
      </c>
      <c r="E131" s="403">
        <f t="shared" si="9"/>
        <v>0</v>
      </c>
      <c r="F131" s="670">
        <v>0</v>
      </c>
      <c r="G131" s="671">
        <f t="shared" si="10"/>
        <v>0</v>
      </c>
      <c r="I131" s="700">
        <f>+'All. 12'!G129</f>
        <v>20000</v>
      </c>
      <c r="J131" s="699">
        <f>+'All. 12'!H129</f>
        <v>4000</v>
      </c>
      <c r="K131" s="403">
        <f t="shared" si="21"/>
        <v>24000</v>
      </c>
      <c r="L131" s="670">
        <v>0.12</v>
      </c>
      <c r="M131" s="403">
        <f t="shared" si="22"/>
        <v>2880</v>
      </c>
      <c r="N131" s="402">
        <f t="shared" si="24"/>
        <v>17120</v>
      </c>
      <c r="O131" s="403">
        <f t="shared" si="23"/>
        <v>0</v>
      </c>
      <c r="P131" s="672">
        <f t="shared" si="13"/>
        <v>0.83333333333333337</v>
      </c>
      <c r="Q131" s="671">
        <f t="shared" si="14"/>
        <v>20000</v>
      </c>
    </row>
    <row r="132" spans="2:17" x14ac:dyDescent="0.15">
      <c r="B132" s="674" t="s">
        <v>993</v>
      </c>
      <c r="C132" s="675">
        <f>SUM(C125:C131)</f>
        <v>0</v>
      </c>
      <c r="D132" s="675">
        <f t="shared" ref="D132:E132" si="25">SUM(D125:D131)</f>
        <v>0</v>
      </c>
      <c r="E132" s="675">
        <f t="shared" si="25"/>
        <v>0</v>
      </c>
      <c r="F132" s="676">
        <f>IFERROR(+G132/E132,0)</f>
        <v>0</v>
      </c>
      <c r="G132" s="677">
        <f t="shared" ref="G132" si="26">SUM(G125:G131)</f>
        <v>0</v>
      </c>
      <c r="I132" s="693">
        <f>SUM(I125:I131)</f>
        <v>190000</v>
      </c>
      <c r="J132" s="675">
        <f t="shared" ref="J132" si="27">SUM(J125:J131)</f>
        <v>33000</v>
      </c>
      <c r="K132" s="675">
        <f t="shared" ref="K132" si="28">SUM(K125:K131)</f>
        <v>223000</v>
      </c>
      <c r="L132" s="676">
        <f>IFERROR(+M132/K132,0)</f>
        <v>0.12</v>
      </c>
      <c r="M132" s="675">
        <f t="shared" ref="M132:Q132" si="29">SUM(M125:M131)</f>
        <v>26760</v>
      </c>
      <c r="N132" s="675">
        <f t="shared" ref="N132" si="30">SUM(N125:N131)</f>
        <v>113240</v>
      </c>
      <c r="O132" s="675">
        <f t="shared" ref="O132" si="31">SUM(O125:O131)</f>
        <v>0</v>
      </c>
      <c r="P132" s="678">
        <f t="shared" si="13"/>
        <v>0.62780269058295968</v>
      </c>
      <c r="Q132" s="677">
        <f t="shared" si="29"/>
        <v>140000</v>
      </c>
    </row>
    <row r="133" spans="2:17" x14ac:dyDescent="0.15">
      <c r="B133" s="680" t="s">
        <v>1000</v>
      </c>
      <c r="C133" s="681">
        <f>+C124+C132</f>
        <v>27293820</v>
      </c>
      <c r="D133" s="681">
        <f t="shared" ref="D133:E133" si="32">+D124+D132</f>
        <v>11148180</v>
      </c>
      <c r="E133" s="681">
        <f t="shared" si="32"/>
        <v>38442000</v>
      </c>
      <c r="F133" s="682">
        <f>+G133/E133</f>
        <v>0.12</v>
      </c>
      <c r="G133" s="683">
        <f t="shared" ref="G133" si="33">+G124+G132</f>
        <v>4613040</v>
      </c>
      <c r="I133" s="695">
        <f>+I124+I132</f>
        <v>44328803.269354858</v>
      </c>
      <c r="J133" s="681">
        <f t="shared" ref="J133" si="34">+J124+J132</f>
        <v>7822729.9887096612</v>
      </c>
      <c r="K133" s="681">
        <f t="shared" ref="K133" si="35">+K124+K132</f>
        <v>52151533.258064449</v>
      </c>
      <c r="L133" s="682">
        <f>+M133/K133</f>
        <v>0.12000000000000025</v>
      </c>
      <c r="M133" s="681">
        <f t="shared" ref="M133:Q133" si="36">+M124+M132</f>
        <v>6258183.9909677468</v>
      </c>
      <c r="N133" s="681">
        <f t="shared" ref="N133" si="37">+N124+N132</f>
        <v>113240</v>
      </c>
      <c r="O133" s="681">
        <f t="shared" ref="O133" si="38">+O124+O132</f>
        <v>674326.66290322645</v>
      </c>
      <c r="P133" s="684">
        <f t="shared" si="13"/>
        <v>0.13510150543429006</v>
      </c>
      <c r="Q133" s="683">
        <f t="shared" si="36"/>
        <v>7045750.6538709532</v>
      </c>
    </row>
    <row r="134" spans="2:17" x14ac:dyDescent="0.15">
      <c r="B134" s="230"/>
      <c r="C134" s="679"/>
      <c r="D134" s="679"/>
      <c r="E134" s="679"/>
      <c r="G134" s="343"/>
      <c r="I134" s="696"/>
      <c r="J134" s="679"/>
      <c r="K134" s="679"/>
      <c r="M134" s="679"/>
      <c r="N134" s="679"/>
      <c r="O134" s="679"/>
      <c r="Q134" s="691"/>
    </row>
    <row r="135" spans="2:17" x14ac:dyDescent="0.15">
      <c r="B135" s="680" t="s">
        <v>994</v>
      </c>
      <c r="C135" s="681">
        <f>+'Tab 2'!H6</f>
        <v>79446800</v>
      </c>
      <c r="D135" s="681">
        <f>+'Tab 2'!H7</f>
        <v>0</v>
      </c>
      <c r="E135" s="681">
        <f>+C135+D135</f>
        <v>79446800</v>
      </c>
      <c r="F135" s="682">
        <v>0</v>
      </c>
      <c r="G135" s="683">
        <f>E135*F135</f>
        <v>0</v>
      </c>
      <c r="I135" s="695">
        <f>+'Tab 2'!H14</f>
        <v>77857864</v>
      </c>
      <c r="J135" s="681">
        <f>+'Tab 2'!H15</f>
        <v>0</v>
      </c>
      <c r="K135" s="681">
        <f>+I135+J135</f>
        <v>77857864</v>
      </c>
      <c r="L135" s="682">
        <v>0</v>
      </c>
      <c r="M135" s="681">
        <f>K135*L135</f>
        <v>0</v>
      </c>
      <c r="N135" s="681">
        <v>0</v>
      </c>
      <c r="O135" s="681">
        <f>IF(AND(E135&gt;0,K135&gt;E135),(K135-E135)*$C$4,0)</f>
        <v>0</v>
      </c>
      <c r="P135" s="684">
        <f t="shared" si="13"/>
        <v>0</v>
      </c>
      <c r="Q135" s="683">
        <f>+M135+N135+O135</f>
        <v>0</v>
      </c>
    </row>
    <row r="136" spans="2:17" x14ac:dyDescent="0.15">
      <c r="B136" s="230"/>
      <c r="C136" s="679"/>
      <c r="D136" s="679"/>
      <c r="E136" s="679"/>
      <c r="G136" s="343"/>
      <c r="I136" s="696"/>
      <c r="J136" s="679"/>
      <c r="K136" s="679"/>
      <c r="M136" s="679"/>
      <c r="N136" s="679"/>
      <c r="O136" s="679"/>
      <c r="Q136" s="691"/>
    </row>
    <row r="137" spans="2:17" x14ac:dyDescent="0.15">
      <c r="B137" s="230" t="s">
        <v>870</v>
      </c>
      <c r="C137" s="698">
        <f>+'All. 12'!C135</f>
        <v>100000</v>
      </c>
      <c r="D137" s="698">
        <f>+'All. 12'!D135</f>
        <v>1000000</v>
      </c>
      <c r="E137" s="403">
        <f t="shared" ref="E137:E148" si="39">SUM(C137:D137)</f>
        <v>1100000</v>
      </c>
      <c r="F137" s="670">
        <f>'Tab 0'!$D$48</f>
        <v>0.06</v>
      </c>
      <c r="G137" s="671">
        <f t="shared" ref="G137:G148" si="40">+E137*F137</f>
        <v>66000</v>
      </c>
      <c r="I137" s="700">
        <f>+'All. 12'!G135</f>
        <v>74787.992300088503</v>
      </c>
      <c r="J137" s="699">
        <f>+'All. 12'!H135</f>
        <v>1405356.7783862774</v>
      </c>
      <c r="K137" s="403">
        <f t="shared" ref="K137:K148" si="41">SUM(I137:J137)</f>
        <v>1480144.7706863659</v>
      </c>
      <c r="L137" s="670">
        <f>'Tab 0'!$D$48</f>
        <v>0.06</v>
      </c>
      <c r="M137" s="403">
        <f t="shared" ref="M137:M148" si="42">+K137*L137</f>
        <v>88808.686241181946</v>
      </c>
      <c r="N137" s="403"/>
      <c r="O137" s="403">
        <f t="shared" ref="O137:O148" si="43">IF(AND(E137&gt;0,K137&gt;E137),(K137-E137)*$C$4,0)</f>
        <v>19007.238534318294</v>
      </c>
      <c r="P137" s="672">
        <f t="shared" si="13"/>
        <v>7.2841472611834004E-2</v>
      </c>
      <c r="Q137" s="671">
        <f t="shared" ref="Q137:Q148" si="44">+M137+N137+O137</f>
        <v>107815.92477550024</v>
      </c>
    </row>
    <row r="138" spans="2:17" x14ac:dyDescent="0.15">
      <c r="B138" s="230" t="s">
        <v>871</v>
      </c>
      <c r="C138" s="698">
        <f>+'All. 12'!C136</f>
        <v>100000</v>
      </c>
      <c r="D138" s="698">
        <f>+'All. 12'!D136</f>
        <v>900000</v>
      </c>
      <c r="E138" s="403">
        <f t="shared" si="39"/>
        <v>1000000</v>
      </c>
      <c r="F138" s="670">
        <f>'Tab 0'!$D$48</f>
        <v>0.06</v>
      </c>
      <c r="G138" s="671">
        <f t="shared" si="40"/>
        <v>60000</v>
      </c>
      <c r="I138" s="700">
        <f>+'All. 12'!G136</f>
        <v>74787.992300088503</v>
      </c>
      <c r="J138" s="699">
        <f>+'All. 12'!H136</f>
        <v>1264821.1005476497</v>
      </c>
      <c r="K138" s="403">
        <f t="shared" si="41"/>
        <v>1339609.0928477382</v>
      </c>
      <c r="L138" s="670">
        <f>'Tab 0'!$D$48</f>
        <v>0.06</v>
      </c>
      <c r="M138" s="403">
        <f t="shared" si="42"/>
        <v>80376.545570864284</v>
      </c>
      <c r="N138" s="403"/>
      <c r="O138" s="403">
        <f t="shared" si="43"/>
        <v>16980.454642386911</v>
      </c>
      <c r="P138" s="672">
        <f t="shared" ref="P138:P149" si="45">IFERROR(Q138/K138,0)</f>
        <v>7.2675678847692715E-2</v>
      </c>
      <c r="Q138" s="671">
        <f t="shared" si="44"/>
        <v>97357.000213251187</v>
      </c>
    </row>
    <row r="139" spans="2:17" x14ac:dyDescent="0.15">
      <c r="B139" s="230" t="s">
        <v>872</v>
      </c>
      <c r="C139" s="698">
        <f>+'All. 12'!C137</f>
        <v>100000</v>
      </c>
      <c r="D139" s="698">
        <f>+'All. 12'!D137</f>
        <v>900000</v>
      </c>
      <c r="E139" s="403">
        <f t="shared" si="39"/>
        <v>1000000</v>
      </c>
      <c r="F139" s="670">
        <f>'Tab 0'!$D$48</f>
        <v>0.06</v>
      </c>
      <c r="G139" s="671">
        <f t="shared" si="40"/>
        <v>60000</v>
      </c>
      <c r="I139" s="700">
        <f>+'All. 12'!G137</f>
        <v>74787.992300088503</v>
      </c>
      <c r="J139" s="699">
        <f>+'All. 12'!H137</f>
        <v>1264821.1005476497</v>
      </c>
      <c r="K139" s="403">
        <f t="shared" si="41"/>
        <v>1339609.0928477382</v>
      </c>
      <c r="L139" s="670">
        <f>'Tab 0'!$D$48</f>
        <v>0.06</v>
      </c>
      <c r="M139" s="403">
        <f t="shared" si="42"/>
        <v>80376.545570864284</v>
      </c>
      <c r="N139" s="403"/>
      <c r="O139" s="403">
        <f t="shared" si="43"/>
        <v>16980.454642386911</v>
      </c>
      <c r="P139" s="672">
        <f t="shared" si="45"/>
        <v>7.2675678847692715E-2</v>
      </c>
      <c r="Q139" s="671">
        <f t="shared" si="44"/>
        <v>97357.000213251187</v>
      </c>
    </row>
    <row r="140" spans="2:17" x14ac:dyDescent="0.15">
      <c r="B140" s="230" t="s">
        <v>873</v>
      </c>
      <c r="C140" s="698">
        <f>+'All. 12'!C138</f>
        <v>100000</v>
      </c>
      <c r="D140" s="698">
        <f>+'All. 12'!D138</f>
        <v>800000</v>
      </c>
      <c r="E140" s="403">
        <f t="shared" si="39"/>
        <v>900000</v>
      </c>
      <c r="F140" s="670">
        <f>'Tab 0'!$D$48</f>
        <v>0.06</v>
      </c>
      <c r="G140" s="671">
        <f t="shared" si="40"/>
        <v>54000</v>
      </c>
      <c r="I140" s="700">
        <f>+'All. 12'!G138</f>
        <v>74787.992300088503</v>
      </c>
      <c r="J140" s="699">
        <f>+'All. 12'!H138</f>
        <v>1124285.422709022</v>
      </c>
      <c r="K140" s="403">
        <f t="shared" si="41"/>
        <v>1199073.4150091105</v>
      </c>
      <c r="L140" s="670">
        <f>'Tab 0'!$D$48</f>
        <v>0.06</v>
      </c>
      <c r="M140" s="403">
        <f t="shared" si="42"/>
        <v>71944.404900546622</v>
      </c>
      <c r="N140" s="403"/>
      <c r="O140" s="403">
        <f t="shared" si="43"/>
        <v>14953.670750455523</v>
      </c>
      <c r="P140" s="672">
        <f t="shared" si="45"/>
        <v>7.2471021843430586E-2</v>
      </c>
      <c r="Q140" s="671">
        <f t="shared" si="44"/>
        <v>86898.075651002146</v>
      </c>
    </row>
    <row r="141" spans="2:17" x14ac:dyDescent="0.15">
      <c r="B141" s="230" t="s">
        <v>874</v>
      </c>
      <c r="C141" s="698">
        <f>+'All. 12'!C139</f>
        <v>75000</v>
      </c>
      <c r="D141" s="698">
        <f>+'All. 12'!D139</f>
        <v>800000</v>
      </c>
      <c r="E141" s="403">
        <f t="shared" si="39"/>
        <v>875000</v>
      </c>
      <c r="F141" s="670">
        <f>'Tab 0'!$D$48</f>
        <v>0.06</v>
      </c>
      <c r="G141" s="671">
        <f t="shared" si="40"/>
        <v>52500</v>
      </c>
      <c r="I141" s="700">
        <f>+'All. 12'!G139</f>
        <v>56090.994225066373</v>
      </c>
      <c r="J141" s="699">
        <f>+'All. 12'!H139</f>
        <v>1124285.422709022</v>
      </c>
      <c r="K141" s="403">
        <f t="shared" si="41"/>
        <v>1180376.4169340883</v>
      </c>
      <c r="L141" s="670">
        <f>'Tab 0'!$D$48</f>
        <v>0.06</v>
      </c>
      <c r="M141" s="403">
        <f t="shared" si="42"/>
        <v>70822.585016045297</v>
      </c>
      <c r="N141" s="403"/>
      <c r="O141" s="403">
        <f t="shared" si="43"/>
        <v>15268.820846704417</v>
      </c>
      <c r="P141" s="672">
        <f t="shared" si="45"/>
        <v>7.2935552276081284E-2</v>
      </c>
      <c r="Q141" s="671">
        <f t="shared" si="44"/>
        <v>86091.405862749714</v>
      </c>
    </row>
    <row r="142" spans="2:17" x14ac:dyDescent="0.15">
      <c r="B142" s="230" t="s">
        <v>875</v>
      </c>
      <c r="C142" s="698">
        <f>+'All. 12'!C140</f>
        <v>75000</v>
      </c>
      <c r="D142" s="698">
        <f>+'All. 12'!D140</f>
        <v>800000</v>
      </c>
      <c r="E142" s="403">
        <f t="shared" si="39"/>
        <v>875000</v>
      </c>
      <c r="F142" s="670">
        <f>'Tab 0'!$D$48</f>
        <v>0.06</v>
      </c>
      <c r="G142" s="671">
        <f t="shared" si="40"/>
        <v>52500</v>
      </c>
      <c r="I142" s="700">
        <f>+'All. 12'!G140</f>
        <v>56090.994225066373</v>
      </c>
      <c r="J142" s="699">
        <f>+'All. 12'!H140</f>
        <v>1124285.422709022</v>
      </c>
      <c r="K142" s="403">
        <f t="shared" si="41"/>
        <v>1180376.4169340883</v>
      </c>
      <c r="L142" s="670">
        <f>'Tab 0'!$D$48</f>
        <v>0.06</v>
      </c>
      <c r="M142" s="403">
        <f t="shared" si="42"/>
        <v>70822.585016045297</v>
      </c>
      <c r="N142" s="403"/>
      <c r="O142" s="403">
        <f t="shared" si="43"/>
        <v>15268.820846704417</v>
      </c>
      <c r="P142" s="672">
        <f t="shared" si="45"/>
        <v>7.2935552276081284E-2</v>
      </c>
      <c r="Q142" s="671">
        <f t="shared" si="44"/>
        <v>86091.405862749714</v>
      </c>
    </row>
    <row r="143" spans="2:17" x14ac:dyDescent="0.15">
      <c r="B143" s="230" t="s">
        <v>876</v>
      </c>
      <c r="C143" s="698">
        <f>+'All. 12'!C141</f>
        <v>75000</v>
      </c>
      <c r="D143" s="698">
        <f>+'All. 12'!D141</f>
        <v>700000</v>
      </c>
      <c r="E143" s="403">
        <f t="shared" si="39"/>
        <v>775000</v>
      </c>
      <c r="F143" s="670">
        <f>'Tab 0'!$D$48</f>
        <v>0.06</v>
      </c>
      <c r="G143" s="671">
        <f t="shared" si="40"/>
        <v>46500</v>
      </c>
      <c r="I143" s="700">
        <f>+'All. 12'!G141</f>
        <v>56090.994225066373</v>
      </c>
      <c r="J143" s="699">
        <f>+'All. 12'!H141</f>
        <v>983749.74487039424</v>
      </c>
      <c r="K143" s="403">
        <f t="shared" si="41"/>
        <v>1039840.7390954606</v>
      </c>
      <c r="L143" s="670">
        <f>'Tab 0'!$D$48</f>
        <v>0.06</v>
      </c>
      <c r="M143" s="403">
        <f t="shared" si="42"/>
        <v>62390.444345727636</v>
      </c>
      <c r="N143" s="403"/>
      <c r="O143" s="403">
        <f t="shared" si="43"/>
        <v>13242.036954773032</v>
      </c>
      <c r="P143" s="672">
        <f t="shared" si="45"/>
        <v>7.2734677972217221E-2</v>
      </c>
      <c r="Q143" s="671">
        <f t="shared" si="44"/>
        <v>75632.481300500673</v>
      </c>
    </row>
    <row r="144" spans="2:17" x14ac:dyDescent="0.15">
      <c r="B144" s="230" t="s">
        <v>877</v>
      </c>
      <c r="C144" s="698">
        <f>+'All. 12'!C142</f>
        <v>50000</v>
      </c>
      <c r="D144" s="698">
        <f>+'All. 12'!D142</f>
        <v>700000</v>
      </c>
      <c r="E144" s="403">
        <f t="shared" si="39"/>
        <v>750000</v>
      </c>
      <c r="F144" s="670">
        <f>'Tab 0'!$D$48</f>
        <v>0.06</v>
      </c>
      <c r="G144" s="671">
        <f t="shared" si="40"/>
        <v>45000</v>
      </c>
      <c r="I144" s="700">
        <f>+'All. 12'!G142</f>
        <v>37393.996150044251</v>
      </c>
      <c r="J144" s="699">
        <f>+'All. 12'!H142</f>
        <v>983749.74487039424</v>
      </c>
      <c r="K144" s="403">
        <f t="shared" si="41"/>
        <v>1021143.7410204385</v>
      </c>
      <c r="L144" s="670">
        <f>'Tab 0'!$D$48</f>
        <v>0.06</v>
      </c>
      <c r="M144" s="403">
        <f t="shared" si="42"/>
        <v>61268.624461226311</v>
      </c>
      <c r="N144" s="403"/>
      <c r="O144" s="403">
        <f t="shared" si="43"/>
        <v>13557.187051021925</v>
      </c>
      <c r="P144" s="672">
        <f t="shared" si="45"/>
        <v>7.327647274954073E-2</v>
      </c>
      <c r="Q144" s="671">
        <f t="shared" si="44"/>
        <v>74825.811512248241</v>
      </c>
    </row>
    <row r="145" spans="2:17" x14ac:dyDescent="0.15">
      <c r="B145" s="230" t="s">
        <v>878</v>
      </c>
      <c r="C145" s="698">
        <f>+'All. 12'!C143</f>
        <v>50000</v>
      </c>
      <c r="D145" s="698">
        <f>+'All. 12'!D143</f>
        <v>700000</v>
      </c>
      <c r="E145" s="403">
        <f t="shared" si="39"/>
        <v>750000</v>
      </c>
      <c r="F145" s="670">
        <f>'Tab 0'!$D$48</f>
        <v>0.06</v>
      </c>
      <c r="G145" s="671">
        <f t="shared" si="40"/>
        <v>45000</v>
      </c>
      <c r="I145" s="700">
        <f>+'All. 12'!G143</f>
        <v>37393.996150044251</v>
      </c>
      <c r="J145" s="699">
        <f>+'All. 12'!H143</f>
        <v>983749.74487039424</v>
      </c>
      <c r="K145" s="403">
        <f t="shared" si="41"/>
        <v>1021143.7410204385</v>
      </c>
      <c r="L145" s="670">
        <f>'Tab 0'!$D$48</f>
        <v>0.06</v>
      </c>
      <c r="M145" s="403">
        <f t="shared" si="42"/>
        <v>61268.624461226311</v>
      </c>
      <c r="N145" s="403"/>
      <c r="O145" s="403">
        <f t="shared" si="43"/>
        <v>13557.187051021925</v>
      </c>
      <c r="P145" s="672">
        <f t="shared" si="45"/>
        <v>7.327647274954073E-2</v>
      </c>
      <c r="Q145" s="671">
        <f t="shared" si="44"/>
        <v>74825.811512248241</v>
      </c>
    </row>
    <row r="146" spans="2:17" x14ac:dyDescent="0.15">
      <c r="B146" s="230" t="s">
        <v>879</v>
      </c>
      <c r="C146" s="698">
        <f>+'All. 12'!C144</f>
        <v>97608</v>
      </c>
      <c r="D146" s="698">
        <f>+'All. 12'!D144</f>
        <v>700000</v>
      </c>
      <c r="E146" s="403">
        <f t="shared" si="39"/>
        <v>797608</v>
      </c>
      <c r="F146" s="670">
        <f>'Tab 0'!$D$48</f>
        <v>0.06</v>
      </c>
      <c r="G146" s="671">
        <f t="shared" si="40"/>
        <v>47856.479999999996</v>
      </c>
      <c r="I146" s="700">
        <f>+'All. 12'!G144</f>
        <v>72999.063524270387</v>
      </c>
      <c r="J146" s="699">
        <f>+'All. 12'!H144</f>
        <v>983749.74487039424</v>
      </c>
      <c r="K146" s="403">
        <f t="shared" si="41"/>
        <v>1056748.8083946647</v>
      </c>
      <c r="L146" s="670">
        <f>'Tab 0'!$D$48</f>
        <v>0.06</v>
      </c>
      <c r="M146" s="403">
        <f t="shared" si="42"/>
        <v>63404.928503679876</v>
      </c>
      <c r="N146" s="403"/>
      <c r="O146" s="403">
        <f t="shared" si="43"/>
        <v>12957.040419733234</v>
      </c>
      <c r="P146" s="672">
        <f t="shared" si="45"/>
        <v>7.2261230215548214E-2</v>
      </c>
      <c r="Q146" s="671">
        <f t="shared" si="44"/>
        <v>76361.968923413107</v>
      </c>
    </row>
    <row r="147" spans="2:17" x14ac:dyDescent="0.15">
      <c r="B147" s="230" t="s">
        <v>880</v>
      </c>
      <c r="C147" s="698">
        <f>+'All. 12'!C145</f>
        <v>50000</v>
      </c>
      <c r="D147" s="698">
        <f>+'All. 12'!D145</f>
        <v>600000</v>
      </c>
      <c r="E147" s="403">
        <f t="shared" si="39"/>
        <v>650000</v>
      </c>
      <c r="F147" s="670">
        <f>'Tab 0'!$D$48</f>
        <v>0.06</v>
      </c>
      <c r="G147" s="671">
        <f t="shared" si="40"/>
        <v>39000</v>
      </c>
      <c r="I147" s="700">
        <f>+'All. 12'!G145</f>
        <v>37393.996150044251</v>
      </c>
      <c r="J147" s="699">
        <f>+'All. 12'!H145</f>
        <v>843214.06703176652</v>
      </c>
      <c r="K147" s="403">
        <f t="shared" si="41"/>
        <v>880608.06318181078</v>
      </c>
      <c r="L147" s="670">
        <f>'Tab 0'!$D$48</f>
        <v>0.06</v>
      </c>
      <c r="M147" s="403">
        <f t="shared" si="42"/>
        <v>52836.483790908642</v>
      </c>
      <c r="N147" s="403"/>
      <c r="O147" s="403">
        <f t="shared" si="43"/>
        <v>11530.40315909054</v>
      </c>
      <c r="P147" s="672">
        <f t="shared" si="45"/>
        <v>7.3093683377629906E-2</v>
      </c>
      <c r="Q147" s="671">
        <f t="shared" si="44"/>
        <v>64366.886949999185</v>
      </c>
    </row>
    <row r="148" spans="2:17" x14ac:dyDescent="0.15">
      <c r="B148" s="230" t="s">
        <v>881</v>
      </c>
      <c r="C148" s="698">
        <f>+'All. 12'!C146</f>
        <v>50000</v>
      </c>
      <c r="D148" s="698">
        <f>+'All. 12'!D146</f>
        <v>728592</v>
      </c>
      <c r="E148" s="403">
        <f t="shared" si="39"/>
        <v>778592</v>
      </c>
      <c r="F148" s="670">
        <f>'Tab 0'!$D$48</f>
        <v>0.06</v>
      </c>
      <c r="G148" s="671">
        <f t="shared" si="40"/>
        <v>46715.519999999997</v>
      </c>
      <c r="I148" s="700">
        <f>+'All. 12'!G146</f>
        <v>37393.996150044251</v>
      </c>
      <c r="J148" s="699">
        <f>+'All. 12'!H146</f>
        <v>1023931.7058780147</v>
      </c>
      <c r="K148" s="403">
        <f t="shared" si="41"/>
        <v>1061325.7020280589</v>
      </c>
      <c r="L148" s="670">
        <f>'Tab 0'!$D$48</f>
        <v>0.06</v>
      </c>
      <c r="M148" s="403">
        <f t="shared" si="42"/>
        <v>63679.542121683531</v>
      </c>
      <c r="N148" s="403"/>
      <c r="O148" s="403">
        <f t="shared" si="43"/>
        <v>14136.685101402947</v>
      </c>
      <c r="P148" s="672">
        <f t="shared" si="45"/>
        <v>7.3319836761127646E-2</v>
      </c>
      <c r="Q148" s="671">
        <f t="shared" si="44"/>
        <v>77816.227223086476</v>
      </c>
    </row>
    <row r="149" spans="2:17" x14ac:dyDescent="0.15">
      <c r="B149" s="680" t="s">
        <v>995</v>
      </c>
      <c r="C149" s="681">
        <f>SUM(C137:C148)</f>
        <v>922608</v>
      </c>
      <c r="D149" s="681">
        <f t="shared" ref="D149:E149" si="46">SUM(D137:D148)</f>
        <v>9328592</v>
      </c>
      <c r="E149" s="681">
        <f t="shared" si="46"/>
        <v>10251200</v>
      </c>
      <c r="F149" s="682">
        <f>+G149/E149</f>
        <v>0.06</v>
      </c>
      <c r="G149" s="683">
        <f t="shared" ref="G149" si="47">SUM(G137:G148)</f>
        <v>615072</v>
      </c>
      <c r="I149" s="695">
        <f>SUM(I137:I148)</f>
        <v>690000.00000000058</v>
      </c>
      <c r="J149" s="681">
        <f t="shared" ref="J149" si="48">SUM(J137:J148)</f>
        <v>13110000</v>
      </c>
      <c r="K149" s="681">
        <f t="shared" ref="K149" si="49">SUM(K137:K148)</f>
        <v>13800000.000000002</v>
      </c>
      <c r="L149" s="682">
        <f>+M149/K149</f>
        <v>5.9999999999999991E-2</v>
      </c>
      <c r="M149" s="681">
        <f>SUM(M137:M148)</f>
        <v>828000</v>
      </c>
      <c r="N149" s="681">
        <f>SUM(N137:N148)</f>
        <v>0</v>
      </c>
      <c r="O149" s="681">
        <f t="shared" ref="O149:Q149" si="50">SUM(O137:O148)</f>
        <v>177440.00000000012</v>
      </c>
      <c r="P149" s="684">
        <f t="shared" si="45"/>
        <v>7.2857971014492748E-2</v>
      </c>
      <c r="Q149" s="683">
        <f t="shared" si="50"/>
        <v>1005440.0000000001</v>
      </c>
    </row>
    <row r="150" spans="2:17" x14ac:dyDescent="0.15">
      <c r="B150" s="230"/>
      <c r="C150" s="679"/>
      <c r="D150" s="679"/>
      <c r="E150" s="679"/>
      <c r="G150" s="343"/>
      <c r="I150" s="696"/>
      <c r="J150" s="679"/>
      <c r="K150" s="679"/>
      <c r="M150" s="679"/>
      <c r="N150" s="679"/>
      <c r="O150" s="679"/>
      <c r="Q150" s="691"/>
    </row>
    <row r="151" spans="2:17" ht="17" thickBot="1" x14ac:dyDescent="0.2">
      <c r="B151" s="685" t="s">
        <v>996</v>
      </c>
      <c r="C151" s="686">
        <f>+C133+C135+C149</f>
        <v>107663228</v>
      </c>
      <c r="D151" s="686">
        <f t="shared" ref="D151:G151" si="51">+D133+D135+D149</f>
        <v>20476772</v>
      </c>
      <c r="E151" s="686">
        <f t="shared" si="51"/>
        <v>128140000</v>
      </c>
      <c r="F151" s="687">
        <f>+G151/E151</f>
        <v>4.0800000000000003E-2</v>
      </c>
      <c r="G151" s="688">
        <f t="shared" si="51"/>
        <v>5228112</v>
      </c>
      <c r="I151" s="697">
        <f>+I133+I135+I149</f>
        <v>122876667.26935485</v>
      </c>
      <c r="J151" s="686">
        <f t="shared" ref="J151:K151" si="52">+J133+J135+J149</f>
        <v>20932729.988709662</v>
      </c>
      <c r="K151" s="686">
        <f t="shared" si="52"/>
        <v>143809397.25806445</v>
      </c>
      <c r="L151" s="687">
        <f>+M151/K151</f>
        <v>4.9274832702703456E-2</v>
      </c>
      <c r="M151" s="686">
        <f>+M133+M135+M149</f>
        <v>7086183.9909677468</v>
      </c>
      <c r="N151" s="686">
        <f t="shared" ref="N151:O151" si="53">+N133+N135+N149</f>
        <v>113240</v>
      </c>
      <c r="O151" s="686">
        <f t="shared" si="53"/>
        <v>851766.66290322656</v>
      </c>
      <c r="P151" s="690">
        <f t="shared" ref="P151" si="54">IFERROR(Q151/K151,0)</f>
        <v>5.5985149839847925E-2</v>
      </c>
      <c r="Q151" s="688">
        <f t="shared" ref="Q151" si="55">+Q133+Q135+Q149</f>
        <v>8051190.6538709532</v>
      </c>
    </row>
    <row r="154" spans="2:17" x14ac:dyDescent="0.15">
      <c r="B154" s="91" t="s">
        <v>1007</v>
      </c>
      <c r="C154" s="689">
        <f>+C133-'Tab 2'!E6</f>
        <v>0</v>
      </c>
      <c r="D154" s="689">
        <f>+D133-'Tab 2'!E7</f>
        <v>0</v>
      </c>
      <c r="I154" s="689">
        <f>+I133-'Tab 2'!E14</f>
        <v>0</v>
      </c>
      <c r="J154" s="689">
        <f>+J133-'Tab 2'!E15</f>
        <v>-1.7695128917694092E-8</v>
      </c>
    </row>
    <row r="156" spans="2:17" x14ac:dyDescent="0.15">
      <c r="B156" s="91" t="s">
        <v>1008</v>
      </c>
      <c r="C156" s="689">
        <f>C149-'Tab 2'!K6</f>
        <v>0</v>
      </c>
      <c r="D156" s="689">
        <f>+D149-'Tab 2'!K7</f>
        <v>0</v>
      </c>
      <c r="I156" s="689">
        <f>+I149-'Tab 2'!K14</f>
        <v>0</v>
      </c>
      <c r="J156" s="689">
        <f>+J149-'Tab 2'!K15</f>
        <v>0</v>
      </c>
    </row>
  </sheetData>
  <mergeCells count="2">
    <mergeCell ref="C7:G7"/>
    <mergeCell ref="I7:Q7"/>
  </mergeCells>
  <phoneticPr fontId="4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B0A30-D4FE-6348-A79B-7E645D227C6C}">
  <sheetPr codeName="Foglio34"/>
  <dimension ref="B1:Q39"/>
  <sheetViews>
    <sheetView zoomScale="150" zoomScaleNormal="150" workbookViewId="0">
      <selection activeCell="B40" sqref="B40"/>
    </sheetView>
  </sheetViews>
  <sheetFormatPr baseColWidth="10" defaultRowHeight="13" x14ac:dyDescent="0.15"/>
  <cols>
    <col min="2" max="2" width="17.6640625" customWidth="1"/>
    <col min="3" max="15" width="16" customWidth="1"/>
  </cols>
  <sheetData>
    <row r="1" spans="2:15" s="3" customFormat="1" ht="16" x14ac:dyDescent="0.2"/>
    <row r="2" spans="2:15" s="3" customFormat="1" ht="16" x14ac:dyDescent="0.2">
      <c r="B2" s="3" t="s">
        <v>1016</v>
      </c>
    </row>
    <row r="3" spans="2:15" s="3" customFormat="1" ht="17" thickBot="1" x14ac:dyDescent="0.25"/>
    <row r="4" spans="2:15" s="3" customFormat="1" ht="16" x14ac:dyDescent="0.2">
      <c r="B4" s="13"/>
      <c r="C4" s="1056" t="s">
        <v>196</v>
      </c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5"/>
    </row>
    <row r="5" spans="2:15" s="3" customFormat="1" ht="16" x14ac:dyDescent="0.2">
      <c r="B5" s="320"/>
      <c r="C5" s="419" t="s">
        <v>211</v>
      </c>
      <c r="D5" s="420" t="s">
        <v>212</v>
      </c>
      <c r="E5" s="420" t="s">
        <v>213</v>
      </c>
      <c r="F5" s="420" t="s">
        <v>214</v>
      </c>
      <c r="G5" s="420" t="s">
        <v>215</v>
      </c>
      <c r="H5" s="420" t="s">
        <v>216</v>
      </c>
      <c r="I5" s="420" t="s">
        <v>217</v>
      </c>
      <c r="J5" s="420" t="s">
        <v>218</v>
      </c>
      <c r="K5" s="420" t="s">
        <v>219</v>
      </c>
      <c r="L5" s="420" t="s">
        <v>220</v>
      </c>
      <c r="M5" s="420" t="s">
        <v>221</v>
      </c>
      <c r="N5" s="420" t="s">
        <v>222</v>
      </c>
      <c r="O5" s="713" t="s">
        <v>179</v>
      </c>
    </row>
    <row r="6" spans="2:15" s="3" customFormat="1" ht="16" x14ac:dyDescent="0.2">
      <c r="B6" s="701" t="s">
        <v>1023</v>
      </c>
      <c r="C6" s="316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324"/>
    </row>
    <row r="7" spans="2:15" s="3" customFormat="1" ht="16" x14ac:dyDescent="0.2">
      <c r="B7" s="701"/>
      <c r="C7" s="316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324"/>
    </row>
    <row r="8" spans="2:15" s="3" customFormat="1" ht="16" x14ac:dyDescent="0.2">
      <c r="B8" s="146" t="s">
        <v>199</v>
      </c>
      <c r="C8" s="316">
        <f>MOLLE!B31+POLIUR!B31</f>
        <v>3994585.5261496222</v>
      </c>
      <c r="D8" s="100">
        <f>MOLLE!C31+POLIUR!C31</f>
        <v>4438428.3623884683</v>
      </c>
      <c r="E8" s="100">
        <f>MOLLE!D31+POLIUR!D31</f>
        <v>5104192.6167467395</v>
      </c>
      <c r="F8" s="100">
        <f>MOLLE!E31+POLIUR!E31</f>
        <v>4660349.7805078924</v>
      </c>
      <c r="G8" s="100">
        <f>MOLLE!F31+POLIUR!F31</f>
        <v>4660349.7805078924</v>
      </c>
      <c r="H8" s="100">
        <f>MOLLE!G31+POLIUR!G31</f>
        <v>4882271.1986273155</v>
      </c>
      <c r="I8" s="100">
        <f>MOLLE!H31+POLIUR!H31</f>
        <v>4882271.1986273155</v>
      </c>
      <c r="J8" s="100">
        <f>MOLLE!I31+POLIUR!I31</f>
        <v>2663057.0174330808</v>
      </c>
      <c r="K8" s="100">
        <f>MOLLE!J31+POLIUR!J31</f>
        <v>4882271.1986273155</v>
      </c>
      <c r="L8" s="100">
        <f>MOLLE!K31+POLIUR!K31</f>
        <v>4660349.7805078924</v>
      </c>
      <c r="M8" s="100">
        <f>MOLLE!L31+POLIUR!L31</f>
        <v>4660349.7805078924</v>
      </c>
      <c r="N8" s="100">
        <f>MOLLE!M31+POLIUR!M31</f>
        <v>2663057.0174330808</v>
      </c>
      <c r="O8" s="324">
        <f>SUM(C8:N8)</f>
        <v>52151533.258064508</v>
      </c>
    </row>
    <row r="9" spans="2:15" s="3" customFormat="1" ht="16" x14ac:dyDescent="0.2">
      <c r="B9" s="146" t="s">
        <v>200</v>
      </c>
      <c r="C9" s="316">
        <f>MOLLE!B54+POLIUR!B56</f>
        <v>5963581.0723404242</v>
      </c>
      <c r="D9" s="100">
        <f>MOLLE!C54+POLIUR!C56</f>
        <v>6626201.1914893612</v>
      </c>
      <c r="E9" s="100">
        <f>MOLLE!D54+POLIUR!D56</f>
        <v>7620131.3702127654</v>
      </c>
      <c r="F9" s="100">
        <f>MOLLE!E54+POLIUR!E56</f>
        <v>6957511.2510638293</v>
      </c>
      <c r="G9" s="100">
        <f>MOLLE!F54+POLIUR!F56</f>
        <v>6957511.2510638293</v>
      </c>
      <c r="H9" s="100">
        <f>MOLLE!G54+POLIUR!G56</f>
        <v>7288821.3106382973</v>
      </c>
      <c r="I9" s="100">
        <f>MOLLE!H54+POLIUR!H56</f>
        <v>7288821.3106382973</v>
      </c>
      <c r="J9" s="100">
        <f>MOLLE!I54+POLIUR!I56</f>
        <v>3975720.7148936167</v>
      </c>
      <c r="K9" s="100">
        <f>MOLLE!J54+POLIUR!J56</f>
        <v>7288821.3106382973</v>
      </c>
      <c r="L9" s="100">
        <f>MOLLE!K54+POLIUR!K56</f>
        <v>6957511.2510638293</v>
      </c>
      <c r="M9" s="100">
        <f>MOLLE!L54+POLIUR!L56</f>
        <v>6957511.2510638293</v>
      </c>
      <c r="N9" s="100">
        <f>MOLLE!M54+POLIUR!M56</f>
        <v>3975720.7148936167</v>
      </c>
      <c r="O9" s="324">
        <f t="shared" ref="O9:O10" si="0">SUM(C9:N9)</f>
        <v>77857864</v>
      </c>
    </row>
    <row r="10" spans="2:15" s="3" customFormat="1" ht="16" x14ac:dyDescent="0.2">
      <c r="B10" s="17" t="s">
        <v>201</v>
      </c>
      <c r="C10" s="318">
        <f>MOLLE!B79+POLIUR!B81</f>
        <v>1057021.2765957448</v>
      </c>
      <c r="D10" s="319">
        <f>MOLLE!C79+POLIUR!C81</f>
        <v>1174468.0851063831</v>
      </c>
      <c r="E10" s="319">
        <f>MOLLE!D79+POLIUR!D81</f>
        <v>1350638.2978723408</v>
      </c>
      <c r="F10" s="319">
        <f>MOLLE!E79+POLIUR!E81</f>
        <v>1233191.4893617022</v>
      </c>
      <c r="G10" s="319">
        <f>MOLLE!F79+POLIUR!F81</f>
        <v>1233191.4893617022</v>
      </c>
      <c r="H10" s="319">
        <f>MOLLE!G79+POLIUR!G81</f>
        <v>1291914.8936170214</v>
      </c>
      <c r="I10" s="319">
        <f>MOLLE!H79+POLIUR!H81</f>
        <v>1291914.8936170214</v>
      </c>
      <c r="J10" s="319">
        <f>MOLLE!I79+POLIUR!I81</f>
        <v>704680.85106382985</v>
      </c>
      <c r="K10" s="319">
        <f>MOLLE!J79+POLIUR!J81</f>
        <v>1291914.8936170214</v>
      </c>
      <c r="L10" s="319">
        <f>MOLLE!K79+POLIUR!K81</f>
        <v>1233191.4893617022</v>
      </c>
      <c r="M10" s="319">
        <f>MOLLE!L79+POLIUR!L81</f>
        <v>1233191.4893617022</v>
      </c>
      <c r="N10" s="319">
        <f>MOLLE!M79+POLIUR!M81</f>
        <v>704680.85106382985</v>
      </c>
      <c r="O10" s="325">
        <f t="shared" si="0"/>
        <v>13800000</v>
      </c>
    </row>
    <row r="11" spans="2:15" s="3" customFormat="1" ht="17" thickBot="1" x14ac:dyDescent="0.25">
      <c r="B11" s="326" t="s">
        <v>40</v>
      </c>
      <c r="C11" s="327">
        <f t="shared" ref="C11:O11" si="1">SUM(C8:C10)</f>
        <v>11015187.875085792</v>
      </c>
      <c r="D11" s="314">
        <f t="shared" si="1"/>
        <v>12239097.638984215</v>
      </c>
      <c r="E11" s="314">
        <f t="shared" si="1"/>
        <v>14074962.284831846</v>
      </c>
      <c r="F11" s="314">
        <f t="shared" si="1"/>
        <v>12851052.520933423</v>
      </c>
      <c r="G11" s="314">
        <f t="shared" si="1"/>
        <v>12851052.520933423</v>
      </c>
      <c r="H11" s="314">
        <f t="shared" si="1"/>
        <v>13463007.402882634</v>
      </c>
      <c r="I11" s="314">
        <f t="shared" si="1"/>
        <v>13463007.402882634</v>
      </c>
      <c r="J11" s="314">
        <f t="shared" si="1"/>
        <v>7343458.5833905274</v>
      </c>
      <c r="K11" s="314">
        <f t="shared" si="1"/>
        <v>13463007.402882634</v>
      </c>
      <c r="L11" s="314">
        <f t="shared" si="1"/>
        <v>12851052.520933423</v>
      </c>
      <c r="M11" s="314">
        <f t="shared" si="1"/>
        <v>12851052.520933423</v>
      </c>
      <c r="N11" s="314">
        <f t="shared" si="1"/>
        <v>7343458.5833905274</v>
      </c>
      <c r="O11" s="328">
        <f t="shared" si="1"/>
        <v>143809397.25806451</v>
      </c>
    </row>
    <row r="12" spans="2:15" s="3" customFormat="1" ht="16" x14ac:dyDescent="0.2">
      <c r="B12" s="146"/>
      <c r="C12" s="316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324"/>
    </row>
    <row r="13" spans="2:15" s="3" customFormat="1" ht="16" x14ac:dyDescent="0.2">
      <c r="B13" s="701" t="s">
        <v>1017</v>
      </c>
      <c r="C13" s="316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324"/>
    </row>
    <row r="14" spans="2:15" s="3" customFormat="1" ht="16" x14ac:dyDescent="0.2">
      <c r="B14" s="146"/>
      <c r="C14" s="316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324"/>
    </row>
    <row r="15" spans="2:15" s="3" customFormat="1" ht="16" x14ac:dyDescent="0.2">
      <c r="B15" s="146" t="s">
        <v>199</v>
      </c>
      <c r="C15" s="316">
        <f>C8*'Tab. 18'!$L$133</f>
        <v>479350.26313795563</v>
      </c>
      <c r="D15" s="100">
        <f>D8*'Tab. 18'!$L$133</f>
        <v>532611.40348661726</v>
      </c>
      <c r="E15" s="100">
        <f>E8*'Tab. 18'!$L$133</f>
        <v>612503.11400961003</v>
      </c>
      <c r="F15" s="100">
        <f>F8*'Tab. 18'!$L$133</f>
        <v>559241.97366094822</v>
      </c>
      <c r="G15" s="100">
        <f>G8*'Tab. 18'!$L$133</f>
        <v>559241.97366094822</v>
      </c>
      <c r="H15" s="100">
        <f>H8*'Tab. 18'!$L$133</f>
        <v>585872.54383527907</v>
      </c>
      <c r="I15" s="100">
        <f>I8*'Tab. 18'!$L$133</f>
        <v>585872.54383527907</v>
      </c>
      <c r="J15" s="100">
        <f>J8*'Tab. 18'!$L$133</f>
        <v>319566.84209197038</v>
      </c>
      <c r="K15" s="100">
        <f>K8*'Tab. 18'!$L$133</f>
        <v>585872.54383527907</v>
      </c>
      <c r="L15" s="100">
        <f>L8*'Tab. 18'!$L$133</f>
        <v>559241.97366094822</v>
      </c>
      <c r="M15" s="100">
        <f>M8*'Tab. 18'!$L$133</f>
        <v>559241.97366094822</v>
      </c>
      <c r="N15" s="100">
        <f>N8*'Tab. 18'!$L$133</f>
        <v>319566.84209197038</v>
      </c>
      <c r="O15" s="324">
        <f>SUM(C15:N15)</f>
        <v>6258183.9909677524</v>
      </c>
    </row>
    <row r="16" spans="2:15" s="3" customFormat="1" ht="16" x14ac:dyDescent="0.2">
      <c r="B16" s="146" t="s">
        <v>200</v>
      </c>
      <c r="C16" s="316">
        <f>C9*'Tab. 18'!$L$135</f>
        <v>0</v>
      </c>
      <c r="D16" s="100">
        <f>D9*'Tab. 18'!$L$135</f>
        <v>0</v>
      </c>
      <c r="E16" s="100">
        <f>E9*'Tab. 18'!$L$135</f>
        <v>0</v>
      </c>
      <c r="F16" s="100">
        <f>F9*'Tab. 18'!$L$135</f>
        <v>0</v>
      </c>
      <c r="G16" s="100">
        <f>G9*'Tab. 18'!$L$135</f>
        <v>0</v>
      </c>
      <c r="H16" s="100">
        <f>H9*'Tab. 18'!$L$135</f>
        <v>0</v>
      </c>
      <c r="I16" s="100">
        <f>I9*'Tab. 18'!$L$135</f>
        <v>0</v>
      </c>
      <c r="J16" s="100">
        <f>J9*'Tab. 18'!$L$135</f>
        <v>0</v>
      </c>
      <c r="K16" s="100">
        <f>K9*'Tab. 18'!$L$135</f>
        <v>0</v>
      </c>
      <c r="L16" s="100">
        <f>L9*'Tab. 18'!$L$135</f>
        <v>0</v>
      </c>
      <c r="M16" s="100">
        <f>M9*'Tab. 18'!$L$135</f>
        <v>0</v>
      </c>
      <c r="N16" s="100">
        <f>N9*'Tab. 18'!$L$135</f>
        <v>0</v>
      </c>
      <c r="O16" s="324">
        <f t="shared" ref="O16:O17" si="2">SUM(C16:N16)</f>
        <v>0</v>
      </c>
    </row>
    <row r="17" spans="2:17" s="3" customFormat="1" ht="16" x14ac:dyDescent="0.2">
      <c r="B17" s="17" t="s">
        <v>201</v>
      </c>
      <c r="C17" s="318">
        <f>C10*'Tab. 18'!$L$149</f>
        <v>63421.276595744675</v>
      </c>
      <c r="D17" s="319">
        <f>D10*'Tab. 18'!$L$149</f>
        <v>70468.085106382976</v>
      </c>
      <c r="E17" s="319">
        <f>E10*'Tab. 18'!$L$149</f>
        <v>81038.297872340438</v>
      </c>
      <c r="F17" s="319">
        <f>F10*'Tab. 18'!$L$149</f>
        <v>73991.48936170213</v>
      </c>
      <c r="G17" s="319">
        <f>G10*'Tab. 18'!$L$149</f>
        <v>73991.48936170213</v>
      </c>
      <c r="H17" s="319">
        <f>H10*'Tab. 18'!$L$149</f>
        <v>77514.893617021269</v>
      </c>
      <c r="I17" s="319">
        <f>I10*'Tab. 18'!$L$149</f>
        <v>77514.893617021269</v>
      </c>
      <c r="J17" s="319">
        <f>J10*'Tab. 18'!$L$149</f>
        <v>42280.851063829781</v>
      </c>
      <c r="K17" s="319">
        <f>K10*'Tab. 18'!$L$149</f>
        <v>77514.893617021269</v>
      </c>
      <c r="L17" s="319">
        <f>L10*'Tab. 18'!$L$149</f>
        <v>73991.48936170213</v>
      </c>
      <c r="M17" s="319">
        <f>M10*'Tab. 18'!$L$149</f>
        <v>73991.48936170213</v>
      </c>
      <c r="N17" s="319">
        <f>N10*'Tab. 18'!$L$149</f>
        <v>42280.851063829781</v>
      </c>
      <c r="O17" s="325">
        <f t="shared" si="2"/>
        <v>827999.99999999988</v>
      </c>
    </row>
    <row r="18" spans="2:17" s="3" customFormat="1" ht="17" thickBot="1" x14ac:dyDescent="0.25">
      <c r="B18" s="326" t="s">
        <v>998</v>
      </c>
      <c r="C18" s="327">
        <f>SUM(C15:C17)</f>
        <v>542771.53973370034</v>
      </c>
      <c r="D18" s="314">
        <f t="shared" ref="D18:O18" si="3">SUM(D15:D17)</f>
        <v>603079.48859300022</v>
      </c>
      <c r="E18" s="314">
        <f t="shared" si="3"/>
        <v>693541.41188195045</v>
      </c>
      <c r="F18" s="314">
        <f t="shared" si="3"/>
        <v>633233.46302265034</v>
      </c>
      <c r="G18" s="314">
        <f t="shared" si="3"/>
        <v>633233.46302265034</v>
      </c>
      <c r="H18" s="314">
        <f t="shared" si="3"/>
        <v>663387.43745230034</v>
      </c>
      <c r="I18" s="314">
        <f t="shared" si="3"/>
        <v>663387.43745230034</v>
      </c>
      <c r="J18" s="314">
        <f t="shared" si="3"/>
        <v>361847.69315580017</v>
      </c>
      <c r="K18" s="314">
        <f t="shared" si="3"/>
        <v>663387.43745230034</v>
      </c>
      <c r="L18" s="314">
        <f t="shared" si="3"/>
        <v>633233.46302265034</v>
      </c>
      <c r="M18" s="314">
        <f t="shared" si="3"/>
        <v>633233.46302265034</v>
      </c>
      <c r="N18" s="314">
        <f t="shared" si="3"/>
        <v>361847.69315580017</v>
      </c>
      <c r="O18" s="328">
        <f t="shared" si="3"/>
        <v>7086183.9909677524</v>
      </c>
      <c r="Q18" s="103">
        <f>+O18-'Tab. 18'!M151</f>
        <v>0</v>
      </c>
    </row>
    <row r="19" spans="2:17" s="3" customFormat="1" ht="16" x14ac:dyDescent="0.2">
      <c r="B19" s="146"/>
      <c r="C19" s="316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324"/>
    </row>
    <row r="20" spans="2:17" s="3" customFormat="1" ht="16" x14ac:dyDescent="0.2">
      <c r="B20" s="701" t="s">
        <v>1018</v>
      </c>
      <c r="C20" s="316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324"/>
    </row>
    <row r="21" spans="2:17" s="3" customFormat="1" ht="16" x14ac:dyDescent="0.2">
      <c r="B21" s="146"/>
      <c r="C21" s="316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324"/>
    </row>
    <row r="22" spans="2:17" s="3" customFormat="1" ht="16" x14ac:dyDescent="0.2">
      <c r="B22" s="146" t="s">
        <v>199</v>
      </c>
      <c r="C22" s="316">
        <f>'Tab. 18'!$N$132/QUANTITÀ!$N$5*QUANTITÀ!B$5</f>
        <v>8673.7021276595733</v>
      </c>
      <c r="D22" s="100">
        <f>'Tab. 18'!$N$132/QUANTITÀ!$N$5*QUANTITÀ!C$5</f>
        <v>9637.4468085106382</v>
      </c>
      <c r="E22" s="100">
        <f>'Tab. 18'!$N$132/QUANTITÀ!$N$5*QUANTITÀ!D$5</f>
        <v>11083.063829787234</v>
      </c>
      <c r="F22" s="100">
        <f>'Tab. 18'!$N$132/QUANTITÀ!$N$5*QUANTITÀ!E$5</f>
        <v>10119.319148936169</v>
      </c>
      <c r="G22" s="100">
        <f>'Tab. 18'!$N$132/QUANTITÀ!$N$5*QUANTITÀ!F$5</f>
        <v>10119.319148936169</v>
      </c>
      <c r="H22" s="100">
        <f>'Tab. 18'!$N$132/QUANTITÀ!$N$5*QUANTITÀ!G$5</f>
        <v>10601.191489361701</v>
      </c>
      <c r="I22" s="100">
        <f>'Tab. 18'!$N$132/QUANTITÀ!$N$5*QUANTITÀ!H$5</f>
        <v>10601.191489361701</v>
      </c>
      <c r="J22" s="100">
        <f>'Tab. 18'!$N$132/QUANTITÀ!$N$5*QUANTITÀ!I$5</f>
        <v>5782.4680851063822</v>
      </c>
      <c r="K22" s="100">
        <f>'Tab. 18'!$N$132/QUANTITÀ!$N$5*QUANTITÀ!J$5</f>
        <v>10601.191489361701</v>
      </c>
      <c r="L22" s="100">
        <f>'Tab. 18'!$N$132/QUANTITÀ!$N$5*QUANTITÀ!K$5</f>
        <v>10119.319148936169</v>
      </c>
      <c r="M22" s="100">
        <f>'Tab. 18'!$N$132/QUANTITÀ!$N$5*QUANTITÀ!L$5</f>
        <v>10119.319148936169</v>
      </c>
      <c r="N22" s="100">
        <f>'Tab. 18'!$N$132/QUANTITÀ!$N$5*QUANTITÀ!M$5</f>
        <v>5782.4680851063822</v>
      </c>
      <c r="O22" s="324">
        <f>SUM(C22:N22)</f>
        <v>113240</v>
      </c>
    </row>
    <row r="23" spans="2:17" s="3" customFormat="1" ht="16" x14ac:dyDescent="0.2">
      <c r="B23" s="146" t="s">
        <v>200</v>
      </c>
      <c r="C23" s="316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324">
        <f t="shared" ref="O23:O24" si="4">SUM(C23:N23)</f>
        <v>0</v>
      </c>
    </row>
    <row r="24" spans="2:17" s="3" customFormat="1" ht="16" x14ac:dyDescent="0.2">
      <c r="B24" s="17" t="s">
        <v>201</v>
      </c>
      <c r="C24" s="318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25">
        <f t="shared" si="4"/>
        <v>0</v>
      </c>
    </row>
    <row r="25" spans="2:17" s="3" customFormat="1" ht="17" thickBot="1" x14ac:dyDescent="0.25">
      <c r="B25" s="326" t="s">
        <v>1020</v>
      </c>
      <c r="C25" s="327">
        <f>SUM(C22:C24)</f>
        <v>8673.7021276595733</v>
      </c>
      <c r="D25" s="314">
        <f t="shared" ref="D25:O25" si="5">SUM(D22:D24)</f>
        <v>9637.4468085106382</v>
      </c>
      <c r="E25" s="314">
        <f t="shared" si="5"/>
        <v>11083.063829787234</v>
      </c>
      <c r="F25" s="314">
        <f t="shared" si="5"/>
        <v>10119.319148936169</v>
      </c>
      <c r="G25" s="314">
        <f t="shared" si="5"/>
        <v>10119.319148936169</v>
      </c>
      <c r="H25" s="314">
        <f t="shared" si="5"/>
        <v>10601.191489361701</v>
      </c>
      <c r="I25" s="314">
        <f t="shared" si="5"/>
        <v>10601.191489361701</v>
      </c>
      <c r="J25" s="314">
        <f t="shared" si="5"/>
        <v>5782.4680851063822</v>
      </c>
      <c r="K25" s="314">
        <f t="shared" si="5"/>
        <v>10601.191489361701</v>
      </c>
      <c r="L25" s="314">
        <f t="shared" si="5"/>
        <v>10119.319148936169</v>
      </c>
      <c r="M25" s="314">
        <f t="shared" si="5"/>
        <v>10119.319148936169</v>
      </c>
      <c r="N25" s="314">
        <f t="shared" si="5"/>
        <v>5782.4680851063822</v>
      </c>
      <c r="O25" s="328">
        <f t="shared" si="5"/>
        <v>113240</v>
      </c>
      <c r="Q25" s="103">
        <f>+O25-'Tab. 18'!N151</f>
        <v>0</v>
      </c>
    </row>
    <row r="26" spans="2:17" s="3" customFormat="1" ht="16" x14ac:dyDescent="0.2">
      <c r="B26" s="146"/>
      <c r="C26" s="316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324"/>
    </row>
    <row r="27" spans="2:17" s="3" customFormat="1" ht="16" x14ac:dyDescent="0.2">
      <c r="B27" s="701" t="s">
        <v>1021</v>
      </c>
      <c r="C27" s="316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324"/>
    </row>
    <row r="28" spans="2:17" s="3" customFormat="1" ht="16" x14ac:dyDescent="0.2">
      <c r="B28" s="146"/>
      <c r="C28" s="316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324"/>
    </row>
    <row r="29" spans="2:17" s="3" customFormat="1" ht="16" x14ac:dyDescent="0.2">
      <c r="B29" s="146" t="s">
        <v>199</v>
      </c>
      <c r="C29" s="316">
        <f>'Tab. 18'!$O$133/QUANTITÀ!$N$5*QUANTITÀ!B$5</f>
        <v>51650.552903225849</v>
      </c>
      <c r="D29" s="100">
        <f>'Tab. 18'!$O$133/QUANTITÀ!$N$5*QUANTITÀ!C$5</f>
        <v>57389.503225806504</v>
      </c>
      <c r="E29" s="100">
        <f>'Tab. 18'!$O$133/QUANTITÀ!$N$5*QUANTITÀ!D$5</f>
        <v>65997.928709677479</v>
      </c>
      <c r="F29" s="100">
        <f>'Tab. 18'!$O$133/QUANTITÀ!$N$5*QUANTITÀ!E$5</f>
        <v>60258.978387096824</v>
      </c>
      <c r="G29" s="100">
        <f>'Tab. 18'!$O$133/QUANTITÀ!$N$5*QUANTITÀ!F$5</f>
        <v>60258.978387096824</v>
      </c>
      <c r="H29" s="100">
        <f>'Tab. 18'!$O$133/QUANTITÀ!$N$5*QUANTITÀ!G$5</f>
        <v>63128.453548387151</v>
      </c>
      <c r="I29" s="100">
        <f>'Tab. 18'!$O$133/QUANTITÀ!$N$5*QUANTITÀ!H$5</f>
        <v>63128.453548387151</v>
      </c>
      <c r="J29" s="100">
        <f>'Tab. 18'!$O$133/QUANTITÀ!$N$5*QUANTITÀ!I$5</f>
        <v>34433.701935483899</v>
      </c>
      <c r="K29" s="100">
        <f>'Tab. 18'!$O$133/QUANTITÀ!$N$5*QUANTITÀ!J$5</f>
        <v>63128.453548387151</v>
      </c>
      <c r="L29" s="100">
        <f>'Tab. 18'!$O$133/QUANTITÀ!$N$5*QUANTITÀ!K$5</f>
        <v>60258.978387096824</v>
      </c>
      <c r="M29" s="100">
        <f>'Tab. 18'!$O$133/QUANTITÀ!$N$5*QUANTITÀ!L$5</f>
        <v>60258.978387096824</v>
      </c>
      <c r="N29" s="100">
        <f>'Tab. 18'!$O$133/QUANTITÀ!$N$5*QUANTITÀ!M$5</f>
        <v>34433.701935483899</v>
      </c>
      <c r="O29" s="324">
        <f>SUM(C29:N29)</f>
        <v>674326.66290322645</v>
      </c>
    </row>
    <row r="30" spans="2:17" s="3" customFormat="1" ht="16" x14ac:dyDescent="0.2">
      <c r="B30" s="146" t="s">
        <v>200</v>
      </c>
      <c r="C30" s="316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24">
        <f t="shared" ref="O30:O31" si="6">SUM(C30:N30)</f>
        <v>0</v>
      </c>
    </row>
    <row r="31" spans="2:17" s="3" customFormat="1" ht="16" x14ac:dyDescent="0.2">
      <c r="B31" s="705" t="s">
        <v>201</v>
      </c>
      <c r="C31" s="319">
        <f>'Tab. 18'!$O$149/QUANTITÀ!$N$5*QUANTITÀ!B$5</f>
        <v>13591.148936170222</v>
      </c>
      <c r="D31" s="319">
        <f>'Tab. 18'!$O$149/QUANTITÀ!$N$5*QUANTITÀ!C$5</f>
        <v>15101.276595744692</v>
      </c>
      <c r="E31" s="319">
        <f>'Tab. 18'!$O$149/QUANTITÀ!$N$5*QUANTITÀ!D$5</f>
        <v>17366.468085106397</v>
      </c>
      <c r="F31" s="319">
        <f>'Tab. 18'!$O$149/QUANTITÀ!$N$5*QUANTITÀ!E$5</f>
        <v>15856.340425531926</v>
      </c>
      <c r="G31" s="319">
        <f>'Tab. 18'!$O$149/QUANTITÀ!$N$5*QUANTITÀ!F$5</f>
        <v>15856.340425531926</v>
      </c>
      <c r="H31" s="319">
        <f>'Tab. 18'!$O$149/QUANTITÀ!$N$5*QUANTITÀ!G$5</f>
        <v>16611.404255319161</v>
      </c>
      <c r="I31" s="319">
        <f>'Tab. 18'!$O$149/QUANTITÀ!$N$5*QUANTITÀ!H$5</f>
        <v>16611.404255319161</v>
      </c>
      <c r="J31" s="319">
        <f>'Tab. 18'!$O$149/QUANTITÀ!$N$5*QUANTITÀ!I$5</f>
        <v>9060.7659574468144</v>
      </c>
      <c r="K31" s="319">
        <f>'Tab. 18'!$O$149/QUANTITÀ!$N$5*QUANTITÀ!J$5</f>
        <v>16611.404255319161</v>
      </c>
      <c r="L31" s="319">
        <f>'Tab. 18'!$O$149/QUANTITÀ!$N$5*QUANTITÀ!K$5</f>
        <v>15856.340425531926</v>
      </c>
      <c r="M31" s="319">
        <f>'Tab. 18'!$O$149/QUANTITÀ!$N$5*QUANTITÀ!L$5</f>
        <v>15856.340425531926</v>
      </c>
      <c r="N31" s="319">
        <f>'Tab. 18'!$O$149/QUANTITÀ!$N$5*QUANTITÀ!M$5</f>
        <v>9060.7659574468144</v>
      </c>
      <c r="O31" s="325">
        <f t="shared" si="6"/>
        <v>177440.00000000015</v>
      </c>
    </row>
    <row r="32" spans="2:17" s="3" customFormat="1" ht="17" thickBot="1" x14ac:dyDescent="0.25">
      <c r="B32" s="326" t="s">
        <v>1329</v>
      </c>
      <c r="C32" s="314">
        <f>SUM(C29:C31)</f>
        <v>65241.701839396075</v>
      </c>
      <c r="D32" s="314">
        <f t="shared" ref="D32:O32" si="7">SUM(D29:D31)</f>
        <v>72490.779821551201</v>
      </c>
      <c r="E32" s="314">
        <f t="shared" si="7"/>
        <v>83364.396794783883</v>
      </c>
      <c r="F32" s="314">
        <f t="shared" si="7"/>
        <v>76115.318812628742</v>
      </c>
      <c r="G32" s="314">
        <f t="shared" si="7"/>
        <v>76115.318812628742</v>
      </c>
      <c r="H32" s="314">
        <f t="shared" si="7"/>
        <v>79739.857803706313</v>
      </c>
      <c r="I32" s="314">
        <f t="shared" si="7"/>
        <v>79739.857803706313</v>
      </c>
      <c r="J32" s="314">
        <f t="shared" si="7"/>
        <v>43494.467892930712</v>
      </c>
      <c r="K32" s="314">
        <f t="shared" si="7"/>
        <v>79739.857803706313</v>
      </c>
      <c r="L32" s="314">
        <f t="shared" si="7"/>
        <v>76115.318812628742</v>
      </c>
      <c r="M32" s="314">
        <f t="shared" si="7"/>
        <v>76115.318812628742</v>
      </c>
      <c r="N32" s="314">
        <f t="shared" si="7"/>
        <v>43494.467892930712</v>
      </c>
      <c r="O32" s="328">
        <f t="shared" si="7"/>
        <v>851766.66290322656</v>
      </c>
      <c r="Q32" s="103">
        <f>+O32-'Tab. 18'!O151</f>
        <v>0</v>
      </c>
    </row>
    <row r="33" spans="2:17" s="3" customFormat="1" ht="16" x14ac:dyDescent="0.2">
      <c r="B33" s="706"/>
      <c r="C33" s="707"/>
      <c r="D33" s="474"/>
      <c r="E33" s="474"/>
      <c r="F33" s="474"/>
      <c r="G33" s="474"/>
      <c r="H33" s="474"/>
      <c r="I33" s="474"/>
      <c r="J33" s="474"/>
      <c r="K33" s="474"/>
      <c r="L33" s="474"/>
      <c r="M33" s="474"/>
      <c r="N33" s="474"/>
      <c r="O33" s="324"/>
    </row>
    <row r="34" spans="2:17" s="3" customFormat="1" ht="16" x14ac:dyDescent="0.2">
      <c r="B34" s="708" t="s">
        <v>1022</v>
      </c>
      <c r="C34" s="707"/>
      <c r="D34" s="474"/>
      <c r="E34" s="474"/>
      <c r="F34" s="474"/>
      <c r="G34" s="474"/>
      <c r="H34" s="474"/>
      <c r="I34" s="474"/>
      <c r="J34" s="474"/>
      <c r="K34" s="474"/>
      <c r="L34" s="474"/>
      <c r="M34" s="474"/>
      <c r="N34" s="474"/>
      <c r="O34" s="324"/>
    </row>
    <row r="35" spans="2:17" s="3" customFormat="1" ht="16" x14ac:dyDescent="0.2">
      <c r="B35" s="706"/>
      <c r="C35" s="707"/>
      <c r="D35" s="474"/>
      <c r="E35" s="474"/>
      <c r="F35" s="474"/>
      <c r="G35" s="474"/>
      <c r="H35" s="474"/>
      <c r="I35" s="474"/>
      <c r="J35" s="474"/>
      <c r="K35" s="474"/>
      <c r="L35" s="474"/>
      <c r="M35" s="474"/>
      <c r="N35" s="474"/>
      <c r="O35" s="324"/>
    </row>
    <row r="36" spans="2:17" s="3" customFormat="1" ht="16" x14ac:dyDescent="0.2">
      <c r="B36" s="706" t="s">
        <v>199</v>
      </c>
      <c r="C36" s="707">
        <f>+C15+C22+C29</f>
        <v>539674.51816884102</v>
      </c>
      <c r="D36" s="474">
        <f t="shared" ref="D36:N36" si="8">+D15+D22+D29</f>
        <v>599638.35352093447</v>
      </c>
      <c r="E36" s="474">
        <f t="shared" si="8"/>
        <v>689584.10654907464</v>
      </c>
      <c r="F36" s="474">
        <f t="shared" si="8"/>
        <v>629620.27119698119</v>
      </c>
      <c r="G36" s="474">
        <f t="shared" si="8"/>
        <v>629620.27119698119</v>
      </c>
      <c r="H36" s="474">
        <f t="shared" si="8"/>
        <v>659602.18887302792</v>
      </c>
      <c r="I36" s="474">
        <f t="shared" si="8"/>
        <v>659602.18887302792</v>
      </c>
      <c r="J36" s="474">
        <f t="shared" si="8"/>
        <v>359783.01211256068</v>
      </c>
      <c r="K36" s="474">
        <f t="shared" si="8"/>
        <v>659602.18887302792</v>
      </c>
      <c r="L36" s="474">
        <f t="shared" si="8"/>
        <v>629620.27119698119</v>
      </c>
      <c r="M36" s="474">
        <f t="shared" si="8"/>
        <v>629620.27119698119</v>
      </c>
      <c r="N36" s="474">
        <f t="shared" si="8"/>
        <v>359783.01211256068</v>
      </c>
      <c r="O36" s="324">
        <f>SUM(C36:N36)</f>
        <v>7045750.6538709803</v>
      </c>
    </row>
    <row r="37" spans="2:17" s="3" customFormat="1" ht="16" x14ac:dyDescent="0.2">
      <c r="B37" s="706" t="s">
        <v>200</v>
      </c>
      <c r="C37" s="707">
        <f t="shared" ref="C37:C38" si="9">+C16+C23+C30</f>
        <v>0</v>
      </c>
      <c r="D37" s="474">
        <f t="shared" ref="D37:N37" si="10">+D16+D23+D30</f>
        <v>0</v>
      </c>
      <c r="E37" s="474">
        <f t="shared" si="10"/>
        <v>0</v>
      </c>
      <c r="F37" s="474">
        <f t="shared" si="10"/>
        <v>0</v>
      </c>
      <c r="G37" s="474">
        <f t="shared" si="10"/>
        <v>0</v>
      </c>
      <c r="H37" s="474">
        <f t="shared" si="10"/>
        <v>0</v>
      </c>
      <c r="I37" s="474">
        <f t="shared" si="10"/>
        <v>0</v>
      </c>
      <c r="J37" s="474">
        <f t="shared" si="10"/>
        <v>0</v>
      </c>
      <c r="K37" s="474">
        <f t="shared" si="10"/>
        <v>0</v>
      </c>
      <c r="L37" s="474">
        <f t="shared" si="10"/>
        <v>0</v>
      </c>
      <c r="M37" s="474">
        <f t="shared" si="10"/>
        <v>0</v>
      </c>
      <c r="N37" s="474">
        <f t="shared" si="10"/>
        <v>0</v>
      </c>
      <c r="O37" s="324">
        <f t="shared" ref="O37:O38" si="11">SUM(C37:N37)</f>
        <v>0</v>
      </c>
    </row>
    <row r="38" spans="2:17" s="3" customFormat="1" ht="16" x14ac:dyDescent="0.2">
      <c r="B38" s="709" t="s">
        <v>201</v>
      </c>
      <c r="C38" s="710">
        <f t="shared" si="9"/>
        <v>77012.425531914894</v>
      </c>
      <c r="D38" s="710">
        <f t="shared" ref="D38:N38" si="12">+D17+D24+D31</f>
        <v>85569.361702127673</v>
      </c>
      <c r="E38" s="710">
        <f t="shared" si="12"/>
        <v>98404.765957446827</v>
      </c>
      <c r="F38" s="710">
        <f t="shared" si="12"/>
        <v>89847.829787234048</v>
      </c>
      <c r="G38" s="710">
        <f t="shared" si="12"/>
        <v>89847.829787234048</v>
      </c>
      <c r="H38" s="710">
        <f t="shared" si="12"/>
        <v>94126.297872340423</v>
      </c>
      <c r="I38" s="710">
        <f t="shared" si="12"/>
        <v>94126.297872340423</v>
      </c>
      <c r="J38" s="710">
        <f t="shared" si="12"/>
        <v>51341.617021276594</v>
      </c>
      <c r="K38" s="710">
        <f t="shared" si="12"/>
        <v>94126.297872340423</v>
      </c>
      <c r="L38" s="710">
        <f t="shared" si="12"/>
        <v>89847.829787234048</v>
      </c>
      <c r="M38" s="710">
        <f t="shared" si="12"/>
        <v>89847.829787234048</v>
      </c>
      <c r="N38" s="710">
        <f t="shared" si="12"/>
        <v>51341.617021276594</v>
      </c>
      <c r="O38" s="325">
        <f t="shared" si="11"/>
        <v>1005440.0000000001</v>
      </c>
    </row>
    <row r="39" spans="2:17" s="3" customFormat="1" ht="17" thickBot="1" x14ac:dyDescent="0.25">
      <c r="B39" s="711" t="s">
        <v>1330</v>
      </c>
      <c r="C39" s="712">
        <f>SUM(C36:C38)</f>
        <v>616686.94370075595</v>
      </c>
      <c r="D39" s="712">
        <f t="shared" ref="D39:N39" si="13">SUM(D36:D38)</f>
        <v>685207.71522306208</v>
      </c>
      <c r="E39" s="712">
        <f t="shared" si="13"/>
        <v>787988.87250652141</v>
      </c>
      <c r="F39" s="712">
        <f t="shared" si="13"/>
        <v>719468.10098421527</v>
      </c>
      <c r="G39" s="712">
        <f t="shared" si="13"/>
        <v>719468.10098421527</v>
      </c>
      <c r="H39" s="712">
        <f t="shared" si="13"/>
        <v>753728.48674536834</v>
      </c>
      <c r="I39" s="712">
        <f t="shared" si="13"/>
        <v>753728.48674536834</v>
      </c>
      <c r="J39" s="712">
        <f t="shared" si="13"/>
        <v>411124.6291338373</v>
      </c>
      <c r="K39" s="712">
        <f t="shared" si="13"/>
        <v>753728.48674536834</v>
      </c>
      <c r="L39" s="712">
        <f t="shared" si="13"/>
        <v>719468.10098421527</v>
      </c>
      <c r="M39" s="712">
        <f t="shared" si="13"/>
        <v>719468.10098421527</v>
      </c>
      <c r="N39" s="712">
        <f t="shared" si="13"/>
        <v>411124.6291338373</v>
      </c>
      <c r="O39" s="328">
        <f t="shared" ref="O39" si="14">SUM(O36:O38)</f>
        <v>8051190.6538709803</v>
      </c>
      <c r="Q39" s="103">
        <f>+O39-'Tab. 18'!Q151</f>
        <v>2.7008354663848877E-8</v>
      </c>
    </row>
  </sheetData>
  <mergeCells count="1">
    <mergeCell ref="C4:O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553A-BC9A-2647-A9EA-94A015A8A0E5}">
  <sheetPr codeName="Foglio35"/>
  <dimension ref="B2:O9"/>
  <sheetViews>
    <sheetView zoomScale="160" zoomScaleNormal="160" workbookViewId="0">
      <selection activeCell="I26" sqref="I26"/>
    </sheetView>
  </sheetViews>
  <sheetFormatPr baseColWidth="10" defaultRowHeight="13" x14ac:dyDescent="0.15"/>
  <cols>
    <col min="2" max="2" width="25.83203125" customWidth="1"/>
    <col min="3" max="3" width="13.6640625" bestFit="1" customWidth="1"/>
    <col min="15" max="15" width="12.1640625" bestFit="1" customWidth="1"/>
  </cols>
  <sheetData>
    <row r="2" spans="2:15" ht="16" x14ac:dyDescent="0.2">
      <c r="B2" s="3" t="s">
        <v>1025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6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6" x14ac:dyDescent="0.2">
      <c r="B4" s="3" t="s">
        <v>1024</v>
      </c>
      <c r="C4" s="94">
        <v>30500000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7" thickBo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ht="16" x14ac:dyDescent="0.2">
      <c r="B6" s="13"/>
      <c r="C6" s="1056" t="s">
        <v>196</v>
      </c>
      <c r="D6" s="1044"/>
      <c r="E6" s="1044"/>
      <c r="F6" s="1044"/>
      <c r="G6" s="1044"/>
      <c r="H6" s="1044"/>
      <c r="I6" s="1044"/>
      <c r="J6" s="1044"/>
      <c r="K6" s="1044"/>
      <c r="L6" s="1044"/>
      <c r="M6" s="1044"/>
      <c r="N6" s="1044"/>
      <c r="O6" s="1045"/>
    </row>
    <row r="7" spans="2:15" ht="16" x14ac:dyDescent="0.2">
      <c r="B7" s="320"/>
      <c r="C7" s="419" t="s">
        <v>211</v>
      </c>
      <c r="D7" s="420" t="s">
        <v>212</v>
      </c>
      <c r="E7" s="420" t="s">
        <v>213</v>
      </c>
      <c r="F7" s="420" t="s">
        <v>214</v>
      </c>
      <c r="G7" s="420" t="s">
        <v>215</v>
      </c>
      <c r="H7" s="420" t="s">
        <v>216</v>
      </c>
      <c r="I7" s="420" t="s">
        <v>217</v>
      </c>
      <c r="J7" s="420" t="s">
        <v>218</v>
      </c>
      <c r="K7" s="420" t="s">
        <v>219</v>
      </c>
      <c r="L7" s="420" t="s">
        <v>220</v>
      </c>
      <c r="M7" s="420" t="s">
        <v>221</v>
      </c>
      <c r="N7" s="420" t="s">
        <v>222</v>
      </c>
      <c r="O7" s="713" t="s">
        <v>179</v>
      </c>
    </row>
    <row r="8" spans="2:15" ht="16" x14ac:dyDescent="0.2">
      <c r="B8" s="146"/>
      <c r="C8" s="316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324"/>
    </row>
    <row r="9" spans="2:15" ht="17" thickBot="1" x14ac:dyDescent="0.25">
      <c r="B9" s="326" t="s">
        <v>1026</v>
      </c>
      <c r="C9" s="702">
        <f>$C$4/12</f>
        <v>2541666.6666666665</v>
      </c>
      <c r="D9" s="101">
        <f t="shared" ref="D9:N9" si="0">$C$4/12</f>
        <v>2541666.6666666665</v>
      </c>
      <c r="E9" s="101">
        <f t="shared" si="0"/>
        <v>2541666.6666666665</v>
      </c>
      <c r="F9" s="101">
        <f t="shared" si="0"/>
        <v>2541666.6666666665</v>
      </c>
      <c r="G9" s="101">
        <f t="shared" si="0"/>
        <v>2541666.6666666665</v>
      </c>
      <c r="H9" s="101">
        <f t="shared" si="0"/>
        <v>2541666.6666666665</v>
      </c>
      <c r="I9" s="101">
        <f t="shared" si="0"/>
        <v>2541666.6666666665</v>
      </c>
      <c r="J9" s="101">
        <f t="shared" si="0"/>
        <v>2541666.6666666665</v>
      </c>
      <c r="K9" s="101">
        <f t="shared" si="0"/>
        <v>2541666.6666666665</v>
      </c>
      <c r="L9" s="101">
        <f t="shared" si="0"/>
        <v>2541666.6666666665</v>
      </c>
      <c r="M9" s="101">
        <f t="shared" si="0"/>
        <v>2541666.6666666665</v>
      </c>
      <c r="N9" s="703">
        <f t="shared" si="0"/>
        <v>2541666.6666666665</v>
      </c>
      <c r="O9" s="328">
        <f>SUM(C9:N9)</f>
        <v>30500000.000000004</v>
      </c>
    </row>
  </sheetData>
  <mergeCells count="1">
    <mergeCell ref="C6:O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9CE3-570E-4746-9E6F-95A37ADABFED}">
  <sheetPr codeName="Foglio36"/>
  <dimension ref="B2:O16"/>
  <sheetViews>
    <sheetView zoomScale="170" zoomScaleNormal="170" workbookViewId="0">
      <selection activeCell="B2" sqref="B2:O16"/>
    </sheetView>
  </sheetViews>
  <sheetFormatPr baseColWidth="10" defaultRowHeight="13" x14ac:dyDescent="0.15"/>
  <cols>
    <col min="2" max="2" width="27.33203125" customWidth="1"/>
    <col min="3" max="3" width="11.5" bestFit="1" customWidth="1"/>
    <col min="4" max="14" width="11" bestFit="1" customWidth="1"/>
    <col min="15" max="15" width="11.1640625" bestFit="1" customWidth="1"/>
  </cols>
  <sheetData>
    <row r="2" spans="2:15" ht="16" x14ac:dyDescent="0.2">
      <c r="B2" s="3" t="s">
        <v>1027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6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6" x14ac:dyDescent="0.2">
      <c r="B4" s="3" t="s">
        <v>1028</v>
      </c>
      <c r="C4" s="94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7" thickBo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ht="16" x14ac:dyDescent="0.2">
      <c r="B6" s="13"/>
      <c r="C6" s="1056" t="s">
        <v>196</v>
      </c>
      <c r="D6" s="1044"/>
      <c r="E6" s="1044"/>
      <c r="F6" s="1044"/>
      <c r="G6" s="1044"/>
      <c r="H6" s="1044"/>
      <c r="I6" s="1044"/>
      <c r="J6" s="1044"/>
      <c r="K6" s="1044"/>
      <c r="L6" s="1044"/>
      <c r="M6" s="1044"/>
      <c r="N6" s="1044"/>
      <c r="O6" s="1045"/>
    </row>
    <row r="7" spans="2:15" ht="16" x14ac:dyDescent="0.2">
      <c r="B7" s="320"/>
      <c r="C7" s="419" t="s">
        <v>211</v>
      </c>
      <c r="D7" s="420" t="s">
        <v>212</v>
      </c>
      <c r="E7" s="420" t="s">
        <v>213</v>
      </c>
      <c r="F7" s="420" t="s">
        <v>214</v>
      </c>
      <c r="G7" s="420" t="s">
        <v>215</v>
      </c>
      <c r="H7" s="420" t="s">
        <v>216</v>
      </c>
      <c r="I7" s="420" t="s">
        <v>217</v>
      </c>
      <c r="J7" s="420" t="s">
        <v>218</v>
      </c>
      <c r="K7" s="420" t="s">
        <v>219</v>
      </c>
      <c r="L7" s="420" t="s">
        <v>220</v>
      </c>
      <c r="M7" s="420" t="s">
        <v>221</v>
      </c>
      <c r="N7" s="420" t="s">
        <v>222</v>
      </c>
      <c r="O7" s="713" t="s">
        <v>179</v>
      </c>
    </row>
    <row r="8" spans="2:15" ht="16" x14ac:dyDescent="0.2">
      <c r="B8" s="146"/>
      <c r="C8" s="316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324"/>
    </row>
    <row r="9" spans="2:15" ht="16" x14ac:dyDescent="0.2">
      <c r="B9" s="701" t="s">
        <v>1030</v>
      </c>
      <c r="C9" s="316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324"/>
    </row>
    <row r="10" spans="2:15" ht="16" x14ac:dyDescent="0.2">
      <c r="B10" s="146" t="s">
        <v>189</v>
      </c>
      <c r="C10" s="34">
        <f>CEILING(+QUANTITÀ!B11,1)</f>
        <v>52288</v>
      </c>
      <c r="D10" s="33">
        <f>CEILING(+QUANTITÀ!C11,1)</f>
        <v>58098</v>
      </c>
      <c r="E10" s="33">
        <f>CEILING(+QUANTITÀ!D11,1)</f>
        <v>66813</v>
      </c>
      <c r="F10" s="33">
        <f>CEILING(+QUANTITÀ!E11,1)</f>
        <v>61003</v>
      </c>
      <c r="G10" s="33">
        <f>CEILING(+QUANTITÀ!F11,1)</f>
        <v>61003</v>
      </c>
      <c r="H10" s="33">
        <f>CEILING(+QUANTITÀ!G11,1)</f>
        <v>63908</v>
      </c>
      <c r="I10" s="33">
        <f>CEILING(+QUANTITÀ!H11,1)</f>
        <v>63908</v>
      </c>
      <c r="J10" s="33">
        <f>CEILING(+QUANTITÀ!I11,1)</f>
        <v>34859</v>
      </c>
      <c r="K10" s="33">
        <f>CEILING(+QUANTITÀ!J11,1)</f>
        <v>63908</v>
      </c>
      <c r="L10" s="33">
        <f>CEILING(+QUANTITÀ!K11,1)</f>
        <v>61003</v>
      </c>
      <c r="M10" s="33">
        <f>CEILING(+QUANTITÀ!L11,1)</f>
        <v>61003</v>
      </c>
      <c r="N10" s="33">
        <f>CEILING(+QUANTITÀ!M11,1)</f>
        <v>34859</v>
      </c>
      <c r="O10" s="714">
        <f t="shared" ref="O10:O11" si="0">SUM(C10:N10)</f>
        <v>682653</v>
      </c>
    </row>
    <row r="11" spans="2:15" ht="16" x14ac:dyDescent="0.2">
      <c r="B11" s="146" t="s">
        <v>190</v>
      </c>
      <c r="C11" s="34">
        <f>CEILING(QUANTITÀ!B18,1)</f>
        <v>3207</v>
      </c>
      <c r="D11" s="33">
        <f>CEILING(QUANTITÀ!C18,1)</f>
        <v>3564</v>
      </c>
      <c r="E11" s="33">
        <f>CEILING(QUANTITÀ!D18,1)</f>
        <v>4098</v>
      </c>
      <c r="F11" s="33">
        <f>CEILING(QUANTITÀ!E18,1)</f>
        <v>3742</v>
      </c>
      <c r="G11" s="33">
        <f>CEILING(QUANTITÀ!F18,1)</f>
        <v>3742</v>
      </c>
      <c r="H11" s="33">
        <f>CEILING(QUANTITÀ!G18,1)</f>
        <v>3920</v>
      </c>
      <c r="I11" s="33">
        <f>CEILING(QUANTITÀ!H18,1)</f>
        <v>3920</v>
      </c>
      <c r="J11" s="33">
        <f>CEILING(QUANTITÀ!I18,1)</f>
        <v>2138</v>
      </c>
      <c r="K11" s="33">
        <f>CEILING(QUANTITÀ!J18,1)</f>
        <v>3920</v>
      </c>
      <c r="L11" s="33">
        <f>CEILING(QUANTITÀ!K18,1)</f>
        <v>3742</v>
      </c>
      <c r="M11" s="33">
        <f>CEILING(QUANTITÀ!L18,1)</f>
        <v>3742</v>
      </c>
      <c r="N11" s="33">
        <f>CEILING(QUANTITÀ!M18,1)</f>
        <v>2138</v>
      </c>
      <c r="O11" s="714">
        <f t="shared" si="0"/>
        <v>41873</v>
      </c>
    </row>
    <row r="12" spans="2:15" ht="16" x14ac:dyDescent="0.2">
      <c r="B12" s="146"/>
      <c r="C12" s="3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714"/>
    </row>
    <row r="13" spans="2:15" ht="16" x14ac:dyDescent="0.2">
      <c r="B13" s="701" t="s">
        <v>1031</v>
      </c>
      <c r="C13" s="34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714"/>
    </row>
    <row r="14" spans="2:15" ht="16" x14ac:dyDescent="0.2">
      <c r="B14" s="146" t="s">
        <v>189</v>
      </c>
      <c r="C14" s="316">
        <f>$C$4*C10</f>
        <v>522880</v>
      </c>
      <c r="D14" s="33">
        <f t="shared" ref="D14:N14" si="1">$C$4*D10</f>
        <v>580980</v>
      </c>
      <c r="E14" s="33">
        <f t="shared" si="1"/>
        <v>668130</v>
      </c>
      <c r="F14" s="33">
        <f t="shared" si="1"/>
        <v>610030</v>
      </c>
      <c r="G14" s="33">
        <f t="shared" si="1"/>
        <v>610030</v>
      </c>
      <c r="H14" s="33">
        <f t="shared" si="1"/>
        <v>639080</v>
      </c>
      <c r="I14" s="33">
        <f t="shared" si="1"/>
        <v>639080</v>
      </c>
      <c r="J14" s="33">
        <f t="shared" si="1"/>
        <v>348590</v>
      </c>
      <c r="K14" s="33">
        <f t="shared" si="1"/>
        <v>639080</v>
      </c>
      <c r="L14" s="33">
        <f t="shared" si="1"/>
        <v>610030</v>
      </c>
      <c r="M14" s="33">
        <f t="shared" si="1"/>
        <v>610030</v>
      </c>
      <c r="N14" s="33">
        <f t="shared" si="1"/>
        <v>348590</v>
      </c>
      <c r="O14" s="714">
        <f t="shared" ref="O14:O15" si="2">SUM(C14:N14)</f>
        <v>6826530</v>
      </c>
    </row>
    <row r="15" spans="2:15" ht="16" x14ac:dyDescent="0.2">
      <c r="B15" s="146" t="s">
        <v>190</v>
      </c>
      <c r="C15" s="316">
        <f>$C$4*C11</f>
        <v>32070</v>
      </c>
      <c r="D15" s="33">
        <f t="shared" ref="D15:N15" si="3">$C$4*D11</f>
        <v>35640</v>
      </c>
      <c r="E15" s="33">
        <f t="shared" si="3"/>
        <v>40980</v>
      </c>
      <c r="F15" s="33">
        <f t="shared" si="3"/>
        <v>37420</v>
      </c>
      <c r="G15" s="33">
        <f t="shared" si="3"/>
        <v>37420</v>
      </c>
      <c r="H15" s="33">
        <f t="shared" si="3"/>
        <v>39200</v>
      </c>
      <c r="I15" s="33">
        <f t="shared" si="3"/>
        <v>39200</v>
      </c>
      <c r="J15" s="33">
        <f t="shared" si="3"/>
        <v>21380</v>
      </c>
      <c r="K15" s="33">
        <f t="shared" si="3"/>
        <v>39200</v>
      </c>
      <c r="L15" s="33">
        <f t="shared" si="3"/>
        <v>37420</v>
      </c>
      <c r="M15" s="33">
        <f t="shared" si="3"/>
        <v>37420</v>
      </c>
      <c r="N15" s="33">
        <f t="shared" si="3"/>
        <v>21380</v>
      </c>
      <c r="O15" s="714">
        <f t="shared" si="2"/>
        <v>418730</v>
      </c>
    </row>
    <row r="16" spans="2:15" ht="17" thickBot="1" x14ac:dyDescent="0.25">
      <c r="B16" s="326" t="s">
        <v>1029</v>
      </c>
      <c r="C16" s="702">
        <f>SUM(C14:C15)</f>
        <v>554950</v>
      </c>
      <c r="D16" s="101">
        <f t="shared" ref="D16:N16" si="4">SUM(D14:D15)</f>
        <v>616620</v>
      </c>
      <c r="E16" s="101">
        <f t="shared" si="4"/>
        <v>709110</v>
      </c>
      <c r="F16" s="101">
        <f t="shared" si="4"/>
        <v>647450</v>
      </c>
      <c r="G16" s="101">
        <f t="shared" si="4"/>
        <v>647450</v>
      </c>
      <c r="H16" s="101">
        <f t="shared" si="4"/>
        <v>678280</v>
      </c>
      <c r="I16" s="101">
        <f t="shared" si="4"/>
        <v>678280</v>
      </c>
      <c r="J16" s="101">
        <f t="shared" si="4"/>
        <v>369970</v>
      </c>
      <c r="K16" s="101">
        <f t="shared" si="4"/>
        <v>678280</v>
      </c>
      <c r="L16" s="101">
        <f t="shared" si="4"/>
        <v>647450</v>
      </c>
      <c r="M16" s="101">
        <f t="shared" si="4"/>
        <v>647450</v>
      </c>
      <c r="N16" s="703">
        <f t="shared" si="4"/>
        <v>369970</v>
      </c>
      <c r="O16" s="704">
        <f>SUM(C16:N16)</f>
        <v>7245260</v>
      </c>
    </row>
  </sheetData>
  <mergeCells count="1">
    <mergeCell ref="C6:O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655B-E476-2C40-9285-EDC39AEDF7B2}">
  <sheetPr codeName="Foglio37"/>
  <dimension ref="B2:R43"/>
  <sheetViews>
    <sheetView showGridLines="0" zoomScale="150" zoomScaleNormal="15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Q15" sqref="Q15:R41"/>
    </sheetView>
  </sheetViews>
  <sheetFormatPr baseColWidth="10" defaultRowHeight="13" outlineLevelRow="1" x14ac:dyDescent="0.15"/>
  <cols>
    <col min="2" max="2" width="32.5" customWidth="1"/>
    <col min="3" max="3" width="12.6640625" bestFit="1" customWidth="1"/>
    <col min="4" max="14" width="12.6640625" customWidth="1"/>
    <col min="15" max="15" width="14.5" customWidth="1"/>
    <col min="17" max="17" width="12" bestFit="1" customWidth="1"/>
  </cols>
  <sheetData>
    <row r="2" spans="2:17" ht="16" x14ac:dyDescent="0.2">
      <c r="B2" s="3" t="s">
        <v>1046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7" ht="16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7" ht="17" thickBo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7" ht="16" x14ac:dyDescent="0.2">
      <c r="B5" s="13"/>
      <c r="C5" s="1056" t="s">
        <v>196</v>
      </c>
      <c r="D5" s="1044"/>
      <c r="E5" s="1044"/>
      <c r="F5" s="1044"/>
      <c r="G5" s="1044"/>
      <c r="H5" s="1044"/>
      <c r="I5" s="1044"/>
      <c r="J5" s="1044"/>
      <c r="K5" s="1044"/>
      <c r="L5" s="1044"/>
      <c r="M5" s="1044"/>
      <c r="N5" s="1044"/>
      <c r="O5" s="1045"/>
    </row>
    <row r="6" spans="2:17" ht="16" x14ac:dyDescent="0.2">
      <c r="B6" s="320"/>
      <c r="C6" s="419" t="s">
        <v>211</v>
      </c>
      <c r="D6" s="420" t="s">
        <v>212</v>
      </c>
      <c r="E6" s="420" t="s">
        <v>213</v>
      </c>
      <c r="F6" s="420" t="s">
        <v>214</v>
      </c>
      <c r="G6" s="420" t="s">
        <v>215</v>
      </c>
      <c r="H6" s="420" t="s">
        <v>216</v>
      </c>
      <c r="I6" s="420" t="s">
        <v>217</v>
      </c>
      <c r="J6" s="420" t="s">
        <v>218</v>
      </c>
      <c r="K6" s="420" t="s">
        <v>219</v>
      </c>
      <c r="L6" s="420" t="s">
        <v>220</v>
      </c>
      <c r="M6" s="420" t="s">
        <v>221</v>
      </c>
      <c r="N6" s="420" t="s">
        <v>222</v>
      </c>
      <c r="O6" s="713" t="s">
        <v>179</v>
      </c>
    </row>
    <row r="7" spans="2:17" ht="16" x14ac:dyDescent="0.2">
      <c r="B7" s="146"/>
      <c r="C7" s="316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324"/>
    </row>
    <row r="8" spans="2:17" ht="16" x14ac:dyDescent="0.2">
      <c r="B8" s="146" t="s">
        <v>426</v>
      </c>
      <c r="C8" s="316">
        <f>'Tab. 21'!C16</f>
        <v>554950</v>
      </c>
      <c r="D8" s="100">
        <f>'Tab. 21'!D16</f>
        <v>616620</v>
      </c>
      <c r="E8" s="100">
        <f>'Tab. 21'!E16</f>
        <v>709110</v>
      </c>
      <c r="F8" s="100">
        <f>'Tab. 21'!F16</f>
        <v>647450</v>
      </c>
      <c r="G8" s="100">
        <f>'Tab. 21'!G16</f>
        <v>647450</v>
      </c>
      <c r="H8" s="100">
        <f>'Tab. 21'!H16</f>
        <v>678280</v>
      </c>
      <c r="I8" s="100">
        <f>'Tab. 21'!I16</f>
        <v>678280</v>
      </c>
      <c r="J8" s="100">
        <f>'Tab. 21'!J16</f>
        <v>369970</v>
      </c>
      <c r="K8" s="100">
        <f>'Tab. 21'!K16</f>
        <v>678280</v>
      </c>
      <c r="L8" s="100">
        <f>'Tab. 21'!L16</f>
        <v>647450</v>
      </c>
      <c r="M8" s="100">
        <f>'Tab. 21'!M16</f>
        <v>647450</v>
      </c>
      <c r="N8" s="100">
        <f>'Tab. 21'!N16</f>
        <v>369970</v>
      </c>
      <c r="O8" s="324">
        <f>SUM(C8:N8)</f>
        <v>7245260</v>
      </c>
      <c r="Q8" s="720"/>
    </row>
    <row r="9" spans="2:17" ht="16" x14ac:dyDescent="0.2">
      <c r="B9" s="146" t="s">
        <v>1044</v>
      </c>
      <c r="C9" s="316">
        <f>'Tab. 19'!C39</f>
        <v>616686.94370075595</v>
      </c>
      <c r="D9" s="100">
        <f>'Tab. 19'!D39</f>
        <v>685207.71522306208</v>
      </c>
      <c r="E9" s="100">
        <f>'Tab. 19'!E39</f>
        <v>787988.87250652141</v>
      </c>
      <c r="F9" s="100">
        <f>'Tab. 19'!F39</f>
        <v>719468.10098421527</v>
      </c>
      <c r="G9" s="100">
        <f>'Tab. 19'!G39</f>
        <v>719468.10098421527</v>
      </c>
      <c r="H9" s="100">
        <f>'Tab. 19'!H39</f>
        <v>753728.48674536834</v>
      </c>
      <c r="I9" s="100">
        <f>'Tab. 19'!I39</f>
        <v>753728.48674536834</v>
      </c>
      <c r="J9" s="100">
        <f>'Tab. 19'!J39</f>
        <v>411124.6291338373</v>
      </c>
      <c r="K9" s="100">
        <f>'Tab. 19'!K39</f>
        <v>753728.48674536834</v>
      </c>
      <c r="L9" s="100">
        <f>'Tab. 19'!L39</f>
        <v>719468.10098421527</v>
      </c>
      <c r="M9" s="100">
        <f>'Tab. 19'!M39</f>
        <v>719468.10098421527</v>
      </c>
      <c r="N9" s="100">
        <f>'Tab. 19'!N39</f>
        <v>411124.6291338373</v>
      </c>
      <c r="O9" s="324">
        <f>SUM(C9:N9)</f>
        <v>8051190.6538709812</v>
      </c>
    </row>
    <row r="10" spans="2:17" ht="16" x14ac:dyDescent="0.2">
      <c r="B10" s="146" t="s">
        <v>223</v>
      </c>
      <c r="C10" s="316">
        <f>'Tab. 4'!C13</f>
        <v>145647.98292107071</v>
      </c>
      <c r="D10" s="100">
        <f>'Tab. 4'!D13</f>
        <v>161831.092134523</v>
      </c>
      <c r="E10" s="100">
        <f>'Tab. 4'!E13</f>
        <v>186105.75595470148</v>
      </c>
      <c r="F10" s="100">
        <f>'Tab. 4'!F13</f>
        <v>169922.64674124913</v>
      </c>
      <c r="G10" s="100">
        <f>'Tab. 4'!G13</f>
        <v>169922.64674124913</v>
      </c>
      <c r="H10" s="100">
        <f>'Tab. 4'!H13</f>
        <v>178014.20134797529</v>
      </c>
      <c r="I10" s="100">
        <f>'Tab. 4'!I13</f>
        <v>178014.20134797529</v>
      </c>
      <c r="J10" s="100">
        <f>'Tab. 4'!J13</f>
        <v>97098.655280713807</v>
      </c>
      <c r="K10" s="100">
        <f>'Tab. 4'!K13</f>
        <v>178014.20134797529</v>
      </c>
      <c r="L10" s="100">
        <f>'Tab. 4'!L13</f>
        <v>169922.64674124913</v>
      </c>
      <c r="M10" s="100">
        <f>'Tab. 4'!M13</f>
        <v>169922.64674124913</v>
      </c>
      <c r="N10" s="100">
        <f>'Tab. 4'!N13</f>
        <v>97098.655280713807</v>
      </c>
      <c r="O10" s="324">
        <f>SUM(C10:N10)</f>
        <v>1901515.3325806451</v>
      </c>
    </row>
    <row r="11" spans="2:17" ht="16" x14ac:dyDescent="0.2">
      <c r="B11" s="146" t="s">
        <v>1047</v>
      </c>
      <c r="C11" s="316">
        <f>'Tab. 20'!C9</f>
        <v>2541666.6666666665</v>
      </c>
      <c r="D11" s="100">
        <f>'Tab. 20'!D9</f>
        <v>2541666.6666666665</v>
      </c>
      <c r="E11" s="100">
        <f>'Tab. 20'!E9</f>
        <v>2541666.6666666665</v>
      </c>
      <c r="F11" s="100">
        <f>'Tab. 20'!F9</f>
        <v>2541666.6666666665</v>
      </c>
      <c r="G11" s="100">
        <f>'Tab. 20'!G9</f>
        <v>2541666.6666666665</v>
      </c>
      <c r="H11" s="100">
        <f>'Tab. 20'!H9</f>
        <v>2541666.6666666665</v>
      </c>
      <c r="I11" s="100">
        <f>'Tab. 20'!I9</f>
        <v>2541666.6666666665</v>
      </c>
      <c r="J11" s="100">
        <f>'Tab. 20'!J9</f>
        <v>2541666.6666666665</v>
      </c>
      <c r="K11" s="100">
        <f>'Tab. 20'!K9</f>
        <v>2541666.6666666665</v>
      </c>
      <c r="L11" s="100">
        <f>'Tab. 20'!L9</f>
        <v>2541666.6666666665</v>
      </c>
      <c r="M11" s="100">
        <f>'Tab. 20'!M9</f>
        <v>2541666.6666666665</v>
      </c>
      <c r="N11" s="100">
        <f>'Tab. 20'!N9</f>
        <v>2541666.6666666665</v>
      </c>
      <c r="O11" s="324">
        <f>SUM(C11:N11)</f>
        <v>30500000.000000004</v>
      </c>
    </row>
    <row r="12" spans="2:17" s="719" customFormat="1" ht="16" outlineLevel="1" x14ac:dyDescent="0.2">
      <c r="B12" s="715" t="s">
        <v>1048</v>
      </c>
      <c r="C12" s="716">
        <f>'Tab. 15'!$J$19/'Tab. 11'!$O$10*'Tab. 11'!C$10</f>
        <v>28704.313873702409</v>
      </c>
      <c r="D12" s="717">
        <f>'Tab. 15'!$J$19/'Tab. 11'!$O$10*'Tab. 11'!D$10</f>
        <v>31893.682081891566</v>
      </c>
      <c r="E12" s="717">
        <f>'Tab. 15'!$J$19/'Tab. 11'!$O$10*'Tab. 11'!E$10</f>
        <v>36677.734394175306</v>
      </c>
      <c r="F12" s="717">
        <f>'Tab. 15'!$J$19/'Tab. 11'!$O$10*'Tab. 11'!F$10</f>
        <v>33488.366185986146</v>
      </c>
      <c r="G12" s="717">
        <f>'Tab. 15'!$J$19/'Tab. 11'!$O$10*'Tab. 11'!G$10</f>
        <v>33488.366185986146</v>
      </c>
      <c r="H12" s="717">
        <f>'Tab. 15'!$J$19/'Tab. 11'!$O$10*'Tab. 11'!H$10</f>
        <v>35083.050290080726</v>
      </c>
      <c r="I12" s="717">
        <f>'Tab. 15'!$J$19/'Tab. 11'!$O$10*'Tab. 11'!I$10</f>
        <v>35083.050290080726</v>
      </c>
      <c r="J12" s="717">
        <f>'Tab. 15'!$J$19/'Tab. 11'!$O$10*'Tab. 11'!J$10</f>
        <v>19136.209249134939</v>
      </c>
      <c r="K12" s="717">
        <f>'Tab. 15'!$J$19/'Tab. 11'!$O$10*'Tab. 11'!K$10</f>
        <v>35083.050290080726</v>
      </c>
      <c r="L12" s="717">
        <f>'Tab. 15'!$J$19/'Tab. 11'!$O$10*'Tab. 11'!L$10</f>
        <v>33488.366185986146</v>
      </c>
      <c r="M12" s="717">
        <f>'Tab. 15'!$J$19/'Tab. 11'!$O$10*'Tab. 11'!M$10</f>
        <v>33488.366185986146</v>
      </c>
      <c r="N12" s="717">
        <f>'Tab. 15'!$J$19/'Tab. 11'!$O$10*'Tab. 11'!N$10</f>
        <v>19136.209249134939</v>
      </c>
      <c r="O12" s="718">
        <f t="shared" ref="O12:O17" si="0">SUM(C12:N12)</f>
        <v>374750.7644622259</v>
      </c>
    </row>
    <row r="13" spans="2:17" s="719" customFormat="1" ht="16" outlineLevel="1" x14ac:dyDescent="0.2">
      <c r="B13" s="715" t="s">
        <v>400</v>
      </c>
      <c r="C13" s="716">
        <f>'Tab. 10'!$K$10/'Tab. 11'!$O$10*'Tab. 11'!C$10</f>
        <v>4714.9172212652484</v>
      </c>
      <c r="D13" s="717">
        <f>'Tab. 10'!$K$10/'Tab. 11'!$O$10*'Tab. 11'!D$10</f>
        <v>5238.7969125169429</v>
      </c>
      <c r="E13" s="717">
        <f>'Tab. 10'!$K$10/'Tab. 11'!$O$10*'Tab. 11'!E$10</f>
        <v>6024.6164493944843</v>
      </c>
      <c r="F13" s="717">
        <f>'Tab. 10'!$K$10/'Tab. 11'!$O$10*'Tab. 11'!F$10</f>
        <v>5500.7367581427898</v>
      </c>
      <c r="G13" s="717">
        <f>'Tab. 10'!$K$10/'Tab. 11'!$O$10*'Tab. 11'!G$10</f>
        <v>5500.7367581427898</v>
      </c>
      <c r="H13" s="717">
        <f>'Tab. 10'!$K$10/'Tab. 11'!$O$10*'Tab. 11'!H$10</f>
        <v>5762.6766037686366</v>
      </c>
      <c r="I13" s="717">
        <f>'Tab. 10'!$K$10/'Tab. 11'!$O$10*'Tab. 11'!I$10</f>
        <v>5762.6766037686366</v>
      </c>
      <c r="J13" s="717">
        <f>'Tab. 10'!$K$10/'Tab. 11'!$O$10*'Tab. 11'!J$10</f>
        <v>3143.2781475101656</v>
      </c>
      <c r="K13" s="717">
        <f>'Tab. 10'!$K$10/'Tab. 11'!$O$10*'Tab. 11'!K$10</f>
        <v>5762.6766037686366</v>
      </c>
      <c r="L13" s="717">
        <f>'Tab. 10'!$K$10/'Tab. 11'!$O$10*'Tab. 11'!L$10</f>
        <v>5500.7367581427898</v>
      </c>
      <c r="M13" s="717">
        <f>'Tab. 10'!$K$10/'Tab. 11'!$O$10*'Tab. 11'!M$10</f>
        <v>5500.7367581427898</v>
      </c>
      <c r="N13" s="717">
        <f>'Tab. 10'!$K$10/'Tab. 11'!$O$10*'Tab. 11'!N$10</f>
        <v>3143.2781475101656</v>
      </c>
      <c r="O13" s="718">
        <f t="shared" si="0"/>
        <v>61555.863722074078</v>
      </c>
    </row>
    <row r="14" spans="2:17" s="719" customFormat="1" ht="16" outlineLevel="1" x14ac:dyDescent="0.2">
      <c r="B14" s="715" t="s">
        <v>427</v>
      </c>
      <c r="C14" s="716">
        <f>'Tab. 11'!C56</f>
        <v>86122.101491053865</v>
      </c>
      <c r="D14" s="717">
        <f>'Tab. 11'!D56</f>
        <v>95691.223878948746</v>
      </c>
      <c r="E14" s="717">
        <f>'Tab. 11'!E56</f>
        <v>110044.90746079103</v>
      </c>
      <c r="F14" s="717">
        <f>'Tab. 11'!F56</f>
        <v>100475.78507289618</v>
      </c>
      <c r="G14" s="717">
        <f>'Tab. 11'!G56</f>
        <v>100475.78507289618</v>
      </c>
      <c r="H14" s="717">
        <f>'Tab. 11'!H56</f>
        <v>105260.34626684361</v>
      </c>
      <c r="I14" s="717">
        <f>'Tab. 11'!I56</f>
        <v>105260.34626684361</v>
      </c>
      <c r="J14" s="717">
        <f>'Tab. 11'!J56</f>
        <v>57414.734327369239</v>
      </c>
      <c r="K14" s="717">
        <f>'Tab. 11'!K56</f>
        <v>105260.34626684361</v>
      </c>
      <c r="L14" s="717">
        <f>'Tab. 11'!L56</f>
        <v>100475.78507289618</v>
      </c>
      <c r="M14" s="717">
        <f>'Tab. 11'!M56</f>
        <v>100475.78507289618</v>
      </c>
      <c r="N14" s="717">
        <f>'Tab. 11'!N56</f>
        <v>57414.734327369239</v>
      </c>
      <c r="O14" s="718">
        <f t="shared" si="0"/>
        <v>1124371.8805776476</v>
      </c>
    </row>
    <row r="15" spans="2:17" ht="16" x14ac:dyDescent="0.2">
      <c r="B15" s="146" t="s">
        <v>1034</v>
      </c>
      <c r="C15" s="316">
        <f>SUM(C12:C14)</f>
        <v>119541.33258602153</v>
      </c>
      <c r="D15" s="100">
        <f t="shared" ref="D15:N15" si="1">SUM(D12:D14)</f>
        <v>132823.70287335725</v>
      </c>
      <c r="E15" s="100">
        <f t="shared" si="1"/>
        <v>152747.25830436082</v>
      </c>
      <c r="F15" s="100">
        <f t="shared" si="1"/>
        <v>139464.88801702511</v>
      </c>
      <c r="G15" s="100">
        <f t="shared" si="1"/>
        <v>139464.88801702511</v>
      </c>
      <c r="H15" s="100">
        <f t="shared" si="1"/>
        <v>146106.07316069299</v>
      </c>
      <c r="I15" s="100">
        <f t="shared" si="1"/>
        <v>146106.07316069299</v>
      </c>
      <c r="J15" s="100">
        <f t="shared" si="1"/>
        <v>79694.221724014351</v>
      </c>
      <c r="K15" s="100">
        <f t="shared" si="1"/>
        <v>146106.07316069299</v>
      </c>
      <c r="L15" s="100">
        <f t="shared" si="1"/>
        <v>139464.88801702511</v>
      </c>
      <c r="M15" s="100">
        <f t="shared" si="1"/>
        <v>139464.88801702511</v>
      </c>
      <c r="N15" s="100">
        <f t="shared" si="1"/>
        <v>79694.221724014351</v>
      </c>
      <c r="O15" s="324">
        <f t="shared" si="0"/>
        <v>1560678.5087619475</v>
      </c>
    </row>
    <row r="16" spans="2:17" ht="16" x14ac:dyDescent="0.2">
      <c r="B16" s="146" t="s">
        <v>85</v>
      </c>
      <c r="C16" s="316">
        <f>'All. 6'!$C$33/12</f>
        <v>30800</v>
      </c>
      <c r="D16" s="100">
        <f>'All. 6'!$C$33/12</f>
        <v>30800</v>
      </c>
      <c r="E16" s="100">
        <f>'All. 6'!$C$33/12</f>
        <v>30800</v>
      </c>
      <c r="F16" s="100">
        <f>'All. 6'!$C$33/12</f>
        <v>30800</v>
      </c>
      <c r="G16" s="100">
        <f>'All. 6'!$C$33/12</f>
        <v>30800</v>
      </c>
      <c r="H16" s="100">
        <f>'All. 6'!$C$33/12</f>
        <v>30800</v>
      </c>
      <c r="I16" s="100">
        <f>'All. 6'!$C$33/12</f>
        <v>30800</v>
      </c>
      <c r="J16" s="100">
        <f>'All. 6'!$C$33/12</f>
        <v>30800</v>
      </c>
      <c r="K16" s="100">
        <f>'All. 6'!$C$33/12</f>
        <v>30800</v>
      </c>
      <c r="L16" s="100">
        <f>'All. 6'!$C$33/12</f>
        <v>30800</v>
      </c>
      <c r="M16" s="100">
        <f>'All. 6'!$C$33/12</f>
        <v>30800</v>
      </c>
      <c r="N16" s="100">
        <f>'All. 6'!$C$33/12</f>
        <v>30800</v>
      </c>
      <c r="O16" s="324">
        <f t="shared" si="0"/>
        <v>369600</v>
      </c>
    </row>
    <row r="17" spans="2:18" ht="16" x14ac:dyDescent="0.2">
      <c r="B17" s="146" t="s">
        <v>1035</v>
      </c>
      <c r="C17" s="316">
        <f>'All. 6'!$C$42/'Tab. 4'!$O$9*'Tab. 4'!C9</f>
        <v>27561.446808510638</v>
      </c>
      <c r="D17" s="100">
        <f>'All. 6'!$C$42/'Tab. 4'!$O$9*'Tab. 4'!D9</f>
        <v>30623.829787234044</v>
      </c>
      <c r="E17" s="100">
        <f>'All. 6'!$C$42/'Tab. 4'!$O$9*'Tab. 4'!E9</f>
        <v>35217.404255319154</v>
      </c>
      <c r="F17" s="100">
        <f>'All. 6'!$C$42/'Tab. 4'!$O$9*'Tab. 4'!F9</f>
        <v>32155.021276595744</v>
      </c>
      <c r="G17" s="100">
        <f>'All. 6'!$C$42/'Tab. 4'!$O$9*'Tab. 4'!G9</f>
        <v>32155.021276595744</v>
      </c>
      <c r="H17" s="100">
        <f>'All. 6'!$C$42/'Tab. 4'!$O$9*'Tab. 4'!H9</f>
        <v>33686.212765957447</v>
      </c>
      <c r="I17" s="100">
        <f>'All. 6'!$C$42/'Tab. 4'!$O$9*'Tab. 4'!I9</f>
        <v>33686.212765957447</v>
      </c>
      <c r="J17" s="100">
        <f>'All. 6'!$C$42/'Tab. 4'!$O$9*'Tab. 4'!J9</f>
        <v>18374.297872340423</v>
      </c>
      <c r="K17" s="100">
        <f>'All. 6'!$C$42/'Tab. 4'!$O$9*'Tab. 4'!K9</f>
        <v>33686.212765957447</v>
      </c>
      <c r="L17" s="100">
        <f>'All. 6'!$C$42/'Tab. 4'!$O$9*'Tab. 4'!L9</f>
        <v>32155.021276595744</v>
      </c>
      <c r="M17" s="100">
        <f>'All. 6'!$C$42/'Tab. 4'!$O$9*'Tab. 4'!M9</f>
        <v>32155.021276595744</v>
      </c>
      <c r="N17" s="100">
        <f>'All. 6'!$C$42/'Tab. 4'!$O$9*'Tab. 4'!N9</f>
        <v>18374.297872340423</v>
      </c>
      <c r="O17" s="324">
        <f t="shared" si="0"/>
        <v>359830.00000000006</v>
      </c>
    </row>
    <row r="18" spans="2:18" ht="17" thickBot="1" x14ac:dyDescent="0.25">
      <c r="B18" s="326" t="s">
        <v>1036</v>
      </c>
      <c r="C18" s="702">
        <f>+C8+C9+C10+C11+C15+C17+C16</f>
        <v>4036854.3726830254</v>
      </c>
      <c r="D18" s="101">
        <f t="shared" ref="D18:O18" si="2">+D8+D9+D10+D11+D15+D17+D16</f>
        <v>4199573.0066848425</v>
      </c>
      <c r="E18" s="101">
        <f t="shared" si="2"/>
        <v>4443635.9576875698</v>
      </c>
      <c r="F18" s="101">
        <f t="shared" si="2"/>
        <v>4280927.3236857522</v>
      </c>
      <c r="G18" s="101">
        <f t="shared" si="2"/>
        <v>4280927.3236857522</v>
      </c>
      <c r="H18" s="101">
        <f t="shared" si="2"/>
        <v>4362281.6406866601</v>
      </c>
      <c r="I18" s="101">
        <f t="shared" si="2"/>
        <v>4362281.6406866601</v>
      </c>
      <c r="J18" s="101">
        <f t="shared" si="2"/>
        <v>3548728.4706775723</v>
      </c>
      <c r="K18" s="101">
        <f t="shared" si="2"/>
        <v>4362281.6406866601</v>
      </c>
      <c r="L18" s="101">
        <f t="shared" si="2"/>
        <v>4280927.3236857522</v>
      </c>
      <c r="M18" s="101">
        <f t="shared" si="2"/>
        <v>4280927.3236857522</v>
      </c>
      <c r="N18" s="101">
        <f t="shared" si="2"/>
        <v>3548728.4706775723</v>
      </c>
      <c r="O18" s="704">
        <f t="shared" si="2"/>
        <v>49988074.495213576</v>
      </c>
      <c r="Q18" s="720"/>
    </row>
    <row r="19" spans="2:18" x14ac:dyDescent="0.15">
      <c r="B19" s="563"/>
      <c r="C19" s="959"/>
      <c r="D19" s="561"/>
      <c r="E19" s="561"/>
      <c r="F19" s="561"/>
      <c r="G19" s="561"/>
      <c r="H19" s="561"/>
      <c r="I19" s="561"/>
      <c r="J19" s="561"/>
      <c r="K19" s="561"/>
      <c r="L19" s="561"/>
      <c r="M19" s="561"/>
      <c r="N19" s="737"/>
      <c r="O19" s="721"/>
      <c r="Q19" s="720"/>
    </row>
    <row r="20" spans="2:18" x14ac:dyDescent="0.15">
      <c r="B20" s="563"/>
      <c r="C20" s="738"/>
      <c r="N20" s="739"/>
      <c r="O20" s="721"/>
      <c r="Q20" s="720"/>
    </row>
    <row r="21" spans="2:18" s="719" customFormat="1" ht="16" outlineLevel="1" x14ac:dyDescent="0.2">
      <c r="B21" s="715" t="s">
        <v>474</v>
      </c>
      <c r="C21" s="716">
        <f>'Tab. 11'!C20</f>
        <v>12280.659198580141</v>
      </c>
      <c r="D21" s="717">
        <f>'Tab. 11'!D20</f>
        <v>13645.176887311271</v>
      </c>
      <c r="E21" s="717">
        <f>'Tab. 11'!E20</f>
        <v>15691.953420407961</v>
      </c>
      <c r="F21" s="717">
        <f>'Tab. 11'!F20</f>
        <v>14327.435731676833</v>
      </c>
      <c r="G21" s="717">
        <f>'Tab. 11'!G20</f>
        <v>14327.435731676833</v>
      </c>
      <c r="H21" s="717">
        <f>'Tab. 11'!H20</f>
        <v>15009.694576042399</v>
      </c>
      <c r="I21" s="717">
        <f>'Tab. 11'!I20</f>
        <v>15009.694576042399</v>
      </c>
      <c r="J21" s="717">
        <f>'Tab. 11'!J20</f>
        <v>8187.1061323867616</v>
      </c>
      <c r="K21" s="717">
        <f>'Tab. 11'!K20</f>
        <v>15009.694576042399</v>
      </c>
      <c r="L21" s="717">
        <f>'Tab. 11'!L20</f>
        <v>14327.435731676833</v>
      </c>
      <c r="M21" s="717">
        <f>'Tab. 11'!M20</f>
        <v>14327.435731676833</v>
      </c>
      <c r="N21" s="717">
        <f>'Tab. 11'!N20</f>
        <v>8187.1061323867616</v>
      </c>
      <c r="O21" s="718">
        <f t="shared" ref="O21:O37" si="3">SUM(C21:N21)</f>
        <v>160330.82842590741</v>
      </c>
      <c r="Q21" s="950"/>
    </row>
    <row r="22" spans="2:18" s="719" customFormat="1" ht="16" outlineLevel="1" x14ac:dyDescent="0.2">
      <c r="B22" s="715" t="s">
        <v>675</v>
      </c>
      <c r="C22" s="716">
        <f>'Tab. 11'!C81</f>
        <v>17054.235130903544</v>
      </c>
      <c r="D22" s="717">
        <f>'Tab. 11'!D81</f>
        <v>18949.15014544838</v>
      </c>
      <c r="E22" s="717">
        <f>'Tab. 11'!E81</f>
        <v>24763.95276970851</v>
      </c>
      <c r="F22" s="717">
        <f>'Tab. 11'!F81</f>
        <v>22610.565572342548</v>
      </c>
      <c r="G22" s="717">
        <f>'Tab. 11'!G81</f>
        <v>22610.565572342548</v>
      </c>
      <c r="H22" s="717">
        <f>'Tab. 11'!H81</f>
        <v>23687.259171025533</v>
      </c>
      <c r="I22" s="717">
        <f>'Tab. 11'!I81</f>
        <v>23687.259171025533</v>
      </c>
      <c r="J22" s="717">
        <f>'Tab. 11'!J81</f>
        <v>12920.323184195746</v>
      </c>
      <c r="K22" s="717">
        <f>'Tab. 11'!K81</f>
        <v>23687.259171025533</v>
      </c>
      <c r="L22" s="717">
        <f>'Tab. 11'!L81</f>
        <v>22610.565572342548</v>
      </c>
      <c r="M22" s="717">
        <f>'Tab. 11'!M81</f>
        <v>22610.565572342548</v>
      </c>
      <c r="N22" s="717">
        <f>'Tab. 11'!N81</f>
        <v>12920.323184195746</v>
      </c>
      <c r="O22" s="718">
        <f t="shared" si="3"/>
        <v>248112.02421689872</v>
      </c>
    </row>
    <row r="23" spans="2:18" s="719" customFormat="1" ht="16" outlineLevel="1" x14ac:dyDescent="0.2">
      <c r="B23" s="715" t="s">
        <v>1049</v>
      </c>
      <c r="C23" s="716">
        <f>'Tab. 10'!$K$8/'Tab. 11'!$O$10*'Tab. 11'!C$10</f>
        <v>6125.7911205687933</v>
      </c>
      <c r="D23" s="717">
        <f>'Tab. 10'!$K$8/'Tab. 11'!$O$10*'Tab. 11'!D$10</f>
        <v>6806.4345784097704</v>
      </c>
      <c r="E23" s="717">
        <f>'Tab. 10'!$K$8/'Tab. 11'!$O$10*'Tab. 11'!E$10</f>
        <v>7827.3997651712361</v>
      </c>
      <c r="F23" s="717">
        <f>'Tab. 10'!$K$8/'Tab. 11'!$O$10*'Tab. 11'!F$10</f>
        <v>7146.756307330259</v>
      </c>
      <c r="G23" s="717">
        <f>'Tab. 10'!$K$8/'Tab. 11'!$O$10*'Tab. 11'!G$10</f>
        <v>7146.756307330259</v>
      </c>
      <c r="H23" s="717">
        <f>'Tab. 10'!$K$8/'Tab. 11'!$O$10*'Tab. 11'!H$10</f>
        <v>7487.0780362507476</v>
      </c>
      <c r="I23" s="717">
        <f>'Tab. 10'!$K$8/'Tab. 11'!$O$10*'Tab. 11'!I$10</f>
        <v>7487.0780362507476</v>
      </c>
      <c r="J23" s="717">
        <f>'Tab. 10'!$K$8/'Tab. 11'!$O$10*'Tab. 11'!J$10</f>
        <v>4083.8607470458624</v>
      </c>
      <c r="K23" s="717">
        <f>'Tab. 10'!$K$8/'Tab. 11'!$O$10*'Tab. 11'!K$10</f>
        <v>7487.0780362507476</v>
      </c>
      <c r="L23" s="717">
        <f>'Tab. 10'!$K$8/'Tab. 11'!$O$10*'Tab. 11'!L$10</f>
        <v>7146.756307330259</v>
      </c>
      <c r="M23" s="717">
        <f>'Tab. 10'!$K$8/'Tab. 11'!$O$10*'Tab. 11'!M$10</f>
        <v>7146.756307330259</v>
      </c>
      <c r="N23" s="717">
        <f>'Tab. 10'!$K$8/'Tab. 11'!$O$10*'Tab. 11'!N$10</f>
        <v>4083.8607470458624</v>
      </c>
      <c r="O23" s="718">
        <f t="shared" si="3"/>
        <v>79975.606296314814</v>
      </c>
      <c r="R23" s="950"/>
    </row>
    <row r="24" spans="2:18" ht="16" x14ac:dyDescent="0.2">
      <c r="B24" s="146" t="s">
        <v>1038</v>
      </c>
      <c r="C24" s="316">
        <f>SUM(C21:C23)</f>
        <v>35460.685450052479</v>
      </c>
      <c r="D24" s="100">
        <f t="shared" ref="D24:N24" si="4">SUM(D21:D23)</f>
        <v>39400.761611169422</v>
      </c>
      <c r="E24" s="100">
        <f t="shared" si="4"/>
        <v>48283.305955287702</v>
      </c>
      <c r="F24" s="100">
        <f t="shared" si="4"/>
        <v>44084.75761134964</v>
      </c>
      <c r="G24" s="100">
        <f t="shared" si="4"/>
        <v>44084.75761134964</v>
      </c>
      <c r="H24" s="100">
        <f t="shared" si="4"/>
        <v>46184.031783318685</v>
      </c>
      <c r="I24" s="100">
        <f t="shared" si="4"/>
        <v>46184.031783318685</v>
      </c>
      <c r="J24" s="100">
        <f t="shared" si="4"/>
        <v>25191.29006362837</v>
      </c>
      <c r="K24" s="100">
        <f t="shared" si="4"/>
        <v>46184.031783318685</v>
      </c>
      <c r="L24" s="100">
        <f t="shared" si="4"/>
        <v>44084.75761134964</v>
      </c>
      <c r="M24" s="100">
        <f t="shared" si="4"/>
        <v>44084.75761134964</v>
      </c>
      <c r="N24" s="100">
        <f t="shared" si="4"/>
        <v>25191.29006362837</v>
      </c>
      <c r="O24" s="324">
        <f t="shared" si="3"/>
        <v>488418.45893912087</v>
      </c>
      <c r="R24" s="720"/>
    </row>
    <row r="25" spans="2:18" ht="16" x14ac:dyDescent="0.2">
      <c r="B25" s="146" t="s">
        <v>1050</v>
      </c>
      <c r="C25" s="316">
        <f>'All. 7'!$N$36/12</f>
        <v>122491.66666666667</v>
      </c>
      <c r="D25" s="100">
        <f>'All. 7'!$N$36/12</f>
        <v>122491.66666666667</v>
      </c>
      <c r="E25" s="100">
        <f>'All. 7'!$N$36/12</f>
        <v>122491.66666666667</v>
      </c>
      <c r="F25" s="100">
        <f>'All. 7'!$N$36/12</f>
        <v>122491.66666666667</v>
      </c>
      <c r="G25" s="100">
        <f>'All. 7'!$N$36/12</f>
        <v>122491.66666666667</v>
      </c>
      <c r="H25" s="100">
        <f>'All. 7'!$N$36/12</f>
        <v>122491.66666666667</v>
      </c>
      <c r="I25" s="100">
        <f>'All. 7'!$N$36/12</f>
        <v>122491.66666666667</v>
      </c>
      <c r="J25" s="100">
        <f>'All. 7'!$N$36/12</f>
        <v>122491.66666666667</v>
      </c>
      <c r="K25" s="100">
        <f>'All. 7'!$N$36/12</f>
        <v>122491.66666666667</v>
      </c>
      <c r="L25" s="100">
        <f>'All. 7'!$N$36/12</f>
        <v>122491.66666666667</v>
      </c>
      <c r="M25" s="100">
        <f>'All. 7'!$N$36/12</f>
        <v>122491.66666666667</v>
      </c>
      <c r="N25" s="100">
        <f>'All. 7'!$N$36/12</f>
        <v>122491.66666666667</v>
      </c>
      <c r="O25" s="324">
        <f t="shared" si="3"/>
        <v>1469900.0000000002</v>
      </c>
    </row>
    <row r="26" spans="2:18" s="719" customFormat="1" ht="16" outlineLevel="1" x14ac:dyDescent="0.2">
      <c r="B26" s="715" t="s">
        <v>862</v>
      </c>
      <c r="C26" s="716">
        <f>'Tab. 15'!$K$28/12</f>
        <v>31030.701754385966</v>
      </c>
      <c r="D26" s="717">
        <f>'Tab. 15'!$K$28/12</f>
        <v>31030.701754385966</v>
      </c>
      <c r="E26" s="717">
        <f>'Tab. 15'!$K$28/12</f>
        <v>31030.701754385966</v>
      </c>
      <c r="F26" s="717">
        <f>'Tab. 15'!$K$28/12</f>
        <v>31030.701754385966</v>
      </c>
      <c r="G26" s="717">
        <f>'Tab. 15'!$K$28/12</f>
        <v>31030.701754385966</v>
      </c>
      <c r="H26" s="717">
        <f>'Tab. 15'!$K$28/12</f>
        <v>31030.701754385966</v>
      </c>
      <c r="I26" s="717">
        <f>'Tab. 15'!$K$28/12</f>
        <v>31030.701754385966</v>
      </c>
      <c r="J26" s="717">
        <f>'Tab. 15'!$K$28/12</f>
        <v>31030.701754385966</v>
      </c>
      <c r="K26" s="717">
        <f>'Tab. 15'!$K$28/12</f>
        <v>31030.701754385966</v>
      </c>
      <c r="L26" s="717">
        <f>'Tab. 15'!$K$28/12</f>
        <v>31030.701754385966</v>
      </c>
      <c r="M26" s="717">
        <f>'Tab. 15'!$K$28/12</f>
        <v>31030.701754385966</v>
      </c>
      <c r="N26" s="717">
        <f>'Tab. 15'!$K$28/12</f>
        <v>31030.701754385966</v>
      </c>
      <c r="O26" s="718">
        <f t="shared" si="3"/>
        <v>372368.42105263151</v>
      </c>
    </row>
    <row r="27" spans="2:18" s="719" customFormat="1" ht="16" outlineLevel="1" x14ac:dyDescent="0.2">
      <c r="B27" s="715" t="s">
        <v>1053</v>
      </c>
      <c r="C27" s="716">
        <f>('All. 6'!$C$37-'All. 6'!$C$33)/12</f>
        <v>12958.333333333334</v>
      </c>
      <c r="D27" s="717">
        <f>('All. 6'!$C$37-'All. 6'!$C$33)/12</f>
        <v>12958.333333333334</v>
      </c>
      <c r="E27" s="717">
        <f>('All. 6'!$C$37-'All. 6'!$C$33)/12</f>
        <v>12958.333333333334</v>
      </c>
      <c r="F27" s="717">
        <f>('All. 6'!$C$37-'All. 6'!$C$33)/12</f>
        <v>12958.333333333334</v>
      </c>
      <c r="G27" s="717">
        <f>('All. 6'!$C$37-'All. 6'!$C$33)/12</f>
        <v>12958.333333333334</v>
      </c>
      <c r="H27" s="717">
        <f>('All. 6'!$C$37-'All. 6'!$C$33)/12</f>
        <v>12958.333333333334</v>
      </c>
      <c r="I27" s="717">
        <f>('All. 6'!$C$37-'All. 6'!$C$33)/12</f>
        <v>12958.333333333334</v>
      </c>
      <c r="J27" s="717">
        <f>('All. 6'!$C$37-'All. 6'!$C$33)/12</f>
        <v>12958.333333333334</v>
      </c>
      <c r="K27" s="717">
        <f>('All. 6'!$C$37-'All. 6'!$C$33)/12</f>
        <v>12958.333333333334</v>
      </c>
      <c r="L27" s="717">
        <f>('All. 6'!$C$37-'All. 6'!$C$33)/12</f>
        <v>12958.333333333334</v>
      </c>
      <c r="M27" s="717">
        <f>('All. 6'!$C$37-'All. 6'!$C$33)/12</f>
        <v>12958.333333333334</v>
      </c>
      <c r="N27" s="717">
        <f>('All. 6'!$C$37-'All. 6'!$C$33)/12</f>
        <v>12958.333333333334</v>
      </c>
      <c r="O27" s="718">
        <f t="shared" si="3"/>
        <v>155500</v>
      </c>
    </row>
    <row r="28" spans="2:18" s="719" customFormat="1" ht="16" outlineLevel="1" x14ac:dyDescent="0.2">
      <c r="B28" s="715" t="s">
        <v>705</v>
      </c>
      <c r="C28" s="716">
        <f>'All. 6'!$C21/12</f>
        <v>4583.333333333333</v>
      </c>
      <c r="D28" s="717">
        <f>'All. 6'!$C21/12</f>
        <v>4583.333333333333</v>
      </c>
      <c r="E28" s="717">
        <f>'All. 6'!$C21/12</f>
        <v>4583.333333333333</v>
      </c>
      <c r="F28" s="717">
        <f>'All. 6'!$C21/12</f>
        <v>4583.333333333333</v>
      </c>
      <c r="G28" s="717">
        <f>'All. 6'!$C21/12</f>
        <v>4583.333333333333</v>
      </c>
      <c r="H28" s="717">
        <f>'All. 6'!$C21/12</f>
        <v>4583.333333333333</v>
      </c>
      <c r="I28" s="717">
        <f>'All. 6'!$C21/12</f>
        <v>4583.333333333333</v>
      </c>
      <c r="J28" s="717">
        <f>'All. 6'!$C21/12</f>
        <v>4583.333333333333</v>
      </c>
      <c r="K28" s="717">
        <f>'All. 6'!$C21/12</f>
        <v>4583.333333333333</v>
      </c>
      <c r="L28" s="717">
        <f>'All. 6'!$C21/12</f>
        <v>4583.333333333333</v>
      </c>
      <c r="M28" s="717">
        <f>'All. 6'!$C21/12</f>
        <v>4583.333333333333</v>
      </c>
      <c r="N28" s="717">
        <f>'All. 6'!$C21/12</f>
        <v>4583.333333333333</v>
      </c>
      <c r="O28" s="718">
        <f t="shared" si="3"/>
        <v>55000.000000000007</v>
      </c>
    </row>
    <row r="29" spans="2:18" s="719" customFormat="1" ht="16" outlineLevel="1" x14ac:dyDescent="0.2">
      <c r="B29" s="715" t="s">
        <v>706</v>
      </c>
      <c r="C29" s="716">
        <f>'All. 6'!$C22/12</f>
        <v>6666.666666666667</v>
      </c>
      <c r="D29" s="717">
        <f>'All. 6'!$C22/12</f>
        <v>6666.666666666667</v>
      </c>
      <c r="E29" s="717">
        <f>'All. 6'!$C22/12</f>
        <v>6666.666666666667</v>
      </c>
      <c r="F29" s="717">
        <f>'All. 6'!$C22/12</f>
        <v>6666.666666666667</v>
      </c>
      <c r="G29" s="717">
        <f>'All. 6'!$C22/12</f>
        <v>6666.666666666667</v>
      </c>
      <c r="H29" s="717">
        <f>'All. 6'!$C22/12</f>
        <v>6666.666666666667</v>
      </c>
      <c r="I29" s="717">
        <f>'All. 6'!$C22/12</f>
        <v>6666.666666666667</v>
      </c>
      <c r="J29" s="717">
        <f>'All. 6'!$C22/12</f>
        <v>6666.666666666667</v>
      </c>
      <c r="K29" s="717">
        <f>'All. 6'!$C22/12</f>
        <v>6666.666666666667</v>
      </c>
      <c r="L29" s="717">
        <f>'All. 6'!$C22/12</f>
        <v>6666.666666666667</v>
      </c>
      <c r="M29" s="717">
        <f>'All. 6'!$C22/12</f>
        <v>6666.666666666667</v>
      </c>
      <c r="N29" s="717">
        <f>'All. 6'!$C22/12</f>
        <v>6666.666666666667</v>
      </c>
      <c r="O29" s="718">
        <f t="shared" si="3"/>
        <v>80000</v>
      </c>
    </row>
    <row r="30" spans="2:18" s="719" customFormat="1" ht="16" outlineLevel="1" x14ac:dyDescent="0.2">
      <c r="B30" s="715" t="s">
        <v>707</v>
      </c>
      <c r="C30" s="716">
        <f>'All. 6'!$C23/12</f>
        <v>7500</v>
      </c>
      <c r="D30" s="717">
        <f>'All. 6'!$C23/12</f>
        <v>7500</v>
      </c>
      <c r="E30" s="717">
        <f>'All. 6'!$C23/12</f>
        <v>7500</v>
      </c>
      <c r="F30" s="717">
        <f>'All. 6'!$C23/12</f>
        <v>7500</v>
      </c>
      <c r="G30" s="717">
        <f>'All. 6'!$C23/12</f>
        <v>7500</v>
      </c>
      <c r="H30" s="717">
        <f>'All. 6'!$C23/12</f>
        <v>7500</v>
      </c>
      <c r="I30" s="717">
        <f>'All. 6'!$C23/12</f>
        <v>7500</v>
      </c>
      <c r="J30" s="717">
        <f>'All. 6'!$C23/12</f>
        <v>7500</v>
      </c>
      <c r="K30" s="717">
        <f>'All. 6'!$C23/12</f>
        <v>7500</v>
      </c>
      <c r="L30" s="717">
        <f>'All. 6'!$C23/12</f>
        <v>7500</v>
      </c>
      <c r="M30" s="717">
        <f>'All. 6'!$C23/12</f>
        <v>7500</v>
      </c>
      <c r="N30" s="717">
        <f>'All. 6'!$C23/12</f>
        <v>7500</v>
      </c>
      <c r="O30" s="718">
        <f t="shared" si="3"/>
        <v>90000</v>
      </c>
    </row>
    <row r="31" spans="2:18" s="719" customFormat="1" ht="16" outlineLevel="1" x14ac:dyDescent="0.2">
      <c r="B31" s="715" t="s">
        <v>708</v>
      </c>
      <c r="C31" s="716">
        <f>'All. 6'!$C24/12</f>
        <v>45000</v>
      </c>
      <c r="D31" s="717">
        <f>'All. 6'!$C24/12</f>
        <v>45000</v>
      </c>
      <c r="E31" s="717">
        <f>'All. 6'!$C24/12</f>
        <v>45000</v>
      </c>
      <c r="F31" s="717">
        <f>'All. 6'!$C24/12</f>
        <v>45000</v>
      </c>
      <c r="G31" s="717">
        <f>'All. 6'!$C24/12</f>
        <v>45000</v>
      </c>
      <c r="H31" s="717">
        <f>'All. 6'!$C24/12</f>
        <v>45000</v>
      </c>
      <c r="I31" s="717">
        <f>'All. 6'!$C24/12</f>
        <v>45000</v>
      </c>
      <c r="J31" s="717">
        <f>'All. 6'!$C24/12</f>
        <v>45000</v>
      </c>
      <c r="K31" s="717">
        <f>'All. 6'!$C24/12</f>
        <v>45000</v>
      </c>
      <c r="L31" s="717">
        <f>'All. 6'!$C24/12</f>
        <v>45000</v>
      </c>
      <c r="M31" s="717">
        <f>'All. 6'!$C24/12</f>
        <v>45000</v>
      </c>
      <c r="N31" s="717">
        <f>'All. 6'!$C24/12</f>
        <v>45000</v>
      </c>
      <c r="O31" s="718">
        <f t="shared" si="3"/>
        <v>540000</v>
      </c>
    </row>
    <row r="32" spans="2:18" s="719" customFormat="1" ht="16" outlineLevel="1" x14ac:dyDescent="0.2">
      <c r="B32" s="715" t="s">
        <v>709</v>
      </c>
      <c r="C32" s="716">
        <f>'All. 6'!$C25/12</f>
        <v>12666.666666666666</v>
      </c>
      <c r="D32" s="717">
        <f>'All. 6'!$C25/12</f>
        <v>12666.666666666666</v>
      </c>
      <c r="E32" s="717">
        <f>'All. 6'!$C25/12</f>
        <v>12666.666666666666</v>
      </c>
      <c r="F32" s="717">
        <f>'All. 6'!$C25/12</f>
        <v>12666.666666666666</v>
      </c>
      <c r="G32" s="717">
        <f>'All. 6'!$C25/12</f>
        <v>12666.666666666666</v>
      </c>
      <c r="H32" s="717">
        <f>'All. 6'!$C25/12</f>
        <v>12666.666666666666</v>
      </c>
      <c r="I32" s="717">
        <f>'All. 6'!$C25/12</f>
        <v>12666.666666666666</v>
      </c>
      <c r="J32" s="717">
        <f>'All. 6'!$C25/12</f>
        <v>12666.666666666666</v>
      </c>
      <c r="K32" s="717">
        <f>'All. 6'!$C25/12</f>
        <v>12666.666666666666</v>
      </c>
      <c r="L32" s="717">
        <f>'All. 6'!$C25/12</f>
        <v>12666.666666666666</v>
      </c>
      <c r="M32" s="717">
        <f>'All. 6'!$C25/12</f>
        <v>12666.666666666666</v>
      </c>
      <c r="N32" s="717">
        <f>'All. 6'!$C25/12</f>
        <v>12666.666666666666</v>
      </c>
      <c r="O32" s="718">
        <f t="shared" si="3"/>
        <v>152000</v>
      </c>
    </row>
    <row r="33" spans="2:15" s="719" customFormat="1" ht="16" outlineLevel="1" x14ac:dyDescent="0.2">
      <c r="B33" s="715" t="s">
        <v>1054</v>
      </c>
      <c r="C33" s="716">
        <f>'All. 6'!$C43/12</f>
        <v>3083.3333333333335</v>
      </c>
      <c r="D33" s="717">
        <f>'All. 6'!$C43/12</f>
        <v>3083.3333333333335</v>
      </c>
      <c r="E33" s="717">
        <f>'All. 6'!$C43/12</f>
        <v>3083.3333333333335</v>
      </c>
      <c r="F33" s="717">
        <f>'All. 6'!$C43/12</f>
        <v>3083.3333333333335</v>
      </c>
      <c r="G33" s="717">
        <f>'All. 6'!$C43/12</f>
        <v>3083.3333333333335</v>
      </c>
      <c r="H33" s="717">
        <f>'All. 6'!$C43/12</f>
        <v>3083.3333333333335</v>
      </c>
      <c r="I33" s="717">
        <f>'All. 6'!$C43/12</f>
        <v>3083.3333333333335</v>
      </c>
      <c r="J33" s="717">
        <f>'All. 6'!$C43/12</f>
        <v>3083.3333333333335</v>
      </c>
      <c r="K33" s="717">
        <f>'All. 6'!$C43/12</f>
        <v>3083.3333333333335</v>
      </c>
      <c r="L33" s="717">
        <f>'All. 6'!$C43/12</f>
        <v>3083.3333333333335</v>
      </c>
      <c r="M33" s="717">
        <f>'All. 6'!$C43/12</f>
        <v>3083.3333333333335</v>
      </c>
      <c r="N33" s="717">
        <f>'All. 6'!$C43/12</f>
        <v>3083.3333333333335</v>
      </c>
      <c r="O33" s="718">
        <f t="shared" si="3"/>
        <v>37000</v>
      </c>
    </row>
    <row r="34" spans="2:15" s="719" customFormat="1" ht="16" outlineLevel="1" x14ac:dyDescent="0.2">
      <c r="B34" s="715" t="s">
        <v>1055</v>
      </c>
      <c r="C34" s="716">
        <f>'All. 6'!$C44/12</f>
        <v>750</v>
      </c>
      <c r="D34" s="717">
        <f>'All. 6'!$C44/12</f>
        <v>750</v>
      </c>
      <c r="E34" s="717">
        <f>'All. 6'!$C44/12</f>
        <v>750</v>
      </c>
      <c r="F34" s="717">
        <f>'All. 6'!$C44/12</f>
        <v>750</v>
      </c>
      <c r="G34" s="717">
        <f>'All. 6'!$C44/12</f>
        <v>750</v>
      </c>
      <c r="H34" s="717">
        <f>'All. 6'!$C44/12</f>
        <v>750</v>
      </c>
      <c r="I34" s="717">
        <f>'All. 6'!$C44/12</f>
        <v>750</v>
      </c>
      <c r="J34" s="717">
        <f>'All. 6'!$C44/12</f>
        <v>750</v>
      </c>
      <c r="K34" s="717">
        <f>'All. 6'!$C44/12</f>
        <v>750</v>
      </c>
      <c r="L34" s="717">
        <f>'All. 6'!$C44/12</f>
        <v>750</v>
      </c>
      <c r="M34" s="717">
        <f>'All. 6'!$C44/12</f>
        <v>750</v>
      </c>
      <c r="N34" s="717">
        <f>'All. 6'!$C44/12</f>
        <v>750</v>
      </c>
      <c r="O34" s="718">
        <f t="shared" si="3"/>
        <v>9000</v>
      </c>
    </row>
    <row r="35" spans="2:15" s="719" customFormat="1" ht="16" outlineLevel="1" x14ac:dyDescent="0.2">
      <c r="B35" s="715" t="s">
        <v>711</v>
      </c>
      <c r="C35" s="716">
        <f>'All. 6'!$C27/12</f>
        <v>4833.333333333333</v>
      </c>
      <c r="D35" s="717">
        <f>'All. 6'!$C27/12</f>
        <v>4833.333333333333</v>
      </c>
      <c r="E35" s="717">
        <f>'All. 6'!$C27/12</f>
        <v>4833.333333333333</v>
      </c>
      <c r="F35" s="717">
        <f>'All. 6'!$C27/12</f>
        <v>4833.333333333333</v>
      </c>
      <c r="G35" s="717">
        <f>'All. 6'!$C27/12</f>
        <v>4833.333333333333</v>
      </c>
      <c r="H35" s="717">
        <f>'All. 6'!$C27/12</f>
        <v>4833.333333333333</v>
      </c>
      <c r="I35" s="717">
        <f>'All. 6'!$C27/12</f>
        <v>4833.333333333333</v>
      </c>
      <c r="J35" s="717">
        <f>'All. 6'!$C27/12</f>
        <v>4833.333333333333</v>
      </c>
      <c r="K35" s="717">
        <f>'All. 6'!$C27/12</f>
        <v>4833.333333333333</v>
      </c>
      <c r="L35" s="717">
        <f>'All. 6'!$C27/12</f>
        <v>4833.333333333333</v>
      </c>
      <c r="M35" s="717">
        <f>'All. 6'!$C27/12</f>
        <v>4833.333333333333</v>
      </c>
      <c r="N35" s="717">
        <f>'All. 6'!$C27/12</f>
        <v>4833.333333333333</v>
      </c>
      <c r="O35" s="718">
        <f t="shared" si="3"/>
        <v>58000.000000000007</v>
      </c>
    </row>
    <row r="36" spans="2:15" s="719" customFormat="1" ht="16" outlineLevel="1" x14ac:dyDescent="0.2">
      <c r="B36" s="715" t="s">
        <v>712</v>
      </c>
      <c r="C36" s="716">
        <f>'All. 6'!$C28/12</f>
        <v>2916.6666666666665</v>
      </c>
      <c r="D36" s="717">
        <f>'All. 6'!$C28/12</f>
        <v>2916.6666666666665</v>
      </c>
      <c r="E36" s="717">
        <f>'All. 6'!$C28/12</f>
        <v>2916.6666666666665</v>
      </c>
      <c r="F36" s="717">
        <f>'All. 6'!$C28/12</f>
        <v>2916.6666666666665</v>
      </c>
      <c r="G36" s="717">
        <f>'All. 6'!$C28/12</f>
        <v>2916.6666666666665</v>
      </c>
      <c r="H36" s="717">
        <f>'All. 6'!$C28/12</f>
        <v>2916.6666666666665</v>
      </c>
      <c r="I36" s="717">
        <f>'All. 6'!$C28/12</f>
        <v>2916.6666666666665</v>
      </c>
      <c r="J36" s="717">
        <f>'All. 6'!$C28/12</f>
        <v>2916.6666666666665</v>
      </c>
      <c r="K36" s="717">
        <f>'All. 6'!$C28/12</f>
        <v>2916.6666666666665</v>
      </c>
      <c r="L36" s="717">
        <f>'All. 6'!$C28/12</f>
        <v>2916.6666666666665</v>
      </c>
      <c r="M36" s="717">
        <f>'All. 6'!$C28/12</f>
        <v>2916.6666666666665</v>
      </c>
      <c r="N36" s="717">
        <f>'All. 6'!$C28/12</f>
        <v>2916.6666666666665</v>
      </c>
      <c r="O36" s="718">
        <f t="shared" si="3"/>
        <v>35000.000000000007</v>
      </c>
    </row>
    <row r="37" spans="2:15" ht="16" x14ac:dyDescent="0.2">
      <c r="B37" s="146" t="s">
        <v>1056</v>
      </c>
      <c r="C37" s="316">
        <f>SUM(C26:C36)</f>
        <v>131989.0350877193</v>
      </c>
      <c r="D37" s="100">
        <f t="shared" ref="D37:N37" si="5">SUM(D26:D36)</f>
        <v>131989.0350877193</v>
      </c>
      <c r="E37" s="100">
        <f t="shared" si="5"/>
        <v>131989.0350877193</v>
      </c>
      <c r="F37" s="100">
        <f t="shared" si="5"/>
        <v>131989.0350877193</v>
      </c>
      <c r="G37" s="100">
        <f t="shared" si="5"/>
        <v>131989.0350877193</v>
      </c>
      <c r="H37" s="100">
        <f t="shared" si="5"/>
        <v>131989.0350877193</v>
      </c>
      <c r="I37" s="100">
        <f t="shared" si="5"/>
        <v>131989.0350877193</v>
      </c>
      <c r="J37" s="100">
        <f t="shared" si="5"/>
        <v>131989.0350877193</v>
      </c>
      <c r="K37" s="100">
        <f t="shared" si="5"/>
        <v>131989.0350877193</v>
      </c>
      <c r="L37" s="100">
        <f t="shared" si="5"/>
        <v>131989.0350877193</v>
      </c>
      <c r="M37" s="100">
        <f t="shared" si="5"/>
        <v>131989.0350877193</v>
      </c>
      <c r="N37" s="100">
        <f t="shared" si="5"/>
        <v>131989.0350877193</v>
      </c>
      <c r="O37" s="324">
        <f t="shared" si="3"/>
        <v>1583868.4210526317</v>
      </c>
    </row>
    <row r="38" spans="2:15" ht="17" thickBot="1" x14ac:dyDescent="0.25">
      <c r="B38" s="326" t="s">
        <v>1051</v>
      </c>
      <c r="C38" s="702">
        <f>+C24+C25+C37</f>
        <v>289941.38720443845</v>
      </c>
      <c r="D38" s="101">
        <f t="shared" ref="D38:O38" si="6">+D24+D25+D37</f>
        <v>293881.46336555539</v>
      </c>
      <c r="E38" s="101">
        <f t="shared" si="6"/>
        <v>302764.00770967366</v>
      </c>
      <c r="F38" s="101">
        <f t="shared" si="6"/>
        <v>298565.45936573565</v>
      </c>
      <c r="G38" s="101">
        <f t="shared" si="6"/>
        <v>298565.45936573565</v>
      </c>
      <c r="H38" s="101">
        <f t="shared" si="6"/>
        <v>300664.73353770468</v>
      </c>
      <c r="I38" s="101">
        <f t="shared" si="6"/>
        <v>300664.73353770468</v>
      </c>
      <c r="J38" s="101">
        <f t="shared" si="6"/>
        <v>279671.9918180143</v>
      </c>
      <c r="K38" s="101">
        <f t="shared" si="6"/>
        <v>300664.73353770468</v>
      </c>
      <c r="L38" s="101">
        <f t="shared" si="6"/>
        <v>298565.45936573565</v>
      </c>
      <c r="M38" s="101">
        <f t="shared" si="6"/>
        <v>298565.45936573565</v>
      </c>
      <c r="N38" s="101">
        <f t="shared" si="6"/>
        <v>279671.9918180143</v>
      </c>
      <c r="O38" s="704">
        <f t="shared" si="6"/>
        <v>3542186.879991753</v>
      </c>
    </row>
    <row r="40" spans="2:15" x14ac:dyDescent="0.15">
      <c r="O40" s="720"/>
    </row>
    <row r="41" spans="2:15" x14ac:dyDescent="0.15">
      <c r="O41" s="720">
        <f>+O17+O34+O33</f>
        <v>405830.00000000006</v>
      </c>
    </row>
    <row r="42" spans="2:15" x14ac:dyDescent="0.15">
      <c r="C42" s="720"/>
    </row>
    <row r="43" spans="2:15" x14ac:dyDescent="0.15">
      <c r="C43" s="720"/>
    </row>
  </sheetData>
  <mergeCells count="1">
    <mergeCell ref="C5:O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11B8-9FD6-054A-BCCF-D837550EEEBE}">
  <sheetPr codeName="Foglio38"/>
  <dimension ref="B2:O68"/>
  <sheetViews>
    <sheetView zoomScale="150" zoomScaleNormal="150" workbookViewId="0">
      <selection activeCell="C55" sqref="C55"/>
    </sheetView>
  </sheetViews>
  <sheetFormatPr baseColWidth="10" defaultRowHeight="16" x14ac:dyDescent="0.2"/>
  <cols>
    <col min="1" max="1" width="10.83203125" style="3"/>
    <col min="2" max="2" width="38.33203125" style="3" bestFit="1" customWidth="1"/>
    <col min="3" max="3" width="14.5" style="3" bestFit="1" customWidth="1"/>
    <col min="4" max="4" width="12.1640625" style="3" customWidth="1"/>
    <col min="5" max="14" width="12" style="3" customWidth="1"/>
    <col min="15" max="15" width="11.6640625" style="3" customWidth="1"/>
    <col min="16" max="16384" width="10.83203125" style="3"/>
  </cols>
  <sheetData>
    <row r="2" spans="2:15" x14ac:dyDescent="0.2">
      <c r="B2" s="3" t="s">
        <v>1060</v>
      </c>
    </row>
    <row r="5" spans="2:15" x14ac:dyDescent="0.2">
      <c r="B5" s="3" t="s">
        <v>1061</v>
      </c>
    </row>
    <row r="6" spans="2:15" ht="17" thickBot="1" x14ac:dyDescent="0.25"/>
    <row r="7" spans="2:15" x14ac:dyDescent="0.2">
      <c r="B7" s="330"/>
      <c r="C7" s="1076" t="s">
        <v>196</v>
      </c>
      <c r="D7" s="1034"/>
      <c r="E7" s="1034"/>
      <c r="F7" s="1034"/>
      <c r="G7" s="1034"/>
      <c r="H7" s="1034"/>
      <c r="I7" s="1034"/>
      <c r="J7" s="1034"/>
      <c r="K7" s="1034"/>
      <c r="L7" s="1034"/>
      <c r="M7" s="1034"/>
      <c r="N7" s="1034"/>
      <c r="O7" s="1035"/>
    </row>
    <row r="8" spans="2:15" x14ac:dyDescent="0.2">
      <c r="B8" s="750" t="s">
        <v>230</v>
      </c>
      <c r="C8" s="337" t="s">
        <v>211</v>
      </c>
      <c r="D8" s="337" t="s">
        <v>212</v>
      </c>
      <c r="E8" s="337" t="s">
        <v>213</v>
      </c>
      <c r="F8" s="337" t="s">
        <v>214</v>
      </c>
      <c r="G8" s="337" t="s">
        <v>215</v>
      </c>
      <c r="H8" s="337" t="s">
        <v>216</v>
      </c>
      <c r="I8" s="337" t="s">
        <v>217</v>
      </c>
      <c r="J8" s="337" t="s">
        <v>218</v>
      </c>
      <c r="K8" s="337" t="s">
        <v>219</v>
      </c>
      <c r="L8" s="337" t="s">
        <v>220</v>
      </c>
      <c r="M8" s="337" t="s">
        <v>221</v>
      </c>
      <c r="N8" s="337" t="s">
        <v>222</v>
      </c>
      <c r="O8" s="342" t="s">
        <v>179</v>
      </c>
    </row>
    <row r="9" spans="2:15" x14ac:dyDescent="0.2">
      <c r="B9" s="230" t="s">
        <v>231</v>
      </c>
      <c r="C9" s="402">
        <f>'Tab 5'!C12*'Tab. 14'!$C$10</f>
        <v>13644535.407896748</v>
      </c>
      <c r="D9" s="402">
        <f>+C12</f>
        <v>13731554.459256383</v>
      </c>
      <c r="E9" s="402">
        <f t="shared" ref="E9:N9" si="0">+D12</f>
        <v>13951807.403099123</v>
      </c>
      <c r="F9" s="402">
        <f t="shared" si="0"/>
        <v>14016735.74125801</v>
      </c>
      <c r="G9" s="402">
        <f t="shared" si="0"/>
        <v>14118257.96784425</v>
      </c>
      <c r="H9" s="402">
        <f t="shared" si="0"/>
        <v>14219780.194430489</v>
      </c>
      <c r="I9" s="402">
        <f t="shared" si="0"/>
        <v>14326136.812758924</v>
      </c>
      <c r="J9" s="402">
        <f t="shared" si="0"/>
        <v>13576708.170304086</v>
      </c>
      <c r="K9" s="402">
        <f t="shared" si="0"/>
        <v>13634720.871210508</v>
      </c>
      <c r="L9" s="402">
        <f t="shared" si="0"/>
        <v>13317634.339321893</v>
      </c>
      <c r="M9" s="402">
        <f t="shared" si="0"/>
        <v>12532499.381037049</v>
      </c>
      <c r="N9" s="402">
        <f t="shared" si="0"/>
        <v>11778236.346840005</v>
      </c>
      <c r="O9" s="247"/>
    </row>
    <row r="10" spans="2:15" x14ac:dyDescent="0.2">
      <c r="B10" s="340" t="s">
        <v>1062</v>
      </c>
      <c r="C10" s="402">
        <f>'Tab 5'!C13*'Tab. 14'!$C$10</f>
        <v>5707557.5739950947</v>
      </c>
      <c r="D10" s="402">
        <f>'Tab 5'!D13*'Tab. 14'!$C$10</f>
        <v>6341730.6377723273</v>
      </c>
      <c r="E10" s="402">
        <f>'Tab 5'!E13*'Tab. 14'!$C$10</f>
        <v>7292990.233438177</v>
      </c>
      <c r="F10" s="402">
        <f>'Tab 5'!F13*'Tab. 14'!$C$10</f>
        <v>6658817.1696609445</v>
      </c>
      <c r="G10" s="402">
        <f>'Tab 5'!G13*'Tab. 14'!$C$10</f>
        <v>6658817.1696609445</v>
      </c>
      <c r="H10" s="402">
        <f>'Tab 5'!H13*'Tab. 14'!$C$10</f>
        <v>6975903.7015495608</v>
      </c>
      <c r="I10" s="402">
        <f>'Tab 5'!I13*'Tab. 14'!$C$10</f>
        <v>6975903.7015495608</v>
      </c>
      <c r="J10" s="402">
        <f>'Tab 5'!J13*'Tab. 14'!$C$10</f>
        <v>3805038.3826633971</v>
      </c>
      <c r="K10" s="402">
        <f>'Tab 5'!K13*'Tab. 14'!$C$10</f>
        <v>6975903.7015495608</v>
      </c>
      <c r="L10" s="402">
        <f>'Tab 5'!L13*'Tab. 14'!$C$10</f>
        <v>6658817.1696609445</v>
      </c>
      <c r="M10" s="402">
        <f>'Tab 5'!M13*'Tab. 14'!$C$10</f>
        <v>6658817.1696609445</v>
      </c>
      <c r="N10" s="402">
        <f>'Tab 5'!N13*'Tab. 14'!$C$10</f>
        <v>3805038.3826633971</v>
      </c>
      <c r="O10" s="247">
        <f>SUM(C10:N10)</f>
        <v>74515334.993824854</v>
      </c>
    </row>
    <row r="11" spans="2:15" ht="17" thickBot="1" x14ac:dyDescent="0.25">
      <c r="B11" s="340" t="s">
        <v>1063</v>
      </c>
      <c r="C11" s="402">
        <f>'Tab 5'!C15*'Tab. 14'!$C$10</f>
        <v>5794576.6253547296</v>
      </c>
      <c r="D11" s="402">
        <f>'Tab 5'!D15*'Tab. 14'!$C$10</f>
        <v>6561983.5816150671</v>
      </c>
      <c r="E11" s="402">
        <f>'Tab 5'!E15*'Tab. 14'!$C$10</f>
        <v>7357918.5715970639</v>
      </c>
      <c r="F11" s="402">
        <f>'Tab 5'!F15*'Tab. 14'!$C$10</f>
        <v>6760339.3962471839</v>
      </c>
      <c r="G11" s="402">
        <f>'Tab 5'!G15*'Tab. 14'!$C$10</f>
        <v>6760339.3962471848</v>
      </c>
      <c r="H11" s="402">
        <f>'Tab 5'!H15*'Tab. 14'!$C$10</f>
        <v>7082260.3198779961</v>
      </c>
      <c r="I11" s="402">
        <f>'Tab 5'!I15*'Tab. 14'!$C$10</f>
        <v>6226475.0590947215</v>
      </c>
      <c r="J11" s="402">
        <f>'Tab 5'!J15*'Tab. 14'!$C$10</f>
        <v>3863051.0835698196</v>
      </c>
      <c r="K11" s="402">
        <f>'Tab 5'!K15*'Tab. 14'!$C$10</f>
        <v>6658817.1696609464</v>
      </c>
      <c r="L11" s="402">
        <f>'Tab 5'!L15*'Tab. 14'!$C$10</f>
        <v>5873682.2113760998</v>
      </c>
      <c r="M11" s="402">
        <f>'Tab 5'!M15*'Tab. 14'!$C$10</f>
        <v>5904554.1354639009</v>
      </c>
      <c r="N11" s="402">
        <f>'Tab 5'!N15*'Tab. 14'!$C$10</f>
        <v>3863051.0835698196</v>
      </c>
      <c r="O11" s="247">
        <f>SUM(C11:N11)</f>
        <v>72707048.633674532</v>
      </c>
    </row>
    <row r="12" spans="2:15" ht="17" thickBot="1" x14ac:dyDescent="0.25">
      <c r="B12" s="341" t="s">
        <v>1064</v>
      </c>
      <c r="C12" s="740">
        <f>+C9-C10+C11</f>
        <v>13731554.459256383</v>
      </c>
      <c r="D12" s="740">
        <f>+D9-D10+D11</f>
        <v>13951807.403099123</v>
      </c>
      <c r="E12" s="740">
        <f t="shared" ref="E12:N12" si="1">+E9-E10+E11</f>
        <v>14016735.74125801</v>
      </c>
      <c r="F12" s="740">
        <f t="shared" si="1"/>
        <v>14118257.96784425</v>
      </c>
      <c r="G12" s="740">
        <f t="shared" si="1"/>
        <v>14219780.194430489</v>
      </c>
      <c r="H12" s="740">
        <f t="shared" si="1"/>
        <v>14326136.812758924</v>
      </c>
      <c r="I12" s="740">
        <f t="shared" si="1"/>
        <v>13576708.170304086</v>
      </c>
      <c r="J12" s="740">
        <f t="shared" si="1"/>
        <v>13634720.871210508</v>
      </c>
      <c r="K12" s="740">
        <f t="shared" si="1"/>
        <v>13317634.339321893</v>
      </c>
      <c r="L12" s="740">
        <f t="shared" si="1"/>
        <v>12532499.381037049</v>
      </c>
      <c r="M12" s="740">
        <f t="shared" si="1"/>
        <v>11778236.346840005</v>
      </c>
      <c r="N12" s="740">
        <f t="shared" si="1"/>
        <v>11836249.047746427</v>
      </c>
      <c r="O12" s="346"/>
    </row>
    <row r="13" spans="2:15" x14ac:dyDescent="0.2">
      <c r="B13" s="340"/>
      <c r="C13" s="402"/>
      <c r="D13" s="402"/>
      <c r="E13" s="402"/>
      <c r="F13" s="402"/>
      <c r="G13" s="402"/>
      <c r="H13" s="402"/>
      <c r="I13" s="402"/>
      <c r="J13" s="402"/>
      <c r="K13" s="402"/>
      <c r="L13" s="402"/>
      <c r="M13" s="402"/>
      <c r="N13" s="402"/>
      <c r="O13" s="247"/>
    </row>
    <row r="14" spans="2:15" x14ac:dyDescent="0.2">
      <c r="B14" s="751" t="s">
        <v>241</v>
      </c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247"/>
    </row>
    <row r="15" spans="2:15" x14ac:dyDescent="0.2">
      <c r="B15" s="230" t="s">
        <v>231</v>
      </c>
      <c r="C15" s="402">
        <f>'Tab 5'!C25*'Tab. 14'!$C$14</f>
        <v>2086569.6345913925</v>
      </c>
      <c r="D15" s="402">
        <f>+C18</f>
        <v>2162759.2424500613</v>
      </c>
      <c r="E15" s="402">
        <f t="shared" ref="E15:N15" si="2">+D18</f>
        <v>2196552.3556133443</v>
      </c>
      <c r="F15" s="402">
        <f t="shared" si="2"/>
        <v>2162759.242450064</v>
      </c>
      <c r="G15" s="402">
        <f t="shared" si="2"/>
        <v>2196552.3556133453</v>
      </c>
      <c r="H15" s="402">
        <f t="shared" si="2"/>
        <v>1961767.0998167919</v>
      </c>
      <c r="I15" s="402">
        <f t="shared" si="2"/>
        <v>2081714.4879593363</v>
      </c>
      <c r="J15" s="402">
        <f t="shared" si="2"/>
        <v>2097333.3943723119</v>
      </c>
      <c r="K15" s="402">
        <f t="shared" si="2"/>
        <v>2162759.2424500636</v>
      </c>
      <c r="L15" s="402">
        <f t="shared" si="2"/>
        <v>1989981.2030712508</v>
      </c>
      <c r="M15" s="402">
        <f t="shared" si="2"/>
        <v>2104476.437207316</v>
      </c>
      <c r="N15" s="402">
        <f t="shared" si="2"/>
        <v>2114643.1896138117</v>
      </c>
      <c r="O15" s="247"/>
    </row>
    <row r="16" spans="2:15" x14ac:dyDescent="0.2">
      <c r="B16" s="340" t="s">
        <v>1062</v>
      </c>
      <c r="C16" s="402">
        <f>'Tab 5'!C26*'Tab. 14'!$C$14</f>
        <v>608276.03693907952</v>
      </c>
      <c r="D16" s="402">
        <f>'Tab 5'!D26*'Tab. 14'!$C$14</f>
        <v>675862.26326564397</v>
      </c>
      <c r="E16" s="402">
        <f>'Tab 5'!E26*'Tab. 14'!$C$14</f>
        <v>777241.60275549057</v>
      </c>
      <c r="F16" s="402">
        <f>'Tab 5'!F26*'Tab. 14'!$C$14</f>
        <v>709655.37642892613</v>
      </c>
      <c r="G16" s="402">
        <f>'Tab 5'!G26*'Tab. 14'!$C$14</f>
        <v>709655.37642892613</v>
      </c>
      <c r="H16" s="402">
        <f>'Tab 5'!H26*'Tab. 14'!$C$14</f>
        <v>743448.48959220829</v>
      </c>
      <c r="I16" s="402">
        <f>'Tab 5'!I26*'Tab. 14'!$C$14</f>
        <v>743448.48959220829</v>
      </c>
      <c r="J16" s="402">
        <f>'Tab 5'!J26*'Tab. 14'!$C$14</f>
        <v>405517.35795938637</v>
      </c>
      <c r="K16" s="402">
        <f>'Tab 5'!K26*'Tab. 14'!$C$14</f>
        <v>743448.48959220829</v>
      </c>
      <c r="L16" s="402">
        <f>'Tab 5'!L26*'Tab. 14'!$C$14</f>
        <v>709655.37642892613</v>
      </c>
      <c r="M16" s="402">
        <f>'Tab 5'!M26*'Tab. 14'!$C$14</f>
        <v>709655.37642892613</v>
      </c>
      <c r="N16" s="402">
        <f>'Tab 5'!N26*'Tab. 14'!$C$14</f>
        <v>405517.35795938637</v>
      </c>
      <c r="O16" s="247">
        <f>SUM(C16:N16)</f>
        <v>7941381.5933713168</v>
      </c>
    </row>
    <row r="17" spans="2:15" ht="17" thickBot="1" x14ac:dyDescent="0.25">
      <c r="B17" s="340" t="s">
        <v>1063</v>
      </c>
      <c r="C17" s="402">
        <f>'Tab 5'!C28*'Tab. 14'!$C$14</f>
        <v>684465.64479774842</v>
      </c>
      <c r="D17" s="402">
        <f>'Tab 5'!D28*'Tab. 14'!$C$14</f>
        <v>709655.37642892695</v>
      </c>
      <c r="E17" s="402">
        <f>'Tab 5'!E28*'Tab. 14'!$C$14</f>
        <v>743448.48959221039</v>
      </c>
      <c r="F17" s="402">
        <f>'Tab 5'!F28*'Tab. 14'!$C$14</f>
        <v>743448.4895922076</v>
      </c>
      <c r="G17" s="402">
        <f>'Tab 5'!G28*'Tab. 14'!$C$14</f>
        <v>474870.1206323728</v>
      </c>
      <c r="H17" s="402">
        <f>'Tab 5'!H28*'Tab. 14'!$C$14</f>
        <v>863395.8777347526</v>
      </c>
      <c r="I17" s="402">
        <f>'Tab 5'!I28*'Tab. 14'!$C$14</f>
        <v>759067.39600518392</v>
      </c>
      <c r="J17" s="402">
        <f>'Tab 5'!J28*'Tab. 14'!$C$14</f>
        <v>470943.20603713812</v>
      </c>
      <c r="K17" s="402">
        <f>'Tab 5'!K28*'Tab. 14'!$C$14</f>
        <v>570670.45021339552</v>
      </c>
      <c r="L17" s="402">
        <f>'Tab 5'!L28*'Tab. 14'!$C$14</f>
        <v>824150.6105649916</v>
      </c>
      <c r="M17" s="402">
        <f>'Tab 5'!M28*'Tab. 14'!$C$14</f>
        <v>719822.12883542199</v>
      </c>
      <c r="N17" s="402">
        <f>'Tab 5'!N28*'Tab. 14'!$C$14</f>
        <v>470943.20603713812</v>
      </c>
      <c r="O17" s="247">
        <f>SUM(C17:N17)</f>
        <v>8034880.996471487</v>
      </c>
    </row>
    <row r="18" spans="2:15" ht="17" thickBot="1" x14ac:dyDescent="0.25">
      <c r="B18" s="341" t="s">
        <v>1064</v>
      </c>
      <c r="C18" s="740">
        <f>+C15-C16+C17</f>
        <v>2162759.2424500613</v>
      </c>
      <c r="D18" s="740">
        <f>+D15-D16+D17</f>
        <v>2196552.3556133443</v>
      </c>
      <c r="E18" s="740">
        <f t="shared" ref="E18:N18" si="3">+E15-E16+E17</f>
        <v>2162759.242450064</v>
      </c>
      <c r="F18" s="740">
        <f t="shared" si="3"/>
        <v>2196552.3556133453</v>
      </c>
      <c r="G18" s="740">
        <f t="shared" si="3"/>
        <v>1961767.0998167919</v>
      </c>
      <c r="H18" s="740">
        <f t="shared" si="3"/>
        <v>2081714.4879593363</v>
      </c>
      <c r="I18" s="740">
        <f t="shared" si="3"/>
        <v>2097333.3943723119</v>
      </c>
      <c r="J18" s="740">
        <f t="shared" si="3"/>
        <v>2162759.2424500636</v>
      </c>
      <c r="K18" s="740">
        <f t="shared" si="3"/>
        <v>1989981.2030712508</v>
      </c>
      <c r="L18" s="740">
        <f t="shared" si="3"/>
        <v>2104476.437207316</v>
      </c>
      <c r="M18" s="740">
        <f t="shared" si="3"/>
        <v>2114643.1896138117</v>
      </c>
      <c r="N18" s="740">
        <f t="shared" si="3"/>
        <v>2180069.0376915634</v>
      </c>
      <c r="O18" s="346"/>
    </row>
    <row r="19" spans="2:15" x14ac:dyDescent="0.2">
      <c r="B19" s="751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247"/>
    </row>
    <row r="20" spans="2:15" x14ac:dyDescent="0.2">
      <c r="B20" s="751" t="s">
        <v>1067</v>
      </c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247"/>
    </row>
    <row r="21" spans="2:15" x14ac:dyDescent="0.2">
      <c r="B21" s="230" t="s">
        <v>231</v>
      </c>
      <c r="C21" s="402">
        <f>+C9+C15</f>
        <v>15731105.042488141</v>
      </c>
      <c r="D21" s="402">
        <f>+C24</f>
        <v>15894313.701706445</v>
      </c>
      <c r="E21" s="402">
        <f t="shared" ref="E21:N21" si="4">+D24</f>
        <v>16148359.758712469</v>
      </c>
      <c r="F21" s="402">
        <f t="shared" si="4"/>
        <v>16179494.983708076</v>
      </c>
      <c r="G21" s="402">
        <f t="shared" si="4"/>
        <v>16314810.323457597</v>
      </c>
      <c r="H21" s="402">
        <f t="shared" si="4"/>
        <v>16181547.294247285</v>
      </c>
      <c r="I21" s="402">
        <f t="shared" si="4"/>
        <v>16407851.300718263</v>
      </c>
      <c r="J21" s="402">
        <f t="shared" si="4"/>
        <v>15674041.564676398</v>
      </c>
      <c r="K21" s="402">
        <f t="shared" si="4"/>
        <v>15797480.113660574</v>
      </c>
      <c r="L21" s="402">
        <f t="shared" si="4"/>
        <v>15307615.542393146</v>
      </c>
      <c r="M21" s="402">
        <f t="shared" si="4"/>
        <v>14636975.818244368</v>
      </c>
      <c r="N21" s="402">
        <f t="shared" si="4"/>
        <v>13892879.536453821</v>
      </c>
      <c r="O21" s="247"/>
    </row>
    <row r="22" spans="2:15" x14ac:dyDescent="0.2">
      <c r="B22" s="340" t="s">
        <v>1062</v>
      </c>
      <c r="C22" s="402">
        <f>+C10+C16</f>
        <v>6315833.6109341746</v>
      </c>
      <c r="D22" s="402">
        <f t="shared" ref="D22:N22" si="5">+D10+D16</f>
        <v>7017592.9010379715</v>
      </c>
      <c r="E22" s="402">
        <f t="shared" si="5"/>
        <v>8070231.8361936677</v>
      </c>
      <c r="F22" s="402">
        <f t="shared" si="5"/>
        <v>7368472.5460898709</v>
      </c>
      <c r="G22" s="402">
        <f t="shared" si="5"/>
        <v>7368472.5460898709</v>
      </c>
      <c r="H22" s="402">
        <f t="shared" si="5"/>
        <v>7719352.1911417693</v>
      </c>
      <c r="I22" s="402">
        <f t="shared" si="5"/>
        <v>7719352.1911417693</v>
      </c>
      <c r="J22" s="402">
        <f t="shared" si="5"/>
        <v>4210555.7406227831</v>
      </c>
      <c r="K22" s="402">
        <f t="shared" si="5"/>
        <v>7719352.1911417693</v>
      </c>
      <c r="L22" s="402">
        <f t="shared" si="5"/>
        <v>7368472.5460898709</v>
      </c>
      <c r="M22" s="402">
        <f t="shared" si="5"/>
        <v>7368472.5460898709</v>
      </c>
      <c r="N22" s="402">
        <f t="shared" si="5"/>
        <v>4210555.7406227831</v>
      </c>
      <c r="O22" s="247">
        <f>SUM(C22:N22)</f>
        <v>82456716.587196171</v>
      </c>
    </row>
    <row r="23" spans="2:15" ht="17" thickBot="1" x14ac:dyDescent="0.25">
      <c r="B23" s="340" t="s">
        <v>1063</v>
      </c>
      <c r="C23" s="402">
        <f>+C11+C17</f>
        <v>6479042.2701524775</v>
      </c>
      <c r="D23" s="402">
        <f t="shared" ref="D23:N23" si="6">+D11+D17</f>
        <v>7271638.9580439944</v>
      </c>
      <c r="E23" s="402">
        <f t="shared" si="6"/>
        <v>8101367.0611892743</v>
      </c>
      <c r="F23" s="402">
        <f t="shared" si="6"/>
        <v>7503787.8858393915</v>
      </c>
      <c r="G23" s="402">
        <f t="shared" si="6"/>
        <v>7235209.5168795576</v>
      </c>
      <c r="H23" s="402">
        <f t="shared" si="6"/>
        <v>7945656.1976127485</v>
      </c>
      <c r="I23" s="402">
        <f t="shared" si="6"/>
        <v>6985542.4550999049</v>
      </c>
      <c r="J23" s="402">
        <f t="shared" si="6"/>
        <v>4333994.2896069577</v>
      </c>
      <c r="K23" s="402">
        <f t="shared" si="6"/>
        <v>7229487.6198743414</v>
      </c>
      <c r="L23" s="402">
        <f t="shared" si="6"/>
        <v>6697832.8219410917</v>
      </c>
      <c r="M23" s="402">
        <f t="shared" si="6"/>
        <v>6624376.2642993229</v>
      </c>
      <c r="N23" s="402">
        <f t="shared" si="6"/>
        <v>4333994.2896069577</v>
      </c>
      <c r="O23" s="247">
        <f>SUM(C23:N23)</f>
        <v>80741929.630146012</v>
      </c>
    </row>
    <row r="24" spans="2:15" ht="17" thickBot="1" x14ac:dyDescent="0.25">
      <c r="B24" s="341" t="s">
        <v>1064</v>
      </c>
      <c r="C24" s="740">
        <f>+C21-C22+C23</f>
        <v>15894313.701706445</v>
      </c>
      <c r="D24" s="740">
        <f>+D21-D22+D23</f>
        <v>16148359.758712469</v>
      </c>
      <c r="E24" s="740">
        <f t="shared" ref="E24" si="7">+E21-E22+E23</f>
        <v>16179494.983708076</v>
      </c>
      <c r="F24" s="740">
        <f t="shared" ref="F24" si="8">+F21-F22+F23</f>
        <v>16314810.323457597</v>
      </c>
      <c r="G24" s="740">
        <f t="shared" ref="G24" si="9">+G21-G22+G23</f>
        <v>16181547.294247285</v>
      </c>
      <c r="H24" s="740">
        <f t="shared" ref="H24" si="10">+H21-H22+H23</f>
        <v>16407851.300718263</v>
      </c>
      <c r="I24" s="740">
        <f t="shared" ref="I24" si="11">+I21-I22+I23</f>
        <v>15674041.564676398</v>
      </c>
      <c r="J24" s="740">
        <f t="shared" ref="J24" si="12">+J21-J22+J23</f>
        <v>15797480.113660574</v>
      </c>
      <c r="K24" s="740">
        <f t="shared" ref="K24" si="13">+K21-K22+K23</f>
        <v>15307615.542393146</v>
      </c>
      <c r="L24" s="740">
        <f t="shared" ref="L24" si="14">+L21-L22+L23</f>
        <v>14636975.818244368</v>
      </c>
      <c r="M24" s="740">
        <f t="shared" ref="M24" si="15">+M21-M22+M23</f>
        <v>13892879.536453821</v>
      </c>
      <c r="N24" s="740">
        <f t="shared" ref="N24" si="16">+N21-N22+N23</f>
        <v>14016318.085437994</v>
      </c>
      <c r="O24" s="346"/>
    </row>
    <row r="27" spans="2:15" x14ac:dyDescent="0.2">
      <c r="B27" s="3" t="s">
        <v>1074</v>
      </c>
    </row>
    <row r="28" spans="2:15" ht="17" thickBot="1" x14ac:dyDescent="0.25"/>
    <row r="29" spans="2:15" x14ac:dyDescent="0.2">
      <c r="B29" s="330"/>
      <c r="C29" s="1076" t="s">
        <v>196</v>
      </c>
      <c r="D29" s="1034"/>
      <c r="E29" s="1034"/>
      <c r="F29" s="1034"/>
      <c r="G29" s="1034"/>
      <c r="H29" s="1034"/>
      <c r="I29" s="1034"/>
      <c r="J29" s="1034"/>
      <c r="K29" s="1034"/>
      <c r="L29" s="1034"/>
      <c r="M29" s="1034"/>
      <c r="N29" s="1034"/>
      <c r="O29" s="1035"/>
    </row>
    <row r="30" spans="2:15" x14ac:dyDescent="0.2">
      <c r="B30" s="750" t="s">
        <v>230</v>
      </c>
      <c r="C30" s="337" t="s">
        <v>211</v>
      </c>
      <c r="D30" s="337" t="s">
        <v>212</v>
      </c>
      <c r="E30" s="337" t="s">
        <v>213</v>
      </c>
      <c r="F30" s="337" t="s">
        <v>214</v>
      </c>
      <c r="G30" s="337" t="s">
        <v>215</v>
      </c>
      <c r="H30" s="337" t="s">
        <v>216</v>
      </c>
      <c r="I30" s="337" t="s">
        <v>217</v>
      </c>
      <c r="J30" s="337" t="s">
        <v>218</v>
      </c>
      <c r="K30" s="337" t="s">
        <v>219</v>
      </c>
      <c r="L30" s="337" t="s">
        <v>220</v>
      </c>
      <c r="M30" s="337" t="s">
        <v>221</v>
      </c>
      <c r="N30" s="337" t="s">
        <v>222</v>
      </c>
      <c r="O30" s="342" t="s">
        <v>179</v>
      </c>
    </row>
    <row r="31" spans="2:15" x14ac:dyDescent="0.2">
      <c r="B31" s="230" t="s">
        <v>231</v>
      </c>
      <c r="C31" s="402">
        <f>'Tab 5'!C12*'Tab. 16'!$C$10</f>
        <v>14178404.899904685</v>
      </c>
      <c r="D31" s="402">
        <f>+C34</f>
        <v>14268828.74412502</v>
      </c>
      <c r="E31" s="402">
        <f t="shared" ref="E31:N31" si="17">+D34</f>
        <v>14497699.520948319</v>
      </c>
      <c r="F31" s="402">
        <f t="shared" si="17"/>
        <v>14565168.309028992</v>
      </c>
      <c r="G31" s="402">
        <f t="shared" si="17"/>
        <v>14670662.793952715</v>
      </c>
      <c r="H31" s="402">
        <f t="shared" si="17"/>
        <v>14776157.278876439</v>
      </c>
      <c r="I31" s="402">
        <f t="shared" si="17"/>
        <v>14886675.310701285</v>
      </c>
      <c r="J31" s="402">
        <f t="shared" si="17"/>
        <v>14107923.78720412</v>
      </c>
      <c r="K31" s="402">
        <f t="shared" si="17"/>
        <v>14168206.350017678</v>
      </c>
      <c r="L31" s="402">
        <f t="shared" si="17"/>
        <v>13838713.179087035</v>
      </c>
      <c r="M31" s="402">
        <f t="shared" si="17"/>
        <v>13022858.259381253</v>
      </c>
      <c r="N31" s="402">
        <f t="shared" si="17"/>
        <v>12239083.188982956</v>
      </c>
      <c r="O31" s="247"/>
    </row>
    <row r="32" spans="2:15" x14ac:dyDescent="0.2">
      <c r="B32" s="340" t="s">
        <v>1062</v>
      </c>
      <c r="C32" s="402">
        <f>'Tab 5'!C$13*'Tab. 16'!$C$10</f>
        <v>5930877.0767515842</v>
      </c>
      <c r="D32" s="402">
        <f>'Tab 5'!D$13*'Tab. 16'!$C$10</f>
        <v>6589863.4186128713</v>
      </c>
      <c r="E32" s="402">
        <f>'Tab 5'!E$13*'Tab. 16'!$C$10</f>
        <v>7578342.9314048029</v>
      </c>
      <c r="F32" s="402">
        <f>'Tab 5'!F$13*'Tab. 16'!$C$10</f>
        <v>6919356.5895435158</v>
      </c>
      <c r="G32" s="402">
        <f>'Tab 5'!G$13*'Tab. 16'!$C$10</f>
        <v>6919356.5895435158</v>
      </c>
      <c r="H32" s="402">
        <f>'Tab 5'!H$13*'Tab. 16'!$C$10</f>
        <v>7248849.7604741594</v>
      </c>
      <c r="I32" s="402">
        <f>'Tab 5'!I$13*'Tab. 16'!$C$10</f>
        <v>7248849.7604741594</v>
      </c>
      <c r="J32" s="402">
        <f>'Tab 5'!J$13*'Tab. 16'!$C$10</f>
        <v>3953918.0511677237</v>
      </c>
      <c r="K32" s="402">
        <f>'Tab 5'!K$13*'Tab. 16'!$C$10</f>
        <v>7248849.7604741594</v>
      </c>
      <c r="L32" s="402">
        <f>'Tab 5'!L$13*'Tab. 16'!$C$10</f>
        <v>6919356.5895435158</v>
      </c>
      <c r="M32" s="402">
        <f>'Tab 5'!M$13*'Tab. 16'!$C$10</f>
        <v>6919356.5895435158</v>
      </c>
      <c r="N32" s="402">
        <f>'Tab 5'!N$13*'Tab. 16'!$C$10</f>
        <v>3953918.0511677237</v>
      </c>
      <c r="O32" s="247">
        <f>SUM(C32:N32)</f>
        <v>77430895.168701246</v>
      </c>
    </row>
    <row r="33" spans="2:15" ht="17" thickBot="1" x14ac:dyDescent="0.25">
      <c r="B33" s="340" t="s">
        <v>1063</v>
      </c>
      <c r="C33" s="402">
        <f>'Tab 5'!C$15*'Tab. 16'!$C$10</f>
        <v>6021300.9209719198</v>
      </c>
      <c r="D33" s="402">
        <f>'Tab 5'!D$15*'Tab. 16'!$C$10</f>
        <v>6818734.1954361703</v>
      </c>
      <c r="E33" s="402">
        <f>'Tab 5'!E$15*'Tab. 16'!$C$10</f>
        <v>7645811.7194854766</v>
      </c>
      <c r="F33" s="402">
        <f>'Tab 5'!F$15*'Tab. 16'!$C$10</f>
        <v>7024851.074467239</v>
      </c>
      <c r="G33" s="402">
        <f>'Tab 5'!G$15*'Tab. 16'!$C$10</f>
        <v>7024851.0744672399</v>
      </c>
      <c r="H33" s="402">
        <f>'Tab 5'!H$15*'Tab. 16'!$C$10</f>
        <v>7359367.7922990061</v>
      </c>
      <c r="I33" s="402">
        <f>'Tab 5'!I$15*'Tab. 16'!$C$10</f>
        <v>6470098.2369769942</v>
      </c>
      <c r="J33" s="402">
        <f>'Tab 5'!J$15*'Tab. 16'!$C$10</f>
        <v>4014200.6139812795</v>
      </c>
      <c r="K33" s="402">
        <f>'Tab 5'!K$15*'Tab. 16'!$C$10</f>
        <v>6919356.5895435177</v>
      </c>
      <c r="L33" s="402">
        <f>'Tab 5'!L$15*'Tab. 16'!$C$10</f>
        <v>6103501.6698377337</v>
      </c>
      <c r="M33" s="402">
        <f>'Tab 5'!M$15*'Tab. 16'!$C$10</f>
        <v>6135581.5191452177</v>
      </c>
      <c r="N33" s="402">
        <f>'Tab 5'!N$15*'Tab. 16'!$C$10</f>
        <v>4014200.6139812795</v>
      </c>
      <c r="O33" s="247">
        <f>SUM(C33:N33)</f>
        <v>75551856.020593077</v>
      </c>
    </row>
    <row r="34" spans="2:15" ht="17" thickBot="1" x14ac:dyDescent="0.25">
      <c r="B34" s="341" t="s">
        <v>1064</v>
      </c>
      <c r="C34" s="740">
        <f>+C31-C32+C33</f>
        <v>14268828.74412502</v>
      </c>
      <c r="D34" s="740">
        <f>+D31-D32+D33</f>
        <v>14497699.520948319</v>
      </c>
      <c r="E34" s="740">
        <f t="shared" ref="E34" si="18">+E31-E32+E33</f>
        <v>14565168.309028992</v>
      </c>
      <c r="F34" s="740">
        <f t="shared" ref="F34" si="19">+F31-F32+F33</f>
        <v>14670662.793952715</v>
      </c>
      <c r="G34" s="740">
        <f t="shared" ref="G34" si="20">+G31-G32+G33</f>
        <v>14776157.278876439</v>
      </c>
      <c r="H34" s="740">
        <f t="shared" ref="H34" si="21">+H31-H32+H33</f>
        <v>14886675.310701285</v>
      </c>
      <c r="I34" s="740">
        <f t="shared" ref="I34" si="22">+I31-I32+I33</f>
        <v>14107923.78720412</v>
      </c>
      <c r="J34" s="740">
        <f t="shared" ref="J34" si="23">+J31-J32+J33</f>
        <v>14168206.350017678</v>
      </c>
      <c r="K34" s="740">
        <f t="shared" ref="K34" si="24">+K31-K32+K33</f>
        <v>13838713.179087035</v>
      </c>
      <c r="L34" s="740">
        <f t="shared" ref="L34" si="25">+L31-L32+L33</f>
        <v>13022858.259381253</v>
      </c>
      <c r="M34" s="740">
        <f t="shared" ref="M34" si="26">+M31-M32+M33</f>
        <v>12239083.188982956</v>
      </c>
      <c r="N34" s="740">
        <f t="shared" ref="N34" si="27">+N31-N32+N33</f>
        <v>12299365.751796512</v>
      </c>
      <c r="O34" s="346"/>
    </row>
    <row r="35" spans="2:15" x14ac:dyDescent="0.2">
      <c r="B35" s="340"/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  <c r="O35" s="247"/>
    </row>
    <row r="36" spans="2:15" x14ac:dyDescent="0.2">
      <c r="B36" s="751" t="s">
        <v>241</v>
      </c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247"/>
    </row>
    <row r="37" spans="2:15" x14ac:dyDescent="0.2">
      <c r="B37" s="230" t="s">
        <v>231</v>
      </c>
      <c r="C37" s="402">
        <f>'Tab 5'!C$25*'Tab. 16'!$C$14</f>
        <v>2174117.1116179409</v>
      </c>
      <c r="D37" s="402">
        <f>+C40</f>
        <v>2253503.453404435</v>
      </c>
      <c r="E37" s="402">
        <f t="shared" ref="E37:N37" si="28">+D40</f>
        <v>2288714.4448638801</v>
      </c>
      <c r="F37" s="402">
        <f t="shared" si="28"/>
        <v>2253503.4534044378</v>
      </c>
      <c r="G37" s="402">
        <f t="shared" si="28"/>
        <v>2288714.444863881</v>
      </c>
      <c r="H37" s="402">
        <f t="shared" si="28"/>
        <v>2044078.1606390115</v>
      </c>
      <c r="I37" s="402">
        <f t="shared" si="28"/>
        <v>2169058.2546322094</v>
      </c>
      <c r="J37" s="402">
        <f t="shared" si="28"/>
        <v>2185332.4930445114</v>
      </c>
      <c r="K37" s="402">
        <f t="shared" si="28"/>
        <v>2253503.4534044378</v>
      </c>
      <c r="L37" s="402">
        <f t="shared" si="28"/>
        <v>2073476.0602621832</v>
      </c>
      <c r="M37" s="402">
        <f t="shared" si="28"/>
        <v>2192775.240892054</v>
      </c>
      <c r="N37" s="402">
        <f t="shared" si="28"/>
        <v>2203368.5659410278</v>
      </c>
      <c r="O37" s="247"/>
    </row>
    <row r="38" spans="2:15" x14ac:dyDescent="0.2">
      <c r="B38" s="340" t="s">
        <v>1062</v>
      </c>
      <c r="C38" s="402">
        <f>'Tab 5'!C$26*'Tab. 16'!$C$14</f>
        <v>633797.84626999719</v>
      </c>
      <c r="D38" s="402">
        <f>'Tab 5'!D$26*'Tab. 16'!$C$14</f>
        <v>704219.82918888575</v>
      </c>
      <c r="E38" s="402">
        <f>'Tab 5'!E$26*'Tab. 16'!$C$14</f>
        <v>809852.80356721859</v>
      </c>
      <c r="F38" s="402">
        <f>'Tab 5'!F$26*'Tab. 16'!$C$14</f>
        <v>739430.82064833003</v>
      </c>
      <c r="G38" s="402">
        <f>'Tab 5'!G$26*'Tab. 16'!$C$14</f>
        <v>739430.82064833003</v>
      </c>
      <c r="H38" s="402">
        <f>'Tab 5'!H$26*'Tab. 16'!$C$14</f>
        <v>774641.8121077742</v>
      </c>
      <c r="I38" s="402">
        <f>'Tab 5'!I$26*'Tab. 16'!$C$14</f>
        <v>774641.8121077742</v>
      </c>
      <c r="J38" s="402">
        <f>'Tab 5'!J$26*'Tab. 16'!$C$14</f>
        <v>422531.89751333138</v>
      </c>
      <c r="K38" s="402">
        <f>'Tab 5'!K$26*'Tab. 16'!$C$14</f>
        <v>774641.8121077742</v>
      </c>
      <c r="L38" s="402">
        <f>'Tab 5'!L$26*'Tab. 16'!$C$14</f>
        <v>739430.82064833003</v>
      </c>
      <c r="M38" s="402">
        <f>'Tab 5'!M$26*'Tab. 16'!$C$14</f>
        <v>739430.82064833003</v>
      </c>
      <c r="N38" s="402">
        <f>'Tab 5'!N$26*'Tab. 16'!$C$14</f>
        <v>422531.89751333138</v>
      </c>
      <c r="O38" s="247">
        <f>SUM(C38:N38)</f>
        <v>8274582.9929694086</v>
      </c>
    </row>
    <row r="39" spans="2:15" ht="17" thickBot="1" x14ac:dyDescent="0.25">
      <c r="B39" s="340" t="s">
        <v>1063</v>
      </c>
      <c r="C39" s="402">
        <f>'Tab 5'!C$28*'Tab. 16'!$C$14</f>
        <v>713184.18805649143</v>
      </c>
      <c r="D39" s="402">
        <f>'Tab 5'!D$28*'Tab. 16'!$C$14</f>
        <v>739430.82064833085</v>
      </c>
      <c r="E39" s="402">
        <f>'Tab 5'!E$28*'Tab. 16'!$C$14</f>
        <v>774641.81210777641</v>
      </c>
      <c r="F39" s="402">
        <f>'Tab 5'!F$28*'Tab. 16'!$C$14</f>
        <v>774641.8121077735</v>
      </c>
      <c r="G39" s="402">
        <f>'Tab 5'!G$28*'Tab. 16'!$C$14</f>
        <v>494794.53642346052</v>
      </c>
      <c r="H39" s="402">
        <f>'Tab 5'!H$28*'Tab. 16'!$C$14</f>
        <v>899621.90610097197</v>
      </c>
      <c r="I39" s="402">
        <f>'Tab 5'!I$28*'Tab. 16'!$C$14</f>
        <v>790916.05052007595</v>
      </c>
      <c r="J39" s="402">
        <f>'Tab 5'!J$28*'Tab. 16'!$C$14</f>
        <v>490702.85787325777</v>
      </c>
      <c r="K39" s="402">
        <f>'Tab 5'!K$28*'Tab. 16'!$C$14</f>
        <v>594614.41896551952</v>
      </c>
      <c r="L39" s="402">
        <f>'Tab 5'!L$28*'Tab. 16'!$C$14</f>
        <v>858730.001278201</v>
      </c>
      <c r="M39" s="402">
        <f>'Tab 5'!M$28*'Tab. 16'!$C$14</f>
        <v>750024.14569730393</v>
      </c>
      <c r="N39" s="402">
        <f>'Tab 5'!N$28*'Tab. 16'!$C$14</f>
        <v>490702.85787325777</v>
      </c>
      <c r="O39" s="247">
        <f>SUM(C39:N39)</f>
        <v>8372005.4076524209</v>
      </c>
    </row>
    <row r="40" spans="2:15" ht="17" thickBot="1" x14ac:dyDescent="0.25">
      <c r="B40" s="341" t="s">
        <v>1064</v>
      </c>
      <c r="C40" s="740">
        <f>+C37-C38+C39</f>
        <v>2253503.453404435</v>
      </c>
      <c r="D40" s="740">
        <f>+D37-D38+D39</f>
        <v>2288714.4448638801</v>
      </c>
      <c r="E40" s="740">
        <f t="shared" ref="E40" si="29">+E37-E38+E39</f>
        <v>2253503.4534044378</v>
      </c>
      <c r="F40" s="740">
        <f t="shared" ref="F40" si="30">+F37-F38+F39</f>
        <v>2288714.444863881</v>
      </c>
      <c r="G40" s="740">
        <f t="shared" ref="G40" si="31">+G37-G38+G39</f>
        <v>2044078.1606390115</v>
      </c>
      <c r="H40" s="740">
        <f t="shared" ref="H40" si="32">+H37-H38+H39</f>
        <v>2169058.2546322094</v>
      </c>
      <c r="I40" s="740">
        <f t="shared" ref="I40" si="33">+I37-I38+I39</f>
        <v>2185332.4930445114</v>
      </c>
      <c r="J40" s="740">
        <f t="shared" ref="J40" si="34">+J37-J38+J39</f>
        <v>2253503.4534044378</v>
      </c>
      <c r="K40" s="740">
        <f t="shared" ref="K40" si="35">+K37-K38+K39</f>
        <v>2073476.0602621832</v>
      </c>
      <c r="L40" s="740">
        <f t="shared" ref="L40" si="36">+L37-L38+L39</f>
        <v>2192775.240892054</v>
      </c>
      <c r="M40" s="740">
        <f t="shared" ref="M40" si="37">+M37-M38+M39</f>
        <v>2203368.5659410278</v>
      </c>
      <c r="N40" s="740">
        <f t="shared" ref="N40" si="38">+N37-N38+N39</f>
        <v>2271539.5263009542</v>
      </c>
      <c r="O40" s="346"/>
    </row>
    <row r="41" spans="2:15" x14ac:dyDescent="0.2">
      <c r="B41" s="751"/>
      <c r="C41" s="402"/>
      <c r="D41" s="402"/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247"/>
    </row>
    <row r="42" spans="2:15" x14ac:dyDescent="0.2">
      <c r="B42" s="751" t="s">
        <v>1067</v>
      </c>
      <c r="C42" s="402"/>
      <c r="D42" s="402"/>
      <c r="E42" s="402"/>
      <c r="F42" s="402"/>
      <c r="G42" s="402"/>
      <c r="H42" s="402"/>
      <c r="I42" s="402"/>
      <c r="J42" s="402"/>
      <c r="K42" s="402"/>
      <c r="L42" s="402"/>
      <c r="M42" s="402"/>
      <c r="N42" s="402"/>
      <c r="O42" s="247"/>
    </row>
    <row r="43" spans="2:15" x14ac:dyDescent="0.2">
      <c r="B43" s="230" t="s">
        <v>231</v>
      </c>
      <c r="C43" s="402">
        <f>+C31+C37</f>
        <v>16352522.011522627</v>
      </c>
      <c r="D43" s="402">
        <f>+C46</f>
        <v>16522332.197529458</v>
      </c>
      <c r="E43" s="402">
        <f t="shared" ref="E43:N43" si="39">+D46</f>
        <v>16786413.965812199</v>
      </c>
      <c r="F43" s="402">
        <f t="shared" si="39"/>
        <v>16818671.762433432</v>
      </c>
      <c r="G43" s="402">
        <f t="shared" si="39"/>
        <v>16959377.2388166</v>
      </c>
      <c r="H43" s="402">
        <f t="shared" si="39"/>
        <v>16820235.439515457</v>
      </c>
      <c r="I43" s="402">
        <f t="shared" si="39"/>
        <v>17055733.565333501</v>
      </c>
      <c r="J43" s="402">
        <f t="shared" si="39"/>
        <v>16293256.280248636</v>
      </c>
      <c r="K43" s="402">
        <f t="shared" si="39"/>
        <v>16421709.803422119</v>
      </c>
      <c r="L43" s="402">
        <f t="shared" si="39"/>
        <v>15912189.239349224</v>
      </c>
      <c r="M43" s="402">
        <f t="shared" si="39"/>
        <v>15215633.500273313</v>
      </c>
      <c r="N43" s="402">
        <f t="shared" si="39"/>
        <v>14442451.754923988</v>
      </c>
      <c r="O43" s="247"/>
    </row>
    <row r="44" spans="2:15" x14ac:dyDescent="0.2">
      <c r="B44" s="340" t="s">
        <v>1062</v>
      </c>
      <c r="C44" s="402">
        <f>+C32+C38</f>
        <v>6564674.923021581</v>
      </c>
      <c r="D44" s="402">
        <f t="shared" ref="D44:N44" si="40">+D32+D38</f>
        <v>7294083.2478017574</v>
      </c>
      <c r="E44" s="402">
        <f t="shared" si="40"/>
        <v>8388195.7349720215</v>
      </c>
      <c r="F44" s="402">
        <f t="shared" si="40"/>
        <v>7658787.4101918461</v>
      </c>
      <c r="G44" s="402">
        <f t="shared" si="40"/>
        <v>7658787.4101918461</v>
      </c>
      <c r="H44" s="402">
        <f t="shared" si="40"/>
        <v>8023491.5725819338</v>
      </c>
      <c r="I44" s="402">
        <f t="shared" si="40"/>
        <v>8023491.5725819338</v>
      </c>
      <c r="J44" s="402">
        <f t="shared" si="40"/>
        <v>4376449.9486810546</v>
      </c>
      <c r="K44" s="402">
        <f t="shared" si="40"/>
        <v>8023491.5725819338</v>
      </c>
      <c r="L44" s="402">
        <f t="shared" si="40"/>
        <v>7658787.4101918461</v>
      </c>
      <c r="M44" s="402">
        <f t="shared" si="40"/>
        <v>7658787.4101918461</v>
      </c>
      <c r="N44" s="402">
        <f t="shared" si="40"/>
        <v>4376449.9486810546</v>
      </c>
      <c r="O44" s="247">
        <f>SUM(C44:N44)</f>
        <v>85705478.161670655</v>
      </c>
    </row>
    <row r="45" spans="2:15" ht="17" thickBot="1" x14ac:dyDescent="0.25">
      <c r="B45" s="340" t="s">
        <v>1063</v>
      </c>
      <c r="C45" s="402">
        <f>+C33+C39</f>
        <v>6734485.1090284111</v>
      </c>
      <c r="D45" s="402">
        <f t="shared" ref="D45:N45" si="41">+D33+D39</f>
        <v>7558165.0160845015</v>
      </c>
      <c r="E45" s="402">
        <f t="shared" si="41"/>
        <v>8420453.5315932538</v>
      </c>
      <c r="F45" s="402">
        <f t="shared" si="41"/>
        <v>7799492.8865750125</v>
      </c>
      <c r="G45" s="402">
        <f t="shared" si="41"/>
        <v>7519645.6108907005</v>
      </c>
      <c r="H45" s="402">
        <f t="shared" si="41"/>
        <v>8258989.6983999778</v>
      </c>
      <c r="I45" s="402">
        <f t="shared" si="41"/>
        <v>7261014.2874970697</v>
      </c>
      <c r="J45" s="402">
        <f t="shared" si="41"/>
        <v>4504903.4718545377</v>
      </c>
      <c r="K45" s="402">
        <f t="shared" si="41"/>
        <v>7513971.0085090371</v>
      </c>
      <c r="L45" s="402">
        <f t="shared" si="41"/>
        <v>6962231.6711159348</v>
      </c>
      <c r="M45" s="402">
        <f t="shared" si="41"/>
        <v>6885605.6648425218</v>
      </c>
      <c r="N45" s="402">
        <f t="shared" si="41"/>
        <v>4504903.4718545377</v>
      </c>
      <c r="O45" s="247">
        <f>SUM(C45:N45)</f>
        <v>83923861.4282455</v>
      </c>
    </row>
    <row r="46" spans="2:15" ht="17" thickBot="1" x14ac:dyDescent="0.25">
      <c r="B46" s="341" t="s">
        <v>1064</v>
      </c>
      <c r="C46" s="740">
        <f>+C43-C44+C45</f>
        <v>16522332.197529458</v>
      </c>
      <c r="D46" s="740">
        <f>+D43-D44+D45</f>
        <v>16786413.965812199</v>
      </c>
      <c r="E46" s="740">
        <f t="shared" ref="E46" si="42">+E43-E44+E45</f>
        <v>16818671.762433432</v>
      </c>
      <c r="F46" s="740">
        <f t="shared" ref="F46" si="43">+F43-F44+F45</f>
        <v>16959377.2388166</v>
      </c>
      <c r="G46" s="740">
        <f t="shared" ref="G46" si="44">+G43-G44+G45</f>
        <v>16820235.439515457</v>
      </c>
      <c r="H46" s="740">
        <f t="shared" ref="H46" si="45">+H43-H44+H45</f>
        <v>17055733.565333501</v>
      </c>
      <c r="I46" s="740">
        <f t="shared" ref="I46" si="46">+I43-I44+I45</f>
        <v>16293256.280248636</v>
      </c>
      <c r="J46" s="740">
        <f t="shared" ref="J46" si="47">+J43-J44+J45</f>
        <v>16421709.803422119</v>
      </c>
      <c r="K46" s="740">
        <f t="shared" ref="K46" si="48">+K43-K44+K45</f>
        <v>15912189.239349224</v>
      </c>
      <c r="L46" s="740">
        <f t="shared" ref="L46" si="49">+L43-L44+L45</f>
        <v>15215633.500273313</v>
      </c>
      <c r="M46" s="740">
        <f t="shared" ref="M46" si="50">+M43-M44+M45</f>
        <v>14442451.754923988</v>
      </c>
      <c r="N46" s="740">
        <f t="shared" ref="N46" si="51">+N43-N44+N45</f>
        <v>14570905.278097471</v>
      </c>
      <c r="O46" s="346"/>
    </row>
    <row r="49" spans="2:15" x14ac:dyDescent="0.2">
      <c r="B49" s="3" t="s">
        <v>1077</v>
      </c>
    </row>
    <row r="50" spans="2:15" ht="17" thickBot="1" x14ac:dyDescent="0.25"/>
    <row r="51" spans="2:15" x14ac:dyDescent="0.2">
      <c r="B51" s="330"/>
      <c r="C51" s="1076" t="s">
        <v>196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1035"/>
    </row>
    <row r="52" spans="2:15" x14ac:dyDescent="0.2">
      <c r="B52" s="750" t="s">
        <v>230</v>
      </c>
      <c r="C52" s="337" t="s">
        <v>211</v>
      </c>
      <c r="D52" s="337" t="s">
        <v>212</v>
      </c>
      <c r="E52" s="337" t="s">
        <v>213</v>
      </c>
      <c r="F52" s="337" t="s">
        <v>214</v>
      </c>
      <c r="G52" s="337" t="s">
        <v>215</v>
      </c>
      <c r="H52" s="337" t="s">
        <v>216</v>
      </c>
      <c r="I52" s="337" t="s">
        <v>217</v>
      </c>
      <c r="J52" s="337" t="s">
        <v>218</v>
      </c>
      <c r="K52" s="337" t="s">
        <v>219</v>
      </c>
      <c r="L52" s="337" t="s">
        <v>220</v>
      </c>
      <c r="M52" s="337" t="s">
        <v>221</v>
      </c>
      <c r="N52" s="337" t="s">
        <v>222</v>
      </c>
      <c r="O52" s="342" t="s">
        <v>179</v>
      </c>
    </row>
    <row r="53" spans="2:15" x14ac:dyDescent="0.2">
      <c r="B53" s="230" t="s">
        <v>231</v>
      </c>
      <c r="C53" s="402">
        <f>'Tab 5'!C$12*'Tab. 17'!$C$11</f>
        <v>14391911.607172444</v>
      </c>
      <c r="D53" s="402">
        <f>+C56</f>
        <v>14483697.106485456</v>
      </c>
      <c r="E53" s="402">
        <f t="shared" ref="E53:N53" si="52">+D56</f>
        <v>14716014.353225105</v>
      </c>
      <c r="F53" s="402">
        <f t="shared" si="52"/>
        <v>14784499.125747479</v>
      </c>
      <c r="G53" s="402">
        <f t="shared" si="52"/>
        <v>14891582.208279323</v>
      </c>
      <c r="H53" s="402">
        <f t="shared" si="52"/>
        <v>14998665.290811168</v>
      </c>
      <c r="I53" s="402">
        <f t="shared" si="52"/>
        <v>15110847.567749284</v>
      </c>
      <c r="J53" s="402">
        <f t="shared" si="52"/>
        <v>14320369.148685556</v>
      </c>
      <c r="K53" s="402">
        <f t="shared" si="52"/>
        <v>14381559.481560895</v>
      </c>
      <c r="L53" s="402">
        <f t="shared" si="52"/>
        <v>14047104.60989669</v>
      </c>
      <c r="M53" s="402">
        <f t="shared" si="52"/>
        <v>13218964.069999898</v>
      </c>
      <c r="N53" s="402">
        <f t="shared" si="52"/>
        <v>12423386.456529887</v>
      </c>
      <c r="O53" s="247"/>
    </row>
    <row r="54" spans="2:15" x14ac:dyDescent="0.2">
      <c r="B54" s="340" t="s">
        <v>1062</v>
      </c>
      <c r="C54" s="402">
        <f>'Tab 5'!C$13*'Tab. 17'!$C$11</f>
        <v>6020187.6899557235</v>
      </c>
      <c r="D54" s="402">
        <f>'Tab 5'!D$13*'Tab. 17'!$C$11</f>
        <v>6689097.4332841374</v>
      </c>
      <c r="E54" s="402">
        <f>'Tab 5'!E$13*'Tab. 17'!$C$11</f>
        <v>7692462.0482767597</v>
      </c>
      <c r="F54" s="402">
        <f>'Tab 5'!F$13*'Tab. 17'!$C$11</f>
        <v>7023552.3049483458</v>
      </c>
      <c r="G54" s="402">
        <f>'Tab 5'!G$13*'Tab. 17'!$C$11</f>
        <v>7023552.3049483458</v>
      </c>
      <c r="H54" s="402">
        <f>'Tab 5'!H$13*'Tab. 17'!$C$11</f>
        <v>7358007.1766125523</v>
      </c>
      <c r="I54" s="402">
        <f>'Tab 5'!I$13*'Tab. 17'!$C$11</f>
        <v>7358007.1766125523</v>
      </c>
      <c r="J54" s="402">
        <f>'Tab 5'!J$13*'Tab. 17'!$C$11</f>
        <v>4013458.4599704836</v>
      </c>
      <c r="K54" s="402">
        <f>'Tab 5'!K$13*'Tab. 17'!$C$11</f>
        <v>7358007.1766125523</v>
      </c>
      <c r="L54" s="402">
        <f>'Tab 5'!L$13*'Tab. 17'!$C$11</f>
        <v>7023552.3049483458</v>
      </c>
      <c r="M54" s="402">
        <f>'Tab 5'!M$13*'Tab. 17'!$C$11</f>
        <v>7023552.3049483458</v>
      </c>
      <c r="N54" s="402">
        <f>'Tab 5'!N$13*'Tab. 17'!$C$11</f>
        <v>4013458.4599704836</v>
      </c>
      <c r="O54" s="247">
        <f>SUM(C54:N54)</f>
        <v>78596894.841088623</v>
      </c>
    </row>
    <row r="55" spans="2:15" ht="17" thickBot="1" x14ac:dyDescent="0.25">
      <c r="B55" s="340" t="s">
        <v>1063</v>
      </c>
      <c r="C55" s="402">
        <f>'Tab 5'!C$15*'Tab. 17'!$C$11</f>
        <v>6111973.1892687352</v>
      </c>
      <c r="D55" s="402">
        <f>'Tab 5'!D$15*'Tab. 17'!$C$11</f>
        <v>6921414.6800237866</v>
      </c>
      <c r="E55" s="402">
        <f>'Tab 5'!E$15*'Tab. 17'!$C$11</f>
        <v>7760946.8207991347</v>
      </c>
      <c r="F55" s="402">
        <f>'Tab 5'!F$15*'Tab. 17'!$C$11</f>
        <v>7130635.38748019</v>
      </c>
      <c r="G55" s="402">
        <f>'Tab 5'!G$15*'Tab. 17'!$C$11</f>
        <v>7130635.387480191</v>
      </c>
      <c r="H55" s="402">
        <f>'Tab 5'!H$15*'Tab. 17'!$C$11</f>
        <v>7470189.4535506694</v>
      </c>
      <c r="I55" s="402">
        <f>'Tab 5'!I$15*'Tab. 17'!$C$11</f>
        <v>6567528.757548824</v>
      </c>
      <c r="J55" s="402">
        <f>'Tab 5'!J$15*'Tab. 17'!$C$11</f>
        <v>4074648.7928458233</v>
      </c>
      <c r="K55" s="402">
        <f>'Tab 5'!K$15*'Tab. 17'!$C$11</f>
        <v>7023552.3049483476</v>
      </c>
      <c r="L55" s="402">
        <f>'Tab 5'!L$15*'Tab. 17'!$C$11</f>
        <v>6195411.765051554</v>
      </c>
      <c r="M55" s="402">
        <f>'Tab 5'!M$15*'Tab. 17'!$C$11</f>
        <v>6227974.6914783353</v>
      </c>
      <c r="N55" s="402">
        <f>'Tab 5'!N$15*'Tab. 17'!$C$11</f>
        <v>4074648.7928458233</v>
      </c>
      <c r="O55" s="247">
        <f>SUM(C55:N55)</f>
        <v>76689560.02332142</v>
      </c>
    </row>
    <row r="56" spans="2:15" ht="17" thickBot="1" x14ac:dyDescent="0.25">
      <c r="B56" s="341" t="s">
        <v>1064</v>
      </c>
      <c r="C56" s="740">
        <f>+C53-C54+C55</f>
        <v>14483697.106485456</v>
      </c>
      <c r="D56" s="740">
        <f>+D53-D54+D55</f>
        <v>14716014.353225105</v>
      </c>
      <c r="E56" s="740">
        <f t="shared" ref="E56" si="53">+E53-E54+E55</f>
        <v>14784499.125747479</v>
      </c>
      <c r="F56" s="740">
        <f t="shared" ref="F56" si="54">+F53-F54+F55</f>
        <v>14891582.208279323</v>
      </c>
      <c r="G56" s="740">
        <f t="shared" ref="G56" si="55">+G53-G54+G55</f>
        <v>14998665.290811168</v>
      </c>
      <c r="H56" s="740">
        <f t="shared" ref="H56" si="56">+H53-H54+H55</f>
        <v>15110847.567749284</v>
      </c>
      <c r="I56" s="740">
        <f t="shared" ref="I56" si="57">+I53-I54+I55</f>
        <v>14320369.148685556</v>
      </c>
      <c r="J56" s="740">
        <f t="shared" ref="J56" si="58">+J53-J54+J55</f>
        <v>14381559.481560895</v>
      </c>
      <c r="K56" s="740">
        <f t="shared" ref="K56" si="59">+K53-K54+K55</f>
        <v>14047104.60989669</v>
      </c>
      <c r="L56" s="740">
        <f t="shared" ref="L56" si="60">+L53-L54+L55</f>
        <v>13218964.069999898</v>
      </c>
      <c r="M56" s="740">
        <f t="shared" ref="M56" si="61">+M53-M54+M55</f>
        <v>12423386.456529887</v>
      </c>
      <c r="N56" s="740">
        <f t="shared" ref="N56" si="62">+N53-N54+N55</f>
        <v>12484576.789405227</v>
      </c>
      <c r="O56" s="346"/>
    </row>
    <row r="57" spans="2:15" x14ac:dyDescent="0.2">
      <c r="B57" s="340"/>
      <c r="C57" s="402"/>
      <c r="D57" s="402"/>
      <c r="E57" s="402"/>
      <c r="F57" s="402"/>
      <c r="G57" s="402"/>
      <c r="H57" s="402"/>
      <c r="I57" s="402"/>
      <c r="J57" s="402"/>
      <c r="K57" s="402"/>
      <c r="L57" s="402"/>
      <c r="M57" s="402"/>
      <c r="N57" s="402"/>
      <c r="O57" s="247"/>
    </row>
    <row r="58" spans="2:15" x14ac:dyDescent="0.2">
      <c r="B58" s="751" t="s">
        <v>241</v>
      </c>
      <c r="C58" s="402"/>
      <c r="D58" s="402"/>
      <c r="E58" s="402"/>
      <c r="F58" s="402"/>
      <c r="G58" s="402"/>
      <c r="H58" s="402"/>
      <c r="I58" s="402"/>
      <c r="J58" s="402"/>
      <c r="K58" s="402"/>
      <c r="L58" s="402"/>
      <c r="M58" s="402"/>
      <c r="N58" s="402"/>
      <c r="O58" s="247"/>
    </row>
    <row r="59" spans="2:15" x14ac:dyDescent="0.2">
      <c r="B59" s="230" t="s">
        <v>231</v>
      </c>
      <c r="C59" s="402">
        <f>'Tab 5'!C$25*'Tab. 17'!$C$17</f>
        <v>2213369.278317749</v>
      </c>
      <c r="D59" s="402">
        <f>+C62</f>
        <v>2294188.8850856191</v>
      </c>
      <c r="E59" s="402">
        <f t="shared" ref="E59:N59" si="63">+D62</f>
        <v>2330035.5864150827</v>
      </c>
      <c r="F59" s="402">
        <f t="shared" si="63"/>
        <v>2294188.8850856218</v>
      </c>
      <c r="G59" s="402">
        <f t="shared" si="63"/>
        <v>2330035.5864150836</v>
      </c>
      <c r="H59" s="402">
        <f t="shared" si="63"/>
        <v>2080982.5648590452</v>
      </c>
      <c r="I59" s="402">
        <f t="shared" si="63"/>
        <v>2208219.0872007268</v>
      </c>
      <c r="J59" s="402">
        <f t="shared" si="63"/>
        <v>2224787.1456265221</v>
      </c>
      <c r="K59" s="402">
        <f t="shared" si="63"/>
        <v>2294188.8850856218</v>
      </c>
      <c r="L59" s="402">
        <f t="shared" si="63"/>
        <v>2110911.2230372485</v>
      </c>
      <c r="M59" s="402">
        <f t="shared" si="63"/>
        <v>2232364.2670906722</v>
      </c>
      <c r="N59" s="402">
        <f t="shared" si="63"/>
        <v>2243148.8472282086</v>
      </c>
      <c r="O59" s="247"/>
    </row>
    <row r="60" spans="2:15" x14ac:dyDescent="0.2">
      <c r="B60" s="340" t="s">
        <v>1062</v>
      </c>
      <c r="C60" s="402">
        <f>'Tab 5'!C$26*'Tab. 17'!$C$17</f>
        <v>645240.62393033004</v>
      </c>
      <c r="D60" s="402">
        <f>'Tab 5'!D$26*'Tab. 17'!$C$17</f>
        <v>716934.02658925566</v>
      </c>
      <c r="E60" s="402">
        <f>'Tab 5'!E$26*'Tab. 17'!$C$17</f>
        <v>824474.13057764398</v>
      </c>
      <c r="F60" s="402">
        <f>'Tab 5'!F$26*'Tab. 17'!$C$17</f>
        <v>752780.72791871836</v>
      </c>
      <c r="G60" s="402">
        <f>'Tab 5'!G$26*'Tab. 17'!$C$17</f>
        <v>752780.72791871836</v>
      </c>
      <c r="H60" s="402">
        <f>'Tab 5'!H$26*'Tab. 17'!$C$17</f>
        <v>788627.42924818106</v>
      </c>
      <c r="I60" s="402">
        <f>'Tab 5'!I$26*'Tab. 17'!$C$17</f>
        <v>788627.42924818106</v>
      </c>
      <c r="J60" s="402">
        <f>'Tab 5'!J$26*'Tab. 17'!$C$17</f>
        <v>430160.41595355334</v>
      </c>
      <c r="K60" s="402">
        <f>'Tab 5'!K$26*'Tab. 17'!$C$17</f>
        <v>788627.42924818106</v>
      </c>
      <c r="L60" s="402">
        <f>'Tab 5'!L$26*'Tab. 17'!$C$17</f>
        <v>752780.72791871836</v>
      </c>
      <c r="M60" s="402">
        <f>'Tab 5'!M$26*'Tab. 17'!$C$17</f>
        <v>752780.72791871836</v>
      </c>
      <c r="N60" s="402">
        <f>'Tab 5'!N$26*'Tab. 17'!$C$17</f>
        <v>430160.41595355334</v>
      </c>
      <c r="O60" s="247">
        <f>SUM(C60:N60)</f>
        <v>8423974.8124237526</v>
      </c>
    </row>
    <row r="61" spans="2:15" ht="17" thickBot="1" x14ac:dyDescent="0.25">
      <c r="B61" s="340" t="s">
        <v>1063</v>
      </c>
      <c r="C61" s="402">
        <f>'Tab 5'!C$28*'Tab. 17'!$C$17</f>
        <v>726060.23069819994</v>
      </c>
      <c r="D61" s="402">
        <f>'Tab 5'!D$28*'Tab. 17'!$C$17</f>
        <v>752780.72791871929</v>
      </c>
      <c r="E61" s="402">
        <f>'Tab 5'!E$28*'Tab. 17'!$C$17</f>
        <v>788627.42924818327</v>
      </c>
      <c r="F61" s="402">
        <f>'Tab 5'!F$28*'Tab. 17'!$C$17</f>
        <v>788627.42924818036</v>
      </c>
      <c r="G61" s="402">
        <f>'Tab 5'!G$28*'Tab. 17'!$C$17</f>
        <v>503727.70636267995</v>
      </c>
      <c r="H61" s="402">
        <f>'Tab 5'!H$28*'Tab. 17'!$C$17</f>
        <v>915863.9515898627</v>
      </c>
      <c r="I61" s="402">
        <f>'Tab 5'!I$28*'Tab. 17'!$C$17</f>
        <v>805195.48767397634</v>
      </c>
      <c r="J61" s="402">
        <f>'Tab 5'!J$28*'Tab. 17'!$C$17</f>
        <v>499562.15541265276</v>
      </c>
      <c r="K61" s="402">
        <f>'Tab 5'!K$28*'Tab. 17'!$C$17</f>
        <v>605349.76719980803</v>
      </c>
      <c r="L61" s="402">
        <f>'Tab 5'!L$28*'Tab. 17'!$C$17</f>
        <v>874233.77197214228</v>
      </c>
      <c r="M61" s="402">
        <f>'Tab 5'!M$28*'Tab. 17'!$C$17</f>
        <v>763565.30805625475</v>
      </c>
      <c r="N61" s="402">
        <f>'Tab 5'!N$28*'Tab. 17'!$C$17</f>
        <v>499562.15541265276</v>
      </c>
      <c r="O61" s="247">
        <f>SUM(C61:N61)</f>
        <v>8523156.1207933128</v>
      </c>
    </row>
    <row r="62" spans="2:15" ht="17" thickBot="1" x14ac:dyDescent="0.25">
      <c r="B62" s="341" t="s">
        <v>1064</v>
      </c>
      <c r="C62" s="740">
        <f>+C59-C60+C61</f>
        <v>2294188.8850856191</v>
      </c>
      <c r="D62" s="740">
        <f>+D59-D60+D61</f>
        <v>2330035.5864150827</v>
      </c>
      <c r="E62" s="740">
        <f t="shared" ref="E62" si="64">+E59-E60+E61</f>
        <v>2294188.8850856218</v>
      </c>
      <c r="F62" s="740">
        <f t="shared" ref="F62" si="65">+F59-F60+F61</f>
        <v>2330035.5864150836</v>
      </c>
      <c r="G62" s="740">
        <f t="shared" ref="G62" si="66">+G59-G60+G61</f>
        <v>2080982.5648590452</v>
      </c>
      <c r="H62" s="740">
        <f t="shared" ref="H62" si="67">+H59-H60+H61</f>
        <v>2208219.0872007268</v>
      </c>
      <c r="I62" s="740">
        <f t="shared" ref="I62" si="68">+I59-I60+I61</f>
        <v>2224787.1456265221</v>
      </c>
      <c r="J62" s="740">
        <f t="shared" ref="J62" si="69">+J59-J60+J61</f>
        <v>2294188.8850856218</v>
      </c>
      <c r="K62" s="740">
        <f t="shared" ref="K62" si="70">+K59-K60+K61</f>
        <v>2110911.2230372485</v>
      </c>
      <c r="L62" s="740">
        <f t="shared" ref="L62" si="71">+L59-L60+L61</f>
        <v>2232364.2670906722</v>
      </c>
      <c r="M62" s="740">
        <f t="shared" ref="M62" si="72">+M59-M60+M61</f>
        <v>2243148.8472282086</v>
      </c>
      <c r="N62" s="740">
        <f t="shared" ref="N62" si="73">+N59-N60+N61</f>
        <v>2312550.5866873078</v>
      </c>
      <c r="O62" s="346"/>
    </row>
    <row r="63" spans="2:15" x14ac:dyDescent="0.2">
      <c r="B63" s="751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247"/>
    </row>
    <row r="64" spans="2:15" x14ac:dyDescent="0.2">
      <c r="B64" s="751" t="s">
        <v>1067</v>
      </c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247"/>
    </row>
    <row r="65" spans="2:15" x14ac:dyDescent="0.2">
      <c r="B65" s="230" t="s">
        <v>231</v>
      </c>
      <c r="C65" s="402">
        <f>+C53+C59</f>
        <v>16605280.885490194</v>
      </c>
      <c r="D65" s="402">
        <f>+C68</f>
        <v>16777885.991571076</v>
      </c>
      <c r="E65" s="402">
        <f t="shared" ref="E65:N65" si="74">+D68</f>
        <v>17046049.939640187</v>
      </c>
      <c r="F65" s="402">
        <f t="shared" si="74"/>
        <v>17078688.010833099</v>
      </c>
      <c r="G65" s="402">
        <f t="shared" si="74"/>
        <v>17221617.794694409</v>
      </c>
      <c r="H65" s="402">
        <f t="shared" si="74"/>
        <v>17079647.855670217</v>
      </c>
      <c r="I65" s="402">
        <f t="shared" si="74"/>
        <v>17319066.654950015</v>
      </c>
      <c r="J65" s="402">
        <f t="shared" si="74"/>
        <v>16545156.294312082</v>
      </c>
      <c r="K65" s="402">
        <f t="shared" si="74"/>
        <v>16675748.366646523</v>
      </c>
      <c r="L65" s="402">
        <f t="shared" si="74"/>
        <v>16158015.832933944</v>
      </c>
      <c r="M65" s="402">
        <f t="shared" si="74"/>
        <v>15451328.337090576</v>
      </c>
      <c r="N65" s="402">
        <f t="shared" si="74"/>
        <v>14666535.303758103</v>
      </c>
      <c r="O65" s="247"/>
    </row>
    <row r="66" spans="2:15" x14ac:dyDescent="0.2">
      <c r="B66" s="340" t="s">
        <v>1062</v>
      </c>
      <c r="C66" s="402">
        <f>+C54+C60</f>
        <v>6665428.3138860539</v>
      </c>
      <c r="D66" s="402">
        <f t="shared" ref="D66:N66" si="75">+D54+D60</f>
        <v>7406031.4598733932</v>
      </c>
      <c r="E66" s="402">
        <f t="shared" si="75"/>
        <v>8516936.178854404</v>
      </c>
      <c r="F66" s="402">
        <f t="shared" si="75"/>
        <v>7776333.0328670638</v>
      </c>
      <c r="G66" s="402">
        <f t="shared" si="75"/>
        <v>7776333.0328670638</v>
      </c>
      <c r="H66" s="402">
        <f t="shared" si="75"/>
        <v>8146634.6058607334</v>
      </c>
      <c r="I66" s="402">
        <f t="shared" si="75"/>
        <v>8146634.6058607334</v>
      </c>
      <c r="J66" s="402">
        <f t="shared" si="75"/>
        <v>4443618.8759240368</v>
      </c>
      <c r="K66" s="402">
        <f t="shared" si="75"/>
        <v>8146634.6058607334</v>
      </c>
      <c r="L66" s="402">
        <f t="shared" si="75"/>
        <v>7776333.0328670638</v>
      </c>
      <c r="M66" s="402">
        <f t="shared" si="75"/>
        <v>7776333.0328670638</v>
      </c>
      <c r="N66" s="402">
        <f t="shared" si="75"/>
        <v>4443618.8759240368</v>
      </c>
      <c r="O66" s="247">
        <f>SUM(C66:N66)</f>
        <v>87020869.653512374</v>
      </c>
    </row>
    <row r="67" spans="2:15" ht="17" thickBot="1" x14ac:dyDescent="0.25">
      <c r="B67" s="340" t="s">
        <v>1063</v>
      </c>
      <c r="C67" s="402">
        <f>+C55+C61</f>
        <v>6838033.4199669352</v>
      </c>
      <c r="D67" s="402">
        <f t="shared" ref="D67:N67" si="76">+D55+D61</f>
        <v>7674195.4079425056</v>
      </c>
      <c r="E67" s="402">
        <f t="shared" si="76"/>
        <v>8549574.2500473186</v>
      </c>
      <c r="F67" s="402">
        <f t="shared" si="76"/>
        <v>7919262.8167283703</v>
      </c>
      <c r="G67" s="402">
        <f t="shared" si="76"/>
        <v>7634363.0938428706</v>
      </c>
      <c r="H67" s="402">
        <f t="shared" si="76"/>
        <v>8386053.4051405322</v>
      </c>
      <c r="I67" s="402">
        <f t="shared" si="76"/>
        <v>7372724.2452228004</v>
      </c>
      <c r="J67" s="402">
        <f t="shared" si="76"/>
        <v>4574210.9482584763</v>
      </c>
      <c r="K67" s="402">
        <f t="shared" si="76"/>
        <v>7628902.0721481554</v>
      </c>
      <c r="L67" s="402">
        <f t="shared" si="76"/>
        <v>7069645.5370236961</v>
      </c>
      <c r="M67" s="402">
        <f t="shared" si="76"/>
        <v>6991539.9995345902</v>
      </c>
      <c r="N67" s="402">
        <f t="shared" si="76"/>
        <v>4574210.9482584763</v>
      </c>
      <c r="O67" s="247">
        <f>SUM(C67:N67)</f>
        <v>85212716.144114718</v>
      </c>
    </row>
    <row r="68" spans="2:15" ht="17" thickBot="1" x14ac:dyDescent="0.25">
      <c r="B68" s="341" t="s">
        <v>1064</v>
      </c>
      <c r="C68" s="740">
        <f>+C65-C66+C67</f>
        <v>16777885.991571076</v>
      </c>
      <c r="D68" s="740">
        <f>+D65-D66+D67</f>
        <v>17046049.939640187</v>
      </c>
      <c r="E68" s="740">
        <f t="shared" ref="E68" si="77">+E65-E66+E67</f>
        <v>17078688.010833099</v>
      </c>
      <c r="F68" s="740">
        <f t="shared" ref="F68" si="78">+F65-F66+F67</f>
        <v>17221617.794694409</v>
      </c>
      <c r="G68" s="740">
        <f t="shared" ref="G68" si="79">+G65-G66+G67</f>
        <v>17079647.855670217</v>
      </c>
      <c r="H68" s="740">
        <f t="shared" ref="H68" si="80">+H65-H66+H67</f>
        <v>17319066.654950015</v>
      </c>
      <c r="I68" s="740">
        <f t="shared" ref="I68" si="81">+I65-I66+I67</f>
        <v>16545156.294312082</v>
      </c>
      <c r="J68" s="740">
        <f t="shared" ref="J68" si="82">+J65-J66+J67</f>
        <v>16675748.366646523</v>
      </c>
      <c r="K68" s="740">
        <f t="shared" ref="K68" si="83">+K65-K66+K67</f>
        <v>16158015.832933944</v>
      </c>
      <c r="L68" s="740">
        <f t="shared" ref="L68" si="84">+L65-L66+L67</f>
        <v>15451328.337090576</v>
      </c>
      <c r="M68" s="740">
        <f t="shared" ref="M68" si="85">+M65-M66+M67</f>
        <v>14666535.303758103</v>
      </c>
      <c r="N68" s="740">
        <f t="shared" ref="N68" si="86">+N65-N66+N67</f>
        <v>14797127.376092544</v>
      </c>
      <c r="O68" s="346"/>
    </row>
  </sheetData>
  <mergeCells count="3">
    <mergeCell ref="C7:O7"/>
    <mergeCell ref="C29:O29"/>
    <mergeCell ref="C51:O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>
    <pageSetUpPr fitToPage="1"/>
  </sheetPr>
  <dimension ref="B2:DG50"/>
  <sheetViews>
    <sheetView showGridLines="0" zoomScale="140" zoomScaleNormal="140" workbookViewId="0">
      <selection activeCell="C6" sqref="C6:E6"/>
    </sheetView>
  </sheetViews>
  <sheetFormatPr baseColWidth="10" defaultColWidth="9.1640625" defaultRowHeight="16" x14ac:dyDescent="0.2"/>
  <cols>
    <col min="1" max="1" width="2.6640625" style="3" customWidth="1"/>
    <col min="2" max="2" width="20" style="3" customWidth="1"/>
    <col min="3" max="3" width="11.33203125" style="3" bestFit="1" customWidth="1"/>
    <col min="4" max="4" width="9.1640625" style="3"/>
    <col min="5" max="5" width="14" style="3" bestFit="1" customWidth="1"/>
    <col min="6" max="6" width="11.33203125" style="3" bestFit="1" customWidth="1"/>
    <col min="7" max="7" width="9.1640625" style="3"/>
    <col min="8" max="8" width="14" style="3" bestFit="1" customWidth="1"/>
    <col min="9" max="9" width="11.33203125" style="3" bestFit="1" customWidth="1"/>
    <col min="10" max="10" width="9.1640625" style="3"/>
    <col min="11" max="11" width="14" style="3" bestFit="1" customWidth="1"/>
    <col min="12" max="12" width="11.33203125" style="3" bestFit="1" customWidth="1"/>
    <col min="13" max="13" width="9.1640625" style="3"/>
    <col min="14" max="14" width="14" style="3" bestFit="1" customWidth="1"/>
    <col min="15" max="15" width="11.33203125" style="3" bestFit="1" customWidth="1"/>
    <col min="16" max="16" width="9.1640625" style="3"/>
    <col min="17" max="17" width="14" style="3" bestFit="1" customWidth="1"/>
    <col min="18" max="18" width="11.33203125" style="3" bestFit="1" customWidth="1"/>
    <col min="19" max="19" width="9.1640625" style="3"/>
    <col min="20" max="20" width="14" style="3" bestFit="1" customWidth="1"/>
    <col min="21" max="21" width="12.33203125" style="3" bestFit="1" customWidth="1"/>
    <col min="22" max="22" width="9.1640625" style="3"/>
    <col min="23" max="23" width="14" style="3" bestFit="1" customWidth="1"/>
    <col min="24" max="24" width="2.33203125" style="3" customWidth="1"/>
    <col min="25" max="25" width="15" style="3" bestFit="1" customWidth="1"/>
    <col min="26" max="26" width="8.6640625" style="3" bestFit="1" customWidth="1"/>
    <col min="27" max="27" width="16.5" style="3" bestFit="1" customWidth="1"/>
    <col min="28" max="28" width="8.6640625" style="3" bestFit="1" customWidth="1"/>
    <col min="29" max="29" width="10.33203125" style="3" bestFit="1" customWidth="1"/>
    <col min="30" max="30" width="8.6640625" style="3" bestFit="1" customWidth="1"/>
    <col min="31" max="31" width="10.33203125" style="3" bestFit="1" customWidth="1"/>
    <col min="32" max="33" width="8.6640625" style="3" bestFit="1" customWidth="1"/>
    <col min="34" max="34" width="12.83203125" style="3" bestFit="1" customWidth="1"/>
    <col min="35" max="35" width="9.1640625" style="3"/>
    <col min="36" max="36" width="14" style="3" bestFit="1" customWidth="1"/>
    <col min="37" max="16384" width="9.1640625" style="3"/>
  </cols>
  <sheetData>
    <row r="2" spans="2:24" x14ac:dyDescent="0.2">
      <c r="B2" s="91" t="s">
        <v>225</v>
      </c>
    </row>
    <row r="3" spans="2:24" x14ac:dyDescent="0.2">
      <c r="B3" s="12"/>
      <c r="E3" s="36"/>
    </row>
    <row r="4" spans="2:24" ht="17" thickBot="1" x14ac:dyDescent="0.25"/>
    <row r="5" spans="2:24" x14ac:dyDescent="0.2">
      <c r="B5" s="13"/>
      <c r="C5" s="1058" t="s">
        <v>196</v>
      </c>
      <c r="D5" s="1059"/>
      <c r="E5" s="1059"/>
      <c r="F5" s="1059"/>
      <c r="G5" s="1059"/>
      <c r="H5" s="1059"/>
      <c r="I5" s="1059"/>
      <c r="J5" s="1059"/>
      <c r="K5" s="1059"/>
      <c r="L5" s="1059"/>
      <c r="M5" s="1059"/>
      <c r="N5" s="1059"/>
      <c r="O5" s="1059"/>
      <c r="P5" s="1059"/>
      <c r="Q5" s="1059"/>
      <c r="R5" s="1059"/>
      <c r="S5" s="1059"/>
      <c r="T5" s="1059"/>
      <c r="U5" s="1059"/>
      <c r="V5" s="1059"/>
      <c r="W5" s="1060"/>
      <c r="X5" s="14"/>
    </row>
    <row r="6" spans="2:24" x14ac:dyDescent="0.2">
      <c r="B6" s="15"/>
      <c r="C6" s="1061" t="s">
        <v>29</v>
      </c>
      <c r="D6" s="1062"/>
      <c r="E6" s="1062"/>
      <c r="F6" s="1062" t="s">
        <v>30</v>
      </c>
      <c r="G6" s="1062"/>
      <c r="H6" s="1062"/>
      <c r="I6" s="1062" t="s">
        <v>31</v>
      </c>
      <c r="J6" s="1062"/>
      <c r="K6" s="1062"/>
      <c r="L6" s="1062" t="s">
        <v>32</v>
      </c>
      <c r="M6" s="1062"/>
      <c r="N6" s="1062"/>
      <c r="O6" s="1062" t="s">
        <v>33</v>
      </c>
      <c r="P6" s="1062"/>
      <c r="Q6" s="1062"/>
      <c r="R6" s="1062" t="s">
        <v>34</v>
      </c>
      <c r="S6" s="1062"/>
      <c r="T6" s="1046"/>
      <c r="U6" s="1063" t="s">
        <v>2</v>
      </c>
      <c r="V6" s="1064"/>
      <c r="W6" s="1065"/>
      <c r="X6" s="16"/>
    </row>
    <row r="7" spans="2:24" x14ac:dyDescent="0.2">
      <c r="B7" s="17"/>
      <c r="C7" s="18" t="s">
        <v>0</v>
      </c>
      <c r="D7" s="16" t="s">
        <v>9</v>
      </c>
      <c r="E7" s="19" t="s">
        <v>1</v>
      </c>
      <c r="F7" s="20" t="s">
        <v>0</v>
      </c>
      <c r="G7" s="20" t="s">
        <v>9</v>
      </c>
      <c r="H7" s="21" t="s">
        <v>1</v>
      </c>
      <c r="I7" s="22" t="s">
        <v>0</v>
      </c>
      <c r="J7" s="20" t="s">
        <v>9</v>
      </c>
      <c r="K7" s="21" t="s">
        <v>1</v>
      </c>
      <c r="L7" s="22" t="s">
        <v>0</v>
      </c>
      <c r="M7" s="20" t="s">
        <v>9</v>
      </c>
      <c r="N7" s="21" t="s">
        <v>1</v>
      </c>
      <c r="O7" s="22" t="s">
        <v>0</v>
      </c>
      <c r="P7" s="20" t="s">
        <v>9</v>
      </c>
      <c r="Q7" s="21" t="s">
        <v>1</v>
      </c>
      <c r="R7" s="22" t="s">
        <v>0</v>
      </c>
      <c r="S7" s="20" t="s">
        <v>9</v>
      </c>
      <c r="T7" s="23" t="s">
        <v>1</v>
      </c>
      <c r="U7" s="24" t="s">
        <v>0</v>
      </c>
      <c r="V7" s="24" t="s">
        <v>9</v>
      </c>
      <c r="W7" s="25" t="s">
        <v>1</v>
      </c>
      <c r="X7" s="16"/>
    </row>
    <row r="8" spans="2:24" x14ac:dyDescent="0.2">
      <c r="B8" s="26"/>
      <c r="C8" s="17"/>
      <c r="E8" s="27"/>
      <c r="H8" s="27"/>
      <c r="I8" s="28"/>
      <c r="K8" s="27"/>
      <c r="L8" s="28"/>
      <c r="N8" s="27"/>
      <c r="O8" s="28"/>
      <c r="Q8" s="27"/>
      <c r="U8" s="29"/>
      <c r="V8" s="30"/>
      <c r="W8" s="31"/>
    </row>
    <row r="9" spans="2:24" x14ac:dyDescent="0.2">
      <c r="B9" s="17" t="s">
        <v>199</v>
      </c>
      <c r="C9" s="32">
        <f>QUANTITÀ!B8</f>
        <v>18863.320540150991</v>
      </c>
      <c r="D9" s="59">
        <f>PREZZI!B5</f>
        <v>180</v>
      </c>
      <c r="E9" s="62">
        <f>C9*D9</f>
        <v>3395397.6972271786</v>
      </c>
      <c r="F9" s="33">
        <f>QUANTITÀ!C8</f>
        <v>20959.245044612213</v>
      </c>
      <c r="G9" s="59">
        <f>PREZZI!C5</f>
        <v>180</v>
      </c>
      <c r="H9" s="62">
        <f>F9*G9</f>
        <v>3772664.1080301981</v>
      </c>
      <c r="I9" s="34">
        <f>QUANTITÀ!D8</f>
        <v>24103.131801304044</v>
      </c>
      <c r="J9" s="59">
        <f>PREZZI!D5</f>
        <v>180</v>
      </c>
      <c r="K9" s="62">
        <f>I9*J9</f>
        <v>4338563.7242347281</v>
      </c>
      <c r="L9" s="34">
        <f>QUANTITÀ!E8</f>
        <v>22007.207296842822</v>
      </c>
      <c r="M9" s="59">
        <f>PREZZI!E5</f>
        <v>180</v>
      </c>
      <c r="N9" s="62">
        <f>L9*M9</f>
        <v>3961297.3134317081</v>
      </c>
      <c r="O9" s="34">
        <f>QUANTITÀ!F8</f>
        <v>22007.207296842822</v>
      </c>
      <c r="P9" s="59">
        <f>PREZZI!F5</f>
        <v>180</v>
      </c>
      <c r="Q9" s="62">
        <f>O9*P9</f>
        <v>3961297.3134317081</v>
      </c>
      <c r="R9" s="33">
        <f>QUANTITÀ!G8</f>
        <v>23055.169549073435</v>
      </c>
      <c r="S9" s="59">
        <f>PREZZI!G5</f>
        <v>180</v>
      </c>
      <c r="T9" s="62">
        <f>R9*S9</f>
        <v>4149930.5188332181</v>
      </c>
      <c r="U9" s="35">
        <f>C9+F9+I9+L9+O9+R9</f>
        <v>130995.28152882634</v>
      </c>
      <c r="V9" s="64">
        <f>IFERROR(W9/U9,0)</f>
        <v>180.00000000000003</v>
      </c>
      <c r="W9" s="67">
        <f>E9+H9+K9+N9+Q9+T9</f>
        <v>23579150.675188743</v>
      </c>
      <c r="X9" s="36"/>
    </row>
    <row r="10" spans="2:24" x14ac:dyDescent="0.2">
      <c r="B10" s="17" t="s">
        <v>200</v>
      </c>
      <c r="C10" s="32">
        <f>QUANTITÀ!B9</f>
        <v>33131.005957446803</v>
      </c>
      <c r="D10" s="59">
        <f>PREZZI!B6</f>
        <v>180</v>
      </c>
      <c r="E10" s="62">
        <f>C10*D10</f>
        <v>5963581.0723404242</v>
      </c>
      <c r="F10" s="33">
        <f>QUANTITÀ!C9</f>
        <v>36812.228841607561</v>
      </c>
      <c r="G10" s="59">
        <f>PREZZI!C6</f>
        <v>180</v>
      </c>
      <c r="H10" s="62">
        <f>F10*G10</f>
        <v>6626201.1914893612</v>
      </c>
      <c r="I10" s="34">
        <f>QUANTITÀ!D9</f>
        <v>42334.063167848697</v>
      </c>
      <c r="J10" s="59">
        <f>PREZZI!D6</f>
        <v>180</v>
      </c>
      <c r="K10" s="62">
        <f>I10*J10</f>
        <v>7620131.3702127654</v>
      </c>
      <c r="L10" s="34">
        <f>QUANTITÀ!E9</f>
        <v>38652.84028368794</v>
      </c>
      <c r="M10" s="59">
        <f>PREZZI!E6</f>
        <v>180</v>
      </c>
      <c r="N10" s="62">
        <f>L10*M10</f>
        <v>6957511.2510638293</v>
      </c>
      <c r="O10" s="34">
        <f>QUANTITÀ!F9</f>
        <v>38652.84028368794</v>
      </c>
      <c r="P10" s="59">
        <f>PREZZI!F6</f>
        <v>180</v>
      </c>
      <c r="Q10" s="62">
        <f>O10*P10</f>
        <v>6957511.2510638293</v>
      </c>
      <c r="R10" s="33">
        <f>QUANTITÀ!G9</f>
        <v>40493.451725768318</v>
      </c>
      <c r="S10" s="59">
        <f>PREZZI!G6</f>
        <v>180</v>
      </c>
      <c r="T10" s="62">
        <f>R10*S10</f>
        <v>7288821.3106382973</v>
      </c>
      <c r="U10" s="35">
        <f>C10+F10+I10+L10+O10+R10</f>
        <v>230076.43026004726</v>
      </c>
      <c r="V10" s="64">
        <f t="shared" ref="V10:V12" si="0">IFERROR(W10/U10,0)</f>
        <v>180.00000000000006</v>
      </c>
      <c r="W10" s="67">
        <f>E10+H10+K10+N10+Q10+T10</f>
        <v>41413757.446808517</v>
      </c>
      <c r="X10" s="36"/>
    </row>
    <row r="11" spans="2:24" x14ac:dyDescent="0.2">
      <c r="B11" s="17" t="s">
        <v>201</v>
      </c>
      <c r="C11" s="32">
        <f>QUANTITÀ!B10</f>
        <v>293.61702127659601</v>
      </c>
      <c r="D11" s="59">
        <f>PREZZI!B7</f>
        <v>180</v>
      </c>
      <c r="E11" s="62">
        <f>C11*D11</f>
        <v>52851.063829787279</v>
      </c>
      <c r="F11" s="33">
        <f>QUANTITÀ!C10</f>
        <v>326.2411347517733</v>
      </c>
      <c r="G11" s="59">
        <f>PREZZI!C7</f>
        <v>180</v>
      </c>
      <c r="H11" s="62">
        <f>F11*G11</f>
        <v>58723.404255319198</v>
      </c>
      <c r="I11" s="34">
        <f>QUANTITÀ!D10</f>
        <v>375.1773049645393</v>
      </c>
      <c r="J11" s="59">
        <f>PREZZI!D7</f>
        <v>180</v>
      </c>
      <c r="K11" s="62">
        <f>I11*J11</f>
        <v>67531.914893617068</v>
      </c>
      <c r="L11" s="34">
        <f>QUANTITÀ!E10</f>
        <v>342.55319148936201</v>
      </c>
      <c r="M11" s="59">
        <f>PREZZI!E7</f>
        <v>180</v>
      </c>
      <c r="N11" s="62">
        <f>L11*M11</f>
        <v>61659.574468085164</v>
      </c>
      <c r="O11" s="34">
        <f>QUANTITÀ!F10</f>
        <v>342.55319148936201</v>
      </c>
      <c r="P11" s="59">
        <f>PREZZI!F7</f>
        <v>180</v>
      </c>
      <c r="Q11" s="62">
        <f>O11*P11</f>
        <v>61659.574468085164</v>
      </c>
      <c r="R11" s="33">
        <f>QUANTITÀ!G10</f>
        <v>358.86524822695065</v>
      </c>
      <c r="S11" s="59">
        <f>PREZZI!G7</f>
        <v>180</v>
      </c>
      <c r="T11" s="62">
        <f>R11*S11</f>
        <v>64595.744680851116</v>
      </c>
      <c r="U11" s="35">
        <f>C11+F11+I11+L11+O11+R11</f>
        <v>2039.0070921985832</v>
      </c>
      <c r="V11" s="64">
        <f t="shared" si="0"/>
        <v>180</v>
      </c>
      <c r="W11" s="67">
        <f>E11+H11+K11+N11+Q11+T11</f>
        <v>367021.276595745</v>
      </c>
      <c r="X11" s="36"/>
    </row>
    <row r="12" spans="2:24" s="12" customFormat="1" ht="17" thickBot="1" x14ac:dyDescent="0.25">
      <c r="B12" s="37" t="s">
        <v>189</v>
      </c>
      <c r="C12" s="38">
        <f>SUM(C9:C11)</f>
        <v>52287.943518874388</v>
      </c>
      <c r="D12" s="60">
        <f>E12/C12</f>
        <v>180</v>
      </c>
      <c r="E12" s="63">
        <f>SUM(E9:E11)</f>
        <v>9411829.8333973903</v>
      </c>
      <c r="F12" s="39">
        <f>SUM(F9:F11)</f>
        <v>58097.71502097154</v>
      </c>
      <c r="G12" s="60">
        <f>H12/F12</f>
        <v>180.00000000000003</v>
      </c>
      <c r="H12" s="63">
        <f>SUM(H9:H11)</f>
        <v>10457588.703774879</v>
      </c>
      <c r="I12" s="40">
        <f>SUM(I9:I11)</f>
        <v>66812.372274117282</v>
      </c>
      <c r="J12" s="60">
        <f>K12/I12</f>
        <v>180</v>
      </c>
      <c r="K12" s="63">
        <f>SUM(K9:K11)</f>
        <v>12026227.009341111</v>
      </c>
      <c r="L12" s="40">
        <f>SUM(L9:L11)</f>
        <v>61002.600772020131</v>
      </c>
      <c r="M12" s="60">
        <f>N12/L12</f>
        <v>180</v>
      </c>
      <c r="N12" s="63">
        <f>SUM(N9:N11)</f>
        <v>10980468.138963623</v>
      </c>
      <c r="O12" s="40">
        <f>SUM(O9:O11)</f>
        <v>61002.600772020131</v>
      </c>
      <c r="P12" s="60">
        <f>Q12/O12</f>
        <v>180</v>
      </c>
      <c r="Q12" s="63">
        <f>SUM(Q9:Q11)</f>
        <v>10980468.138963623</v>
      </c>
      <c r="R12" s="39">
        <f>SUM(R9:R11)</f>
        <v>63907.486523068706</v>
      </c>
      <c r="S12" s="60">
        <f>T12/R12</f>
        <v>180</v>
      </c>
      <c r="T12" s="63">
        <f>SUM(T9:T11)</f>
        <v>11503347.574152367</v>
      </c>
      <c r="U12" s="38">
        <f>SUM(U9:U11)</f>
        <v>363110.71888107219</v>
      </c>
      <c r="V12" s="65">
        <f t="shared" si="0"/>
        <v>180.00000000000003</v>
      </c>
      <c r="W12" s="68">
        <f>SUM(W9:W11)</f>
        <v>65359929.398593001</v>
      </c>
      <c r="X12" s="41"/>
    </row>
    <row r="13" spans="2:24" x14ac:dyDescent="0.2">
      <c r="B13" s="17"/>
      <c r="C13" s="17"/>
      <c r="D13" s="59"/>
      <c r="E13" s="62"/>
      <c r="G13" s="59"/>
      <c r="H13" s="62"/>
      <c r="I13" s="28"/>
      <c r="J13" s="59"/>
      <c r="K13" s="62"/>
      <c r="L13" s="28"/>
      <c r="M13" s="59"/>
      <c r="N13" s="62"/>
      <c r="O13" s="28"/>
      <c r="P13" s="59"/>
      <c r="Q13" s="62"/>
      <c r="S13" s="59"/>
      <c r="T13" s="62"/>
      <c r="U13" s="29"/>
      <c r="V13" s="66"/>
      <c r="W13" s="67"/>
    </row>
    <row r="14" spans="2:24" x14ac:dyDescent="0.2">
      <c r="B14" s="26"/>
      <c r="C14" s="17"/>
      <c r="D14" s="59"/>
      <c r="E14" s="62"/>
      <c r="G14" s="59"/>
      <c r="H14" s="62"/>
      <c r="I14" s="28"/>
      <c r="J14" s="59"/>
      <c r="K14" s="62"/>
      <c r="L14" s="28"/>
      <c r="M14" s="59"/>
      <c r="N14" s="62"/>
      <c r="O14" s="28"/>
      <c r="P14" s="59"/>
      <c r="Q14" s="62"/>
      <c r="S14" s="59"/>
      <c r="T14" s="62"/>
      <c r="U14" s="29"/>
      <c r="V14" s="66"/>
      <c r="W14" s="67"/>
    </row>
    <row r="15" spans="2:24" x14ac:dyDescent="0.2">
      <c r="B15" s="17" t="s">
        <v>199</v>
      </c>
      <c r="C15" s="32">
        <f>QUANTITÀ!B15</f>
        <v>1198.375657844887</v>
      </c>
      <c r="D15" s="59">
        <f>PREZZI!B12</f>
        <v>500</v>
      </c>
      <c r="E15" s="62">
        <f>C15*D15</f>
        <v>599187.82892244344</v>
      </c>
      <c r="F15" s="33">
        <f>QUANTITÀ!C15</f>
        <v>1331.528508716541</v>
      </c>
      <c r="G15" s="59">
        <f>PREZZI!C12</f>
        <v>500</v>
      </c>
      <c r="H15" s="62">
        <f>F15*G15</f>
        <v>665764.25435827044</v>
      </c>
      <c r="I15" s="34">
        <f>QUANTITÀ!D15</f>
        <v>1531.257785024022</v>
      </c>
      <c r="J15" s="59">
        <f>PREZZI!D12</f>
        <v>500</v>
      </c>
      <c r="K15" s="62">
        <f>I15*J15</f>
        <v>765628.89251201099</v>
      </c>
      <c r="L15" s="34">
        <f>QUANTITÀ!E15</f>
        <v>1398.1049341523681</v>
      </c>
      <c r="M15" s="59">
        <f>PREZZI!E12</f>
        <v>500</v>
      </c>
      <c r="N15" s="62">
        <f>L15*M15</f>
        <v>699052.467076184</v>
      </c>
      <c r="O15" s="34">
        <f>QUANTITÀ!F15</f>
        <v>1398.1049341523681</v>
      </c>
      <c r="P15" s="59">
        <f>PREZZI!F12</f>
        <v>500</v>
      </c>
      <c r="Q15" s="62">
        <f>O15*P15</f>
        <v>699052.467076184</v>
      </c>
      <c r="R15" s="33">
        <f>QUANTITÀ!G15</f>
        <v>1464.6813595881949</v>
      </c>
      <c r="S15" s="59">
        <f>PREZZI!G12</f>
        <v>500</v>
      </c>
      <c r="T15" s="62">
        <f>R15*S15</f>
        <v>732340.67979409744</v>
      </c>
      <c r="U15" s="35">
        <f>C15+F15+I15+L15+O15+R15</f>
        <v>8322.0531794783819</v>
      </c>
      <c r="V15" s="64">
        <f>IFERROR(W15/U15,0)</f>
        <v>499.99999999999994</v>
      </c>
      <c r="W15" s="67">
        <f>E15+H15+K15+N15+Q15+T15</f>
        <v>4161026.5897391904</v>
      </c>
      <c r="X15" s="36"/>
    </row>
    <row r="16" spans="2:24" x14ac:dyDescent="0.2">
      <c r="B16" s="17" t="s">
        <v>200</v>
      </c>
      <c r="C16" s="32">
        <f>QUANTITÀ!B16</f>
        <v>0</v>
      </c>
      <c r="D16" s="59">
        <f>PREZZI!B13</f>
        <v>500</v>
      </c>
      <c r="E16" s="62">
        <f>C16*D16</f>
        <v>0</v>
      </c>
      <c r="F16" s="33">
        <f>QUANTITÀ!C16</f>
        <v>0</v>
      </c>
      <c r="G16" s="59">
        <f>PREZZI!C13</f>
        <v>500</v>
      </c>
      <c r="H16" s="62">
        <f>F16*G16</f>
        <v>0</v>
      </c>
      <c r="I16" s="34">
        <f>QUANTITÀ!D16</f>
        <v>0</v>
      </c>
      <c r="J16" s="59">
        <f>PREZZI!D13</f>
        <v>500</v>
      </c>
      <c r="K16" s="62">
        <f>I16*J16</f>
        <v>0</v>
      </c>
      <c r="L16" s="34">
        <f>QUANTITÀ!E16</f>
        <v>0</v>
      </c>
      <c r="M16" s="59">
        <f>PREZZI!E13</f>
        <v>500</v>
      </c>
      <c r="N16" s="62">
        <f>L16*M16</f>
        <v>0</v>
      </c>
      <c r="O16" s="34">
        <f>QUANTITÀ!F16</f>
        <v>0</v>
      </c>
      <c r="P16" s="59">
        <f>PREZZI!F13</f>
        <v>500</v>
      </c>
      <c r="Q16" s="62">
        <f>O16*P16</f>
        <v>0</v>
      </c>
      <c r="R16" s="33">
        <f>QUANTITÀ!G16</f>
        <v>0</v>
      </c>
      <c r="S16" s="59">
        <f>PREZZI!G13</f>
        <v>500</v>
      </c>
      <c r="T16" s="62">
        <f>R16*S16</f>
        <v>0</v>
      </c>
      <c r="U16" s="35">
        <f>C16+F16+I16+L16+O16+R16</f>
        <v>0</v>
      </c>
      <c r="V16" s="64">
        <f t="shared" ref="V16:V18" si="1">IFERROR(W16/U16,0)</f>
        <v>0</v>
      </c>
      <c r="W16" s="67">
        <f>E16+H16+K16+N16+Q16+T16</f>
        <v>0</v>
      </c>
      <c r="X16" s="36"/>
    </row>
    <row r="17" spans="2:111" x14ac:dyDescent="0.2">
      <c r="B17" s="17" t="s">
        <v>201</v>
      </c>
      <c r="C17" s="32">
        <f>QUANTITÀ!B17</f>
        <v>2008.3404255319151</v>
      </c>
      <c r="D17" s="59">
        <f>PREZZI!B14</f>
        <v>500</v>
      </c>
      <c r="E17" s="62">
        <f>C17*D17</f>
        <v>1004170.2127659576</v>
      </c>
      <c r="F17" s="33">
        <f>QUANTITÀ!C17</f>
        <v>2231.489361702128</v>
      </c>
      <c r="G17" s="59">
        <f>PREZZI!C14</f>
        <v>500</v>
      </c>
      <c r="H17" s="62">
        <f>F17*G17</f>
        <v>1115744.6808510639</v>
      </c>
      <c r="I17" s="34">
        <f>QUANTITÀ!D17</f>
        <v>2566.2127659574471</v>
      </c>
      <c r="J17" s="59">
        <f>PREZZI!D14</f>
        <v>500</v>
      </c>
      <c r="K17" s="62">
        <f>I17*J17</f>
        <v>1283106.3829787236</v>
      </c>
      <c r="L17" s="34">
        <f>QUANTITÀ!E17</f>
        <v>2343.0638297872342</v>
      </c>
      <c r="M17" s="59">
        <f>PREZZI!E14</f>
        <v>500</v>
      </c>
      <c r="N17" s="62">
        <f>L17*M17</f>
        <v>1171531.9148936172</v>
      </c>
      <c r="O17" s="34">
        <f>QUANTITÀ!F17</f>
        <v>2343.0638297872342</v>
      </c>
      <c r="P17" s="59">
        <f>PREZZI!F14</f>
        <v>500</v>
      </c>
      <c r="Q17" s="62">
        <f>O17*P17</f>
        <v>1171531.9148936172</v>
      </c>
      <c r="R17" s="33">
        <f>QUANTITÀ!G17</f>
        <v>2454.6382978723404</v>
      </c>
      <c r="S17" s="59">
        <f>PREZZI!G14</f>
        <v>500</v>
      </c>
      <c r="T17" s="62">
        <f>R17*S17</f>
        <v>1227319.1489361702</v>
      </c>
      <c r="U17" s="35">
        <f>C17+F17+I17+L17+O17+R17</f>
        <v>13946.808510638297</v>
      </c>
      <c r="V17" s="64">
        <f t="shared" si="1"/>
        <v>500.00000000000006</v>
      </c>
      <c r="W17" s="67">
        <f>E17+H17+K17+N17+Q17+T17</f>
        <v>6973404.2553191492</v>
      </c>
      <c r="X17" s="36"/>
    </row>
    <row r="18" spans="2:111" ht="17" thickBot="1" x14ac:dyDescent="0.25">
      <c r="B18" s="37" t="s">
        <v>190</v>
      </c>
      <c r="C18" s="38">
        <f>SUM(C15:C17)</f>
        <v>3206.7160833768021</v>
      </c>
      <c r="D18" s="60">
        <f>E18/C18</f>
        <v>500</v>
      </c>
      <c r="E18" s="63">
        <f>SUM(E15:E17)</f>
        <v>1603358.041688401</v>
      </c>
      <c r="F18" s="39">
        <f>SUM(F15:F17)</f>
        <v>3563.0178704186692</v>
      </c>
      <c r="G18" s="60">
        <f>H18/F18</f>
        <v>499.99999999999994</v>
      </c>
      <c r="H18" s="63">
        <f>SUM(H15:H17)</f>
        <v>1781508.9352093344</v>
      </c>
      <c r="I18" s="40">
        <f>SUM(I15:I17)</f>
        <v>4097.4705509814694</v>
      </c>
      <c r="J18" s="60">
        <f>K18/I18</f>
        <v>500</v>
      </c>
      <c r="K18" s="63">
        <f>SUM(K15:K17)</f>
        <v>2048735.2754907347</v>
      </c>
      <c r="L18" s="40">
        <f>SUM(L15:L17)</f>
        <v>3741.1687639396023</v>
      </c>
      <c r="M18" s="60">
        <f>N18/L18</f>
        <v>500</v>
      </c>
      <c r="N18" s="63">
        <f>SUM(N15:N17)</f>
        <v>1870584.3819698012</v>
      </c>
      <c r="O18" s="40">
        <f>SUM(O15:O17)</f>
        <v>3741.1687639396023</v>
      </c>
      <c r="P18" s="60">
        <f>Q18/O18</f>
        <v>500</v>
      </c>
      <c r="Q18" s="63">
        <f>SUM(Q15:Q17)</f>
        <v>1870584.3819698012</v>
      </c>
      <c r="R18" s="39">
        <f>SUM(R15:R17)</f>
        <v>3919.3196574605354</v>
      </c>
      <c r="S18" s="60">
        <f>T18/R18</f>
        <v>499.99999999999994</v>
      </c>
      <c r="T18" s="63">
        <f>SUM(T15:T17)</f>
        <v>1959659.8287302675</v>
      </c>
      <c r="U18" s="38">
        <f>SUM(U15:U17)</f>
        <v>22268.861690116679</v>
      </c>
      <c r="V18" s="65">
        <f t="shared" si="1"/>
        <v>500.00000000000006</v>
      </c>
      <c r="W18" s="68">
        <f>SUM(W15:W17)</f>
        <v>11134430.845058341</v>
      </c>
      <c r="X18" s="41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</row>
    <row r="19" spans="2:111" x14ac:dyDescent="0.2">
      <c r="B19" s="17"/>
      <c r="C19" s="17"/>
      <c r="D19" s="59"/>
      <c r="E19" s="62"/>
      <c r="G19" s="59"/>
      <c r="H19" s="62"/>
      <c r="I19" s="28"/>
      <c r="J19" s="59"/>
      <c r="K19" s="62"/>
      <c r="L19" s="28"/>
      <c r="M19" s="59"/>
      <c r="N19" s="62"/>
      <c r="O19" s="28"/>
      <c r="P19" s="59"/>
      <c r="Q19" s="62"/>
      <c r="S19" s="59"/>
      <c r="T19" s="62"/>
      <c r="U19" s="29"/>
      <c r="V19" s="66"/>
      <c r="W19" s="67"/>
      <c r="X19" s="41"/>
      <c r="Y19" s="36"/>
      <c r="Z19" s="44"/>
      <c r="AA19" s="44"/>
    </row>
    <row r="20" spans="2:111" x14ac:dyDescent="0.2">
      <c r="B20" s="26"/>
      <c r="C20" s="17"/>
      <c r="D20" s="59"/>
      <c r="E20" s="62"/>
      <c r="G20" s="59"/>
      <c r="H20" s="62"/>
      <c r="I20" s="28"/>
      <c r="J20" s="59"/>
      <c r="K20" s="62"/>
      <c r="L20" s="28"/>
      <c r="M20" s="59"/>
      <c r="N20" s="62"/>
      <c r="O20" s="28"/>
      <c r="P20" s="59"/>
      <c r="Q20" s="62"/>
      <c r="S20" s="59"/>
      <c r="T20" s="62"/>
      <c r="U20" s="29"/>
      <c r="V20" s="66"/>
      <c r="W20" s="67"/>
      <c r="X20" s="41"/>
      <c r="Y20" s="36"/>
      <c r="Z20" s="44"/>
      <c r="AA20" s="44"/>
    </row>
    <row r="21" spans="2:111" x14ac:dyDescent="0.2">
      <c r="B21" s="17" t="s">
        <v>199</v>
      </c>
      <c r="C21" s="42">
        <f>C9+C15</f>
        <v>20061.69619799588</v>
      </c>
      <c r="D21" s="61">
        <f>E21/C21</f>
        <v>199.11504424778761</v>
      </c>
      <c r="E21" s="62">
        <f>E9+E15</f>
        <v>3994585.5261496222</v>
      </c>
      <c r="F21" s="42">
        <f>F9+F15</f>
        <v>22290.773553328752</v>
      </c>
      <c r="G21" s="61">
        <f>H21/F21</f>
        <v>199.11504424778761</v>
      </c>
      <c r="H21" s="62">
        <f>H9+H15</f>
        <v>4438428.3623884683</v>
      </c>
      <c r="I21" s="42">
        <f>I9+I15</f>
        <v>25634.389586328067</v>
      </c>
      <c r="J21" s="61">
        <f>K21/I21</f>
        <v>199.11504424778764</v>
      </c>
      <c r="K21" s="62">
        <f>K9+K15</f>
        <v>5104192.6167467395</v>
      </c>
      <c r="L21" s="42">
        <f>L9+L15</f>
        <v>23405.31223099519</v>
      </c>
      <c r="M21" s="61">
        <f>N21/L21</f>
        <v>199.11504424778764</v>
      </c>
      <c r="N21" s="62">
        <f>N9+N15</f>
        <v>4660349.7805078924</v>
      </c>
      <c r="O21" s="42">
        <f>O9+O15</f>
        <v>23405.31223099519</v>
      </c>
      <c r="P21" s="61">
        <f>Q21/O21</f>
        <v>199.11504424778764</v>
      </c>
      <c r="Q21" s="62">
        <f>Q9+Q15</f>
        <v>4660349.7805078924</v>
      </c>
      <c r="R21" s="42">
        <f>R9+R15</f>
        <v>24519.850908661629</v>
      </c>
      <c r="S21" s="61">
        <f>T21/R21</f>
        <v>199.11504424778761</v>
      </c>
      <c r="T21" s="62">
        <f>T9+T15</f>
        <v>4882271.1986273155</v>
      </c>
      <c r="U21" s="35">
        <f>C21+F21+I21+L21+O21+R21</f>
        <v>139317.3347083047</v>
      </c>
      <c r="V21" s="64">
        <f>IFERROR(W21/U21,0)</f>
        <v>199.11504424778764</v>
      </c>
      <c r="W21" s="67">
        <f>E21+H21+K21+N21+Q21+T21</f>
        <v>27740177.264927931</v>
      </c>
      <c r="X21" s="41"/>
      <c r="Y21" s="36"/>
      <c r="Z21" s="44"/>
      <c r="AA21" s="44"/>
    </row>
    <row r="22" spans="2:111" x14ac:dyDescent="0.2">
      <c r="B22" s="17" t="s">
        <v>200</v>
      </c>
      <c r="C22" s="42">
        <f t="shared" ref="C22:C23" si="2">C10+C16</f>
        <v>33131.005957446803</v>
      </c>
      <c r="D22" s="61">
        <f>E22/C22</f>
        <v>180</v>
      </c>
      <c r="E22" s="62">
        <f t="shared" ref="E22:F23" si="3">E10+E16</f>
        <v>5963581.0723404242</v>
      </c>
      <c r="F22" s="42">
        <f t="shared" si="3"/>
        <v>36812.228841607561</v>
      </c>
      <c r="G22" s="61">
        <f>H22/F22</f>
        <v>180</v>
      </c>
      <c r="H22" s="62">
        <f t="shared" ref="H22:I23" si="4">H10+H16</f>
        <v>6626201.1914893612</v>
      </c>
      <c r="I22" s="42">
        <f t="shared" si="4"/>
        <v>42334.063167848697</v>
      </c>
      <c r="J22" s="61">
        <f>K22/I22</f>
        <v>180</v>
      </c>
      <c r="K22" s="62">
        <f t="shared" ref="K22:L23" si="5">K10+K16</f>
        <v>7620131.3702127654</v>
      </c>
      <c r="L22" s="42">
        <f t="shared" si="5"/>
        <v>38652.84028368794</v>
      </c>
      <c r="M22" s="61">
        <f>N22/L22</f>
        <v>180</v>
      </c>
      <c r="N22" s="62">
        <f t="shared" ref="N22:O23" si="6">N10+N16</f>
        <v>6957511.2510638293</v>
      </c>
      <c r="O22" s="42">
        <f t="shared" si="6"/>
        <v>38652.84028368794</v>
      </c>
      <c r="P22" s="61">
        <f>Q22/O22</f>
        <v>180</v>
      </c>
      <c r="Q22" s="62">
        <f t="shared" ref="Q22:R23" si="7">Q10+Q16</f>
        <v>6957511.2510638293</v>
      </c>
      <c r="R22" s="42">
        <f t="shared" si="7"/>
        <v>40493.451725768318</v>
      </c>
      <c r="S22" s="61">
        <f>T22/R22</f>
        <v>180</v>
      </c>
      <c r="T22" s="62">
        <f t="shared" ref="T22" si="8">T10+T16</f>
        <v>7288821.3106382973</v>
      </c>
      <c r="U22" s="35">
        <f>C22+F22+I22+L22+O22+R22</f>
        <v>230076.43026004726</v>
      </c>
      <c r="V22" s="64">
        <f t="shared" ref="V22:V24" si="9">IFERROR(W22/U22,0)</f>
        <v>180.00000000000006</v>
      </c>
      <c r="W22" s="67">
        <f>E22+H22+K22+N22+Q22+T22</f>
        <v>41413757.446808517</v>
      </c>
      <c r="X22" s="41"/>
      <c r="Y22" s="36"/>
      <c r="Z22" s="44"/>
      <c r="AA22" s="44"/>
    </row>
    <row r="23" spans="2:111" x14ac:dyDescent="0.2">
      <c r="B23" s="17" t="s">
        <v>201</v>
      </c>
      <c r="C23" s="42">
        <f t="shared" si="2"/>
        <v>2301.9574468085111</v>
      </c>
      <c r="D23" s="61">
        <f>E23/C23</f>
        <v>459.18367346938771</v>
      </c>
      <c r="E23" s="62">
        <f t="shared" si="3"/>
        <v>1057021.2765957448</v>
      </c>
      <c r="F23" s="42">
        <f t="shared" si="3"/>
        <v>2557.7304964539012</v>
      </c>
      <c r="G23" s="61">
        <f>H23/F23</f>
        <v>459.18367346938771</v>
      </c>
      <c r="H23" s="62">
        <f t="shared" ref="H23" si="10">H11+H17</f>
        <v>1174468.0851063831</v>
      </c>
      <c r="I23" s="42">
        <f t="shared" si="4"/>
        <v>2941.3900709219865</v>
      </c>
      <c r="J23" s="61">
        <f>K23/I23</f>
        <v>459.18367346938777</v>
      </c>
      <c r="K23" s="62">
        <f t="shared" ref="K23" si="11">K11+K17</f>
        <v>1350638.2978723408</v>
      </c>
      <c r="L23" s="42">
        <f t="shared" si="5"/>
        <v>2685.6170212765965</v>
      </c>
      <c r="M23" s="61">
        <f>N23/L23</f>
        <v>459.18367346938766</v>
      </c>
      <c r="N23" s="62">
        <f t="shared" ref="N23" si="12">N11+N17</f>
        <v>1233191.4893617022</v>
      </c>
      <c r="O23" s="42">
        <f t="shared" si="6"/>
        <v>2685.6170212765965</v>
      </c>
      <c r="P23" s="61">
        <f>Q23/O23</f>
        <v>459.18367346938766</v>
      </c>
      <c r="Q23" s="62">
        <f t="shared" ref="Q23" si="13">Q11+Q17</f>
        <v>1233191.4893617022</v>
      </c>
      <c r="R23" s="42">
        <f t="shared" si="7"/>
        <v>2813.5035460992913</v>
      </c>
      <c r="S23" s="61">
        <f>T23/R23</f>
        <v>459.18367346938771</v>
      </c>
      <c r="T23" s="62">
        <f t="shared" ref="T23" si="14">T11+T17</f>
        <v>1291914.8936170214</v>
      </c>
      <c r="U23" s="35">
        <f>C23+F23+I23+L23+O23+R23</f>
        <v>15985.815602836883</v>
      </c>
      <c r="V23" s="64">
        <f t="shared" si="9"/>
        <v>459.18367346938777</v>
      </c>
      <c r="W23" s="67">
        <f>E23+H23+K23+N23+Q23+T23</f>
        <v>7340425.5319148954</v>
      </c>
      <c r="X23" s="41"/>
      <c r="Y23" s="36"/>
      <c r="Z23" s="44"/>
      <c r="AA23" s="44"/>
    </row>
    <row r="24" spans="2:111" ht="17" thickBot="1" x14ac:dyDescent="0.25">
      <c r="B24" s="37" t="s">
        <v>3</v>
      </c>
      <c r="C24" s="38">
        <f>SUM(C21:C23)</f>
        <v>55494.659602251195</v>
      </c>
      <c r="D24" s="60">
        <f>E24/C24</f>
        <v>198.49095307612177</v>
      </c>
      <c r="E24" s="63">
        <f>SUM(E21:E23)</f>
        <v>11015187.875085792</v>
      </c>
      <c r="F24" s="38">
        <f>SUM(F21:F23)</f>
        <v>61660.732891390209</v>
      </c>
      <c r="G24" s="60">
        <f>H24/F24</f>
        <v>198.4909530761218</v>
      </c>
      <c r="H24" s="63">
        <f>SUM(H21:H23)</f>
        <v>12239097.638984215</v>
      </c>
      <c r="I24" s="38">
        <f>SUM(I21:I23)</f>
        <v>70909.842825098749</v>
      </c>
      <c r="J24" s="60">
        <f>K24/I24</f>
        <v>198.49095307612177</v>
      </c>
      <c r="K24" s="63">
        <f>SUM(K21:K23)</f>
        <v>14074962.284831846</v>
      </c>
      <c r="L24" s="38">
        <f>SUM(L21:L23)</f>
        <v>64743.76953595972</v>
      </c>
      <c r="M24" s="60">
        <f>N24/L24</f>
        <v>198.49095307612177</v>
      </c>
      <c r="N24" s="63">
        <f>SUM(N21:N23)</f>
        <v>12851052.520933423</v>
      </c>
      <c r="O24" s="38">
        <f>SUM(O21:O23)</f>
        <v>64743.76953595972</v>
      </c>
      <c r="P24" s="60">
        <f>Q24/O24</f>
        <v>198.49095307612177</v>
      </c>
      <c r="Q24" s="63">
        <f>SUM(Q21:Q23)</f>
        <v>12851052.520933423</v>
      </c>
      <c r="R24" s="38">
        <f>SUM(R21:R23)</f>
        <v>67826.806180529238</v>
      </c>
      <c r="S24" s="60">
        <f>T24/R24</f>
        <v>198.49095307612174</v>
      </c>
      <c r="T24" s="63">
        <f>SUM(T21:T23)</f>
        <v>13463007.402882634</v>
      </c>
      <c r="U24" s="38">
        <f>SUM(U21:U23)</f>
        <v>385379.58057118882</v>
      </c>
      <c r="V24" s="65">
        <f t="shared" si="9"/>
        <v>198.49095307612177</v>
      </c>
      <c r="W24" s="68">
        <f>SUM(W21:W23)</f>
        <v>76494360.24365133</v>
      </c>
      <c r="X24" s="41"/>
      <c r="Y24" s="36"/>
      <c r="Z24" s="44"/>
      <c r="AA24" s="44"/>
    </row>
    <row r="25" spans="2:111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1"/>
      <c r="Y25" s="36"/>
      <c r="Z25" s="44"/>
      <c r="AA25" s="44"/>
    </row>
    <row r="26" spans="2:111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1"/>
      <c r="Y26" s="36"/>
      <c r="Z26" s="44"/>
      <c r="AA26" s="44"/>
    </row>
    <row r="27" spans="2:111" x14ac:dyDescent="0.2">
      <c r="W27" s="36"/>
    </row>
    <row r="28" spans="2:111" ht="17" thickBot="1" x14ac:dyDescent="0.25"/>
    <row r="29" spans="2:111" x14ac:dyDescent="0.2">
      <c r="B29" s="13"/>
      <c r="C29" s="1058" t="s">
        <v>196</v>
      </c>
      <c r="D29" s="1059"/>
      <c r="E29" s="1059"/>
      <c r="F29" s="1059"/>
      <c r="G29" s="1059"/>
      <c r="H29" s="1059"/>
      <c r="I29" s="1059"/>
      <c r="J29" s="1059"/>
      <c r="K29" s="1059"/>
      <c r="L29" s="1059"/>
      <c r="M29" s="1059"/>
      <c r="N29" s="1059"/>
      <c r="O29" s="1059"/>
      <c r="P29" s="1059"/>
      <c r="Q29" s="1059"/>
      <c r="R29" s="1059"/>
      <c r="S29" s="1059"/>
      <c r="T29" s="1059"/>
      <c r="U29" s="1059"/>
      <c r="V29" s="1059"/>
      <c r="W29" s="1060"/>
      <c r="X29" s="14"/>
      <c r="Y29" s="1069" t="s">
        <v>3</v>
      </c>
      <c r="Z29" s="1070"/>
      <c r="AA29" s="1071"/>
    </row>
    <row r="30" spans="2:111" x14ac:dyDescent="0.2">
      <c r="B30" s="15"/>
      <c r="C30" s="1075" t="s">
        <v>23</v>
      </c>
      <c r="D30" s="1047"/>
      <c r="E30" s="1048"/>
      <c r="F30" s="1066" t="s">
        <v>24</v>
      </c>
      <c r="G30" s="1067"/>
      <c r="H30" s="1068"/>
      <c r="I30" s="1066" t="s">
        <v>25</v>
      </c>
      <c r="J30" s="1067"/>
      <c r="K30" s="1068"/>
      <c r="L30" s="1066" t="s">
        <v>26</v>
      </c>
      <c r="M30" s="1067"/>
      <c r="N30" s="1068"/>
      <c r="O30" s="1066" t="s">
        <v>27</v>
      </c>
      <c r="P30" s="1067"/>
      <c r="Q30" s="1068"/>
      <c r="R30" s="1066" t="s">
        <v>28</v>
      </c>
      <c r="S30" s="1067"/>
      <c r="T30" s="1068"/>
      <c r="U30" s="1063" t="s">
        <v>275</v>
      </c>
      <c r="V30" s="1064"/>
      <c r="W30" s="1065"/>
      <c r="X30" s="16"/>
      <c r="Y30" s="1072"/>
      <c r="Z30" s="1073"/>
      <c r="AA30" s="1074"/>
    </row>
    <row r="31" spans="2:111" x14ac:dyDescent="0.2">
      <c r="B31" s="17"/>
      <c r="C31" s="18" t="s">
        <v>0</v>
      </c>
      <c r="D31" s="16" t="s">
        <v>9</v>
      </c>
      <c r="E31" s="19" t="s">
        <v>1</v>
      </c>
      <c r="F31" s="20" t="s">
        <v>0</v>
      </c>
      <c r="G31" s="20" t="s">
        <v>9</v>
      </c>
      <c r="H31" s="21" t="s">
        <v>1</v>
      </c>
      <c r="I31" s="22" t="s">
        <v>0</v>
      </c>
      <c r="J31" s="20" t="s">
        <v>9</v>
      </c>
      <c r="K31" s="21" t="s">
        <v>1</v>
      </c>
      <c r="L31" s="22" t="s">
        <v>0</v>
      </c>
      <c r="M31" s="20" t="s">
        <v>9</v>
      </c>
      <c r="N31" s="21" t="s">
        <v>1</v>
      </c>
      <c r="O31" s="22" t="s">
        <v>0</v>
      </c>
      <c r="P31" s="20" t="s">
        <v>9</v>
      </c>
      <c r="Q31" s="21" t="s">
        <v>1</v>
      </c>
      <c r="R31" s="22" t="s">
        <v>0</v>
      </c>
      <c r="S31" s="20" t="s">
        <v>9</v>
      </c>
      <c r="T31" s="23" t="s">
        <v>1</v>
      </c>
      <c r="U31" s="24" t="s">
        <v>0</v>
      </c>
      <c r="V31" s="24" t="s">
        <v>9</v>
      </c>
      <c r="W31" s="25" t="s">
        <v>1</v>
      </c>
      <c r="X31" s="16"/>
      <c r="Y31" s="47" t="s">
        <v>0</v>
      </c>
      <c r="Z31" s="24" t="s">
        <v>9</v>
      </c>
      <c r="AA31" s="25" t="s">
        <v>1</v>
      </c>
    </row>
    <row r="32" spans="2:111" x14ac:dyDescent="0.2">
      <c r="B32" s="26"/>
      <c r="C32" s="17"/>
      <c r="E32" s="27"/>
      <c r="H32" s="27"/>
      <c r="I32" s="28"/>
      <c r="K32" s="27"/>
      <c r="L32" s="28"/>
      <c r="N32" s="27"/>
      <c r="O32" s="28"/>
      <c r="Q32" s="27"/>
      <c r="U32" s="29"/>
      <c r="V32" s="30"/>
      <c r="W32" s="31"/>
      <c r="Y32" s="29"/>
      <c r="Z32" s="30"/>
      <c r="AA32" s="31"/>
    </row>
    <row r="33" spans="2:32" x14ac:dyDescent="0.2">
      <c r="B33" s="17" t="s">
        <v>199</v>
      </c>
      <c r="C33" s="32">
        <f>QUANTITÀ!H8</f>
        <v>23055.169549073435</v>
      </c>
      <c r="D33" s="59">
        <f>PREZZI!H5</f>
        <v>180</v>
      </c>
      <c r="E33" s="62">
        <f>C33*D33</f>
        <v>4149930.5188332181</v>
      </c>
      <c r="F33" s="33">
        <f>QUANTITÀ!I8</f>
        <v>12575.547026767326</v>
      </c>
      <c r="G33" s="59">
        <f>PREZZI!I5</f>
        <v>180</v>
      </c>
      <c r="H33" s="62">
        <f>F33*G33</f>
        <v>2263598.4648181186</v>
      </c>
      <c r="I33" s="34">
        <f>QUANTITÀ!J8</f>
        <v>23055.169549073435</v>
      </c>
      <c r="J33" s="59">
        <f>PREZZI!J5</f>
        <v>180</v>
      </c>
      <c r="K33" s="62">
        <f>I33*J33</f>
        <v>4149930.5188332181</v>
      </c>
      <c r="L33" s="34">
        <f>QUANTITÀ!K8</f>
        <v>22007.207296842822</v>
      </c>
      <c r="M33" s="59">
        <f>PREZZI!K5</f>
        <v>180</v>
      </c>
      <c r="N33" s="62">
        <f>L33*M33</f>
        <v>3961297.3134317081</v>
      </c>
      <c r="O33" s="34">
        <f>QUANTITÀ!L8</f>
        <v>22007.207296842822</v>
      </c>
      <c r="P33" s="59">
        <f>PREZZI!L5</f>
        <v>180</v>
      </c>
      <c r="Q33" s="62">
        <f>O33*P33</f>
        <v>3961297.3134317081</v>
      </c>
      <c r="R33" s="33">
        <f>QUANTITÀ!M8</f>
        <v>12575.547026767326</v>
      </c>
      <c r="S33" s="59">
        <f>PREZZI!M5</f>
        <v>180</v>
      </c>
      <c r="T33" s="62">
        <f>R33*S33</f>
        <v>2263598.4648181186</v>
      </c>
      <c r="U33" s="35">
        <f>C33+F33+I33+L33+O33+R33</f>
        <v>115275.84774536717</v>
      </c>
      <c r="V33" s="64">
        <f>IFERROR(W33/U33,0)</f>
        <v>180.00000000000003</v>
      </c>
      <c r="W33" s="67">
        <f>E33+H33+K33+N33+Q33+T33</f>
        <v>20749652.594166093</v>
      </c>
      <c r="X33" s="36"/>
      <c r="Y33" s="35">
        <f>U9+U33</f>
        <v>246271.12927419349</v>
      </c>
      <c r="Z33" s="64">
        <f>IFERROR(AA33/Y33,0)</f>
        <v>180.00000000000003</v>
      </c>
      <c r="AA33" s="67">
        <f>W9+W33</f>
        <v>44328803.269354835</v>
      </c>
    </row>
    <row r="34" spans="2:32" x14ac:dyDescent="0.2">
      <c r="B34" s="17" t="s">
        <v>200</v>
      </c>
      <c r="C34" s="32">
        <f>QUANTITÀ!H9</f>
        <v>40493.451725768318</v>
      </c>
      <c r="D34" s="59">
        <f>PREZZI!H6</f>
        <v>180</v>
      </c>
      <c r="E34" s="62">
        <f>C34*D34</f>
        <v>7288821.3106382973</v>
      </c>
      <c r="F34" s="33">
        <f>QUANTITÀ!I9</f>
        <v>22087.337304964538</v>
      </c>
      <c r="G34" s="59">
        <f>PREZZI!I6</f>
        <v>180</v>
      </c>
      <c r="H34" s="62">
        <f>F34*G34</f>
        <v>3975720.7148936167</v>
      </c>
      <c r="I34" s="34">
        <f>QUANTITÀ!J9</f>
        <v>40493.451725768318</v>
      </c>
      <c r="J34" s="59">
        <f>PREZZI!J6</f>
        <v>180</v>
      </c>
      <c r="K34" s="62">
        <f>I34*J34</f>
        <v>7288821.3106382973</v>
      </c>
      <c r="L34" s="34">
        <f>QUANTITÀ!K9</f>
        <v>38652.84028368794</v>
      </c>
      <c r="M34" s="59">
        <f>PREZZI!K6</f>
        <v>180</v>
      </c>
      <c r="N34" s="62">
        <f>L34*M34</f>
        <v>6957511.2510638293</v>
      </c>
      <c r="O34" s="34">
        <f>QUANTITÀ!L9</f>
        <v>38652.84028368794</v>
      </c>
      <c r="P34" s="59">
        <f>PREZZI!L6</f>
        <v>180</v>
      </c>
      <c r="Q34" s="62">
        <f>O34*P34</f>
        <v>6957511.2510638293</v>
      </c>
      <c r="R34" s="33">
        <f>QUANTITÀ!M9</f>
        <v>22087.337304964538</v>
      </c>
      <c r="S34" s="59">
        <f>PREZZI!M6</f>
        <v>180</v>
      </c>
      <c r="T34" s="62">
        <f>R34*S34</f>
        <v>3975720.7148936167</v>
      </c>
      <c r="U34" s="35">
        <f>C34+F34+I34+L34+O34+R34</f>
        <v>202467.25862884161</v>
      </c>
      <c r="V34" s="64">
        <f t="shared" ref="V34:V36" si="15">IFERROR(W34/U34,0)</f>
        <v>180</v>
      </c>
      <c r="W34" s="67">
        <f>E34+H34+K34+N34+Q34+T34</f>
        <v>36444106.55319149</v>
      </c>
      <c r="X34" s="36"/>
      <c r="Y34" s="35">
        <f>U10+U34</f>
        <v>432543.68888888886</v>
      </c>
      <c r="Z34" s="64">
        <f t="shared" ref="Z34:Z36" si="16">IFERROR(AA34/Y34,0)</f>
        <v>180</v>
      </c>
      <c r="AA34" s="67">
        <f>W10+W34</f>
        <v>77857864</v>
      </c>
    </row>
    <row r="35" spans="2:32" x14ac:dyDescent="0.2">
      <c r="B35" s="17" t="s">
        <v>201</v>
      </c>
      <c r="C35" s="32">
        <f>QUANTITÀ!H10</f>
        <v>358.86524822695065</v>
      </c>
      <c r="D35" s="59">
        <f>PREZZI!H7</f>
        <v>180</v>
      </c>
      <c r="E35" s="62">
        <f>C35*D35</f>
        <v>64595.744680851116</v>
      </c>
      <c r="F35" s="33">
        <f>QUANTITÀ!I10</f>
        <v>195.744680851064</v>
      </c>
      <c r="G35" s="59">
        <f>PREZZI!I7</f>
        <v>180</v>
      </c>
      <c r="H35" s="62">
        <f>F35*G35</f>
        <v>35234.042553191524</v>
      </c>
      <c r="I35" s="34">
        <f>QUANTITÀ!J10</f>
        <v>358.86524822695065</v>
      </c>
      <c r="J35" s="59">
        <f>PREZZI!J7</f>
        <v>180</v>
      </c>
      <c r="K35" s="62">
        <f>I35*J35</f>
        <v>64595.744680851116</v>
      </c>
      <c r="L35" s="34">
        <f>QUANTITÀ!K10</f>
        <v>342.55319148936201</v>
      </c>
      <c r="M35" s="59">
        <f>PREZZI!K7</f>
        <v>180</v>
      </c>
      <c r="N35" s="62">
        <f>L35*M35</f>
        <v>61659.574468085164</v>
      </c>
      <c r="O35" s="34">
        <f>QUANTITÀ!L10</f>
        <v>342.55319148936201</v>
      </c>
      <c r="P35" s="59">
        <f>PREZZI!L7</f>
        <v>180</v>
      </c>
      <c r="Q35" s="62">
        <f>O35*P35</f>
        <v>61659.574468085164</v>
      </c>
      <c r="R35" s="33">
        <f>QUANTITÀ!M10</f>
        <v>195.744680851064</v>
      </c>
      <c r="S35" s="59">
        <f>PREZZI!M7</f>
        <v>180</v>
      </c>
      <c r="T35" s="62">
        <f>R35*S35</f>
        <v>35234.042553191524</v>
      </c>
      <c r="U35" s="35">
        <f>C35+F35+I35+L35+O35+R35</f>
        <v>1794.3262411347532</v>
      </c>
      <c r="V35" s="64">
        <f t="shared" si="15"/>
        <v>180.00000000000003</v>
      </c>
      <c r="W35" s="67">
        <f>E35+H35+K35+N35+Q35+T35</f>
        <v>322978.72340425564</v>
      </c>
      <c r="X35" s="36"/>
      <c r="Y35" s="35">
        <f>U11+U35</f>
        <v>3833.3333333333367</v>
      </c>
      <c r="Z35" s="64">
        <f t="shared" si="16"/>
        <v>180.00000000000003</v>
      </c>
      <c r="AA35" s="67">
        <f>W11+W35</f>
        <v>690000.0000000007</v>
      </c>
    </row>
    <row r="36" spans="2:32" ht="17" thickBot="1" x14ac:dyDescent="0.25">
      <c r="B36" s="37" t="s">
        <v>189</v>
      </c>
      <c r="C36" s="38">
        <f>SUM(C33:C35)</f>
        <v>63907.486523068706</v>
      </c>
      <c r="D36" s="60">
        <f>E36/C36</f>
        <v>180</v>
      </c>
      <c r="E36" s="63">
        <f>SUM(E33:E35)</f>
        <v>11503347.574152367</v>
      </c>
      <c r="F36" s="39">
        <f>SUM(F33:F35)</f>
        <v>34858.629012582933</v>
      </c>
      <c r="G36" s="60">
        <f>H36/F36</f>
        <v>179.99999999999994</v>
      </c>
      <c r="H36" s="63">
        <f>SUM(H33:H35)</f>
        <v>6274553.2222649259</v>
      </c>
      <c r="I36" s="40">
        <f>SUM(I33:I35)</f>
        <v>63907.486523068706</v>
      </c>
      <c r="J36" s="60">
        <f>K36/I36</f>
        <v>180</v>
      </c>
      <c r="K36" s="63">
        <f>SUM(K33:K35)</f>
        <v>11503347.574152367</v>
      </c>
      <c r="L36" s="40">
        <f>SUM(L33:L35)</f>
        <v>61002.600772020131</v>
      </c>
      <c r="M36" s="60">
        <f>N36/L36</f>
        <v>180</v>
      </c>
      <c r="N36" s="63">
        <f>SUM(N33:N35)</f>
        <v>10980468.138963623</v>
      </c>
      <c r="O36" s="40">
        <f>SUM(O33:O35)</f>
        <v>61002.600772020131</v>
      </c>
      <c r="P36" s="60">
        <f>Q36/O36</f>
        <v>180</v>
      </c>
      <c r="Q36" s="63">
        <f>SUM(Q33:Q35)</f>
        <v>10980468.138963623</v>
      </c>
      <c r="R36" s="39">
        <f>SUM(R33:R35)</f>
        <v>34858.629012582933</v>
      </c>
      <c r="S36" s="60">
        <f>T36/R36</f>
        <v>179.99999999999994</v>
      </c>
      <c r="T36" s="63">
        <f>SUM(T33:T35)</f>
        <v>6274553.2222649259</v>
      </c>
      <c r="U36" s="38">
        <f>SUM(U33:U35)</f>
        <v>319537.43261534348</v>
      </c>
      <c r="V36" s="65">
        <f t="shared" si="15"/>
        <v>180.00000000000006</v>
      </c>
      <c r="W36" s="68">
        <f>SUM(W33:W35)</f>
        <v>57516737.870761842</v>
      </c>
      <c r="X36" s="41"/>
      <c r="Y36" s="38">
        <f>SUM(Y33:Y35)</f>
        <v>682648.15149641572</v>
      </c>
      <c r="Z36" s="65">
        <f t="shared" si="16"/>
        <v>180</v>
      </c>
      <c r="AA36" s="68">
        <f>SUM(AA33:AA35)</f>
        <v>122876667.26935484</v>
      </c>
      <c r="AC36" s="48"/>
      <c r="AD36" s="48"/>
      <c r="AE36" s="48"/>
      <c r="AF36" s="43"/>
    </row>
    <row r="37" spans="2:32" x14ac:dyDescent="0.2">
      <c r="B37" s="17"/>
      <c r="C37" s="17"/>
      <c r="D37" s="59"/>
      <c r="E37" s="62"/>
      <c r="G37" s="59"/>
      <c r="H37" s="62"/>
      <c r="I37" s="28"/>
      <c r="J37" s="59"/>
      <c r="K37" s="62"/>
      <c r="L37" s="28"/>
      <c r="M37" s="59"/>
      <c r="N37" s="62"/>
      <c r="O37" s="28"/>
      <c r="P37" s="59"/>
      <c r="Q37" s="62"/>
      <c r="S37" s="59"/>
      <c r="T37" s="62"/>
      <c r="U37" s="29"/>
      <c r="V37" s="66"/>
      <c r="W37" s="67"/>
      <c r="Y37" s="29"/>
      <c r="Z37" s="66"/>
      <c r="AA37" s="67"/>
      <c r="AC37" s="48"/>
      <c r="AD37" s="48"/>
      <c r="AE37" s="48"/>
    </row>
    <row r="38" spans="2:32" x14ac:dyDescent="0.2">
      <c r="B38" s="26"/>
      <c r="C38" s="17"/>
      <c r="D38" s="59"/>
      <c r="E38" s="62"/>
      <c r="G38" s="59"/>
      <c r="H38" s="62"/>
      <c r="I38" s="28"/>
      <c r="J38" s="59"/>
      <c r="K38" s="62"/>
      <c r="L38" s="28"/>
      <c r="M38" s="59"/>
      <c r="N38" s="62"/>
      <c r="O38" s="28"/>
      <c r="P38" s="59"/>
      <c r="Q38" s="62"/>
      <c r="S38" s="59"/>
      <c r="T38" s="62"/>
      <c r="U38" s="29"/>
      <c r="V38" s="66"/>
      <c r="W38" s="67"/>
      <c r="Y38" s="29"/>
      <c r="Z38" s="66"/>
      <c r="AA38" s="67"/>
      <c r="AC38" s="48"/>
      <c r="AD38" s="48"/>
      <c r="AE38" s="48"/>
    </row>
    <row r="39" spans="2:32" x14ac:dyDescent="0.2">
      <c r="B39" s="17" t="s">
        <v>199</v>
      </c>
      <c r="C39" s="32">
        <f>QUANTITÀ!H15</f>
        <v>1464.6813595881949</v>
      </c>
      <c r="D39" s="59">
        <f>PREZZI!H12</f>
        <v>500</v>
      </c>
      <c r="E39" s="62">
        <f>C39*D39</f>
        <v>732340.67979409744</v>
      </c>
      <c r="F39" s="33">
        <f>QUANTITÀ!I15</f>
        <v>798.91710522992457</v>
      </c>
      <c r="G39" s="59">
        <f>PREZZI!I12</f>
        <v>500</v>
      </c>
      <c r="H39" s="62">
        <f>F39*G39</f>
        <v>399458.55261496227</v>
      </c>
      <c r="I39" s="34">
        <f>QUANTITÀ!J15</f>
        <v>1464.6813595881949</v>
      </c>
      <c r="J39" s="59">
        <f>PREZZI!J12</f>
        <v>500</v>
      </c>
      <c r="K39" s="62">
        <f>I39*J39</f>
        <v>732340.67979409744</v>
      </c>
      <c r="L39" s="34">
        <f>QUANTITÀ!K15</f>
        <v>1398.1049341523681</v>
      </c>
      <c r="M39" s="59">
        <f>PREZZI!K12</f>
        <v>500</v>
      </c>
      <c r="N39" s="62">
        <f>L39*M39</f>
        <v>699052.467076184</v>
      </c>
      <c r="O39" s="34">
        <f>QUANTITÀ!L15</f>
        <v>1398.1049341523681</v>
      </c>
      <c r="P39" s="59">
        <f>PREZZI!L12</f>
        <v>500</v>
      </c>
      <c r="Q39" s="62">
        <f>O39*P39</f>
        <v>699052.467076184</v>
      </c>
      <c r="R39" s="33">
        <f>QUANTITÀ!M15</f>
        <v>798.91710522992457</v>
      </c>
      <c r="S39" s="59">
        <f>PREZZI!M12</f>
        <v>500</v>
      </c>
      <c r="T39" s="62">
        <f>R39*S39</f>
        <v>399458.55261496227</v>
      </c>
      <c r="U39" s="35">
        <f>C39+F39+I39+L39+O39+R39</f>
        <v>7323.4067979409756</v>
      </c>
      <c r="V39" s="64">
        <f>IFERROR(W39/U39,0)</f>
        <v>500</v>
      </c>
      <c r="W39" s="67">
        <f>E39+H39+K39+N39+Q39+T39</f>
        <v>3661703.398970488</v>
      </c>
      <c r="X39" s="36"/>
      <c r="Y39" s="35">
        <f>U15+U39</f>
        <v>15645.459977419358</v>
      </c>
      <c r="Z39" s="64">
        <f>IFERROR(AA39/Y39,0)</f>
        <v>500</v>
      </c>
      <c r="AA39" s="67">
        <f>W15+W39</f>
        <v>7822729.9887096789</v>
      </c>
      <c r="AC39" s="48"/>
      <c r="AD39" s="48"/>
      <c r="AE39" s="48"/>
    </row>
    <row r="40" spans="2:32" x14ac:dyDescent="0.2">
      <c r="B40" s="17" t="s">
        <v>200</v>
      </c>
      <c r="C40" s="32">
        <f>QUANTITÀ!H16</f>
        <v>0</v>
      </c>
      <c r="D40" s="59">
        <f>PREZZI!H13</f>
        <v>500</v>
      </c>
      <c r="E40" s="62">
        <f>C40*D40</f>
        <v>0</v>
      </c>
      <c r="F40" s="33">
        <f>QUANTITÀ!I16</f>
        <v>0</v>
      </c>
      <c r="G40" s="59">
        <f>PREZZI!I13</f>
        <v>500</v>
      </c>
      <c r="H40" s="62">
        <f>F40*G40</f>
        <v>0</v>
      </c>
      <c r="I40" s="34">
        <f>QUANTITÀ!J16</f>
        <v>0</v>
      </c>
      <c r="J40" s="59">
        <f>PREZZI!J13</f>
        <v>500</v>
      </c>
      <c r="K40" s="62">
        <f>I40*J40</f>
        <v>0</v>
      </c>
      <c r="L40" s="34">
        <f>QUANTITÀ!K16</f>
        <v>0</v>
      </c>
      <c r="M40" s="59">
        <f>PREZZI!K13</f>
        <v>500</v>
      </c>
      <c r="N40" s="62">
        <f>L40*M40</f>
        <v>0</v>
      </c>
      <c r="O40" s="34">
        <f>QUANTITÀ!L16</f>
        <v>0</v>
      </c>
      <c r="P40" s="59">
        <f>PREZZI!L13</f>
        <v>500</v>
      </c>
      <c r="Q40" s="62">
        <f>O40*P40</f>
        <v>0</v>
      </c>
      <c r="R40" s="33">
        <f>QUANTITÀ!M16</f>
        <v>0</v>
      </c>
      <c r="S40" s="59">
        <f>PREZZI!M13</f>
        <v>500</v>
      </c>
      <c r="T40" s="62">
        <f>R40*S40</f>
        <v>0</v>
      </c>
      <c r="U40" s="35">
        <f>C40+F40+I40+L40+O40+R40</f>
        <v>0</v>
      </c>
      <c r="V40" s="64">
        <f t="shared" ref="V40:V42" si="17">IFERROR(W40/U40,0)</f>
        <v>0</v>
      </c>
      <c r="W40" s="67">
        <f>E40+H40+K40+N40+Q40+T40</f>
        <v>0</v>
      </c>
      <c r="X40" s="36"/>
      <c r="Y40" s="35">
        <f>U16+U40</f>
        <v>0</v>
      </c>
      <c r="Z40" s="64">
        <f t="shared" ref="Z40:Z42" si="18">IFERROR(AA40/Y40,0)</f>
        <v>0</v>
      </c>
      <c r="AA40" s="67">
        <f>W16+W40</f>
        <v>0</v>
      </c>
      <c r="AC40" s="48"/>
      <c r="AD40" s="48"/>
      <c r="AE40" s="48"/>
    </row>
    <row r="41" spans="2:32" x14ac:dyDescent="0.2">
      <c r="B41" s="17" t="s">
        <v>201</v>
      </c>
      <c r="C41" s="32">
        <f>QUANTITÀ!H17</f>
        <v>2454.6382978723404</v>
      </c>
      <c r="D41" s="59">
        <f>PREZZI!H14</f>
        <v>500</v>
      </c>
      <c r="E41" s="62">
        <f>C41*D41</f>
        <v>1227319.1489361702</v>
      </c>
      <c r="F41" s="33">
        <f>QUANTITÀ!I17</f>
        <v>1338.8936170212767</v>
      </c>
      <c r="G41" s="59">
        <f>PREZZI!I14</f>
        <v>500</v>
      </c>
      <c r="H41" s="62">
        <f>F41*G41</f>
        <v>669446.80851063831</v>
      </c>
      <c r="I41" s="34">
        <f>QUANTITÀ!J17</f>
        <v>2454.6382978723404</v>
      </c>
      <c r="J41" s="59">
        <f>PREZZI!J14</f>
        <v>500</v>
      </c>
      <c r="K41" s="62">
        <f>I41*J41</f>
        <v>1227319.1489361702</v>
      </c>
      <c r="L41" s="34">
        <f>QUANTITÀ!K17</f>
        <v>2343.0638297872342</v>
      </c>
      <c r="M41" s="59">
        <f>PREZZI!K14</f>
        <v>500</v>
      </c>
      <c r="N41" s="62">
        <f>L41*M41</f>
        <v>1171531.9148936172</v>
      </c>
      <c r="O41" s="34">
        <f>QUANTITÀ!L17</f>
        <v>2343.0638297872342</v>
      </c>
      <c r="P41" s="59">
        <f>PREZZI!L14</f>
        <v>500</v>
      </c>
      <c r="Q41" s="62">
        <f>O41*P41</f>
        <v>1171531.9148936172</v>
      </c>
      <c r="R41" s="33">
        <f>QUANTITÀ!M17</f>
        <v>1338.8936170212767</v>
      </c>
      <c r="S41" s="59">
        <f>PREZZI!M14</f>
        <v>500</v>
      </c>
      <c r="T41" s="62">
        <f>R41*S41</f>
        <v>669446.80851063831</v>
      </c>
      <c r="U41" s="35">
        <f>C41+F41+I41+L41+O41+R41</f>
        <v>12273.191489361701</v>
      </c>
      <c r="V41" s="64">
        <f t="shared" si="17"/>
        <v>500.00000000000006</v>
      </c>
      <c r="W41" s="67">
        <f>E41+H41+K41+N41+Q41+T41</f>
        <v>6136595.7446808517</v>
      </c>
      <c r="X41" s="36"/>
      <c r="Y41" s="35">
        <f>U17+U41</f>
        <v>26220</v>
      </c>
      <c r="Z41" s="64">
        <f t="shared" si="18"/>
        <v>500</v>
      </c>
      <c r="AA41" s="67">
        <f>W17+W41</f>
        <v>13110000</v>
      </c>
      <c r="AC41" s="48"/>
      <c r="AD41" s="48"/>
      <c r="AE41" s="48"/>
    </row>
    <row r="42" spans="2:32" ht="17" thickBot="1" x14ac:dyDescent="0.25">
      <c r="B42" s="37" t="s">
        <v>190</v>
      </c>
      <c r="C42" s="38">
        <f>SUM(C39:C41)</f>
        <v>3919.3196574605354</v>
      </c>
      <c r="D42" s="60">
        <f>E42/C42</f>
        <v>499.99999999999994</v>
      </c>
      <c r="E42" s="63">
        <f>SUM(E39:E41)</f>
        <v>1959659.8287302675</v>
      </c>
      <c r="F42" s="39">
        <f>SUM(F39:F41)</f>
        <v>2137.8107222512012</v>
      </c>
      <c r="G42" s="60">
        <f>H42/F42</f>
        <v>499.99999999999994</v>
      </c>
      <c r="H42" s="63">
        <f>SUM(H39:H41)</f>
        <v>1068905.3611256005</v>
      </c>
      <c r="I42" s="40">
        <f>SUM(I39:I41)</f>
        <v>3919.3196574605354</v>
      </c>
      <c r="J42" s="60">
        <f>K42/I42</f>
        <v>499.99999999999994</v>
      </c>
      <c r="K42" s="63">
        <f>SUM(K39:K41)</f>
        <v>1959659.8287302675</v>
      </c>
      <c r="L42" s="40">
        <f>SUM(L39:L41)</f>
        <v>3741.1687639396023</v>
      </c>
      <c r="M42" s="60">
        <f>N42/L42</f>
        <v>500</v>
      </c>
      <c r="N42" s="63">
        <f>SUM(N39:N41)</f>
        <v>1870584.3819698012</v>
      </c>
      <c r="O42" s="40">
        <f>SUM(O39:O41)</f>
        <v>3741.1687639396023</v>
      </c>
      <c r="P42" s="60">
        <f>Q42/O42</f>
        <v>500</v>
      </c>
      <c r="Q42" s="63">
        <f>SUM(Q39:Q41)</f>
        <v>1870584.3819698012</v>
      </c>
      <c r="R42" s="39">
        <f>SUM(R39:R41)</f>
        <v>2137.8107222512012</v>
      </c>
      <c r="S42" s="60">
        <f>T42/R42</f>
        <v>499.99999999999994</v>
      </c>
      <c r="T42" s="63">
        <f>SUM(T39:T41)</f>
        <v>1068905.3611256005</v>
      </c>
      <c r="U42" s="38">
        <f>SUM(U39:U41)</f>
        <v>19596.598287302677</v>
      </c>
      <c r="V42" s="65">
        <f t="shared" si="17"/>
        <v>500.00000000000011</v>
      </c>
      <c r="W42" s="68">
        <f>SUM(W39:W41)</f>
        <v>9798299.1436513402</v>
      </c>
      <c r="X42" s="41"/>
      <c r="Y42" s="38">
        <f>SUM(Y39:Y41)</f>
        <v>41865.459977419356</v>
      </c>
      <c r="Z42" s="65">
        <f t="shared" si="18"/>
        <v>500.00000000000006</v>
      </c>
      <c r="AA42" s="68">
        <f>SUM(AA39:AA41)</f>
        <v>20932729.988709681</v>
      </c>
      <c r="AC42" s="48"/>
      <c r="AD42" s="48"/>
      <c r="AE42" s="48"/>
      <c r="AF42" s="43"/>
    </row>
    <row r="43" spans="2:32" x14ac:dyDescent="0.2">
      <c r="B43" s="17"/>
      <c r="C43" s="17"/>
      <c r="D43" s="59"/>
      <c r="E43" s="62"/>
      <c r="G43" s="59"/>
      <c r="H43" s="62"/>
      <c r="I43" s="28"/>
      <c r="J43" s="59"/>
      <c r="K43" s="62"/>
      <c r="L43" s="28"/>
      <c r="M43" s="59"/>
      <c r="N43" s="62"/>
      <c r="O43" s="28"/>
      <c r="P43" s="59"/>
      <c r="Q43" s="62"/>
      <c r="S43" s="59"/>
      <c r="T43" s="62"/>
      <c r="U43" s="29"/>
      <c r="V43" s="66"/>
      <c r="W43" s="67"/>
      <c r="Y43" s="29"/>
      <c r="Z43" s="66"/>
      <c r="AA43" s="67"/>
    </row>
    <row r="44" spans="2:32" x14ac:dyDescent="0.2">
      <c r="B44" s="26"/>
      <c r="C44" s="17"/>
      <c r="D44" s="59"/>
      <c r="E44" s="62"/>
      <c r="G44" s="59"/>
      <c r="H44" s="62"/>
      <c r="I44" s="28"/>
      <c r="J44" s="59"/>
      <c r="K44" s="62"/>
      <c r="L44" s="28"/>
      <c r="M44" s="59"/>
      <c r="N44" s="62"/>
      <c r="O44" s="28"/>
      <c r="P44" s="59"/>
      <c r="Q44" s="62"/>
      <c r="S44" s="59"/>
      <c r="T44" s="62"/>
      <c r="U44" s="29"/>
      <c r="V44" s="66"/>
      <c r="W44" s="67"/>
      <c r="Y44" s="29"/>
      <c r="Z44" s="66"/>
      <c r="AA44" s="67"/>
    </row>
    <row r="45" spans="2:32" x14ac:dyDescent="0.2">
      <c r="B45" s="17" t="s">
        <v>199</v>
      </c>
      <c r="C45" s="42">
        <f>C33+C39</f>
        <v>24519.850908661629</v>
      </c>
      <c r="D45" s="61">
        <f>E45/C45</f>
        <v>199.11504424778761</v>
      </c>
      <c r="E45" s="62">
        <f>E33+E39</f>
        <v>4882271.1986273155</v>
      </c>
      <c r="F45" s="42">
        <f>F33+F39</f>
        <v>13374.464131997251</v>
      </c>
      <c r="G45" s="61">
        <f>H45/F45</f>
        <v>199.11504424778761</v>
      </c>
      <c r="H45" s="62">
        <f>H33+H39</f>
        <v>2663057.0174330808</v>
      </c>
      <c r="I45" s="42">
        <f>I33+I39</f>
        <v>24519.850908661629</v>
      </c>
      <c r="J45" s="61">
        <f>K45/I45</f>
        <v>199.11504424778761</v>
      </c>
      <c r="K45" s="62">
        <f>K33+K39</f>
        <v>4882271.1986273155</v>
      </c>
      <c r="L45" s="42">
        <f>L33+L39</f>
        <v>23405.31223099519</v>
      </c>
      <c r="M45" s="61">
        <f>N45/L45</f>
        <v>199.11504424778764</v>
      </c>
      <c r="N45" s="62">
        <f>N33+N39</f>
        <v>4660349.7805078924</v>
      </c>
      <c r="O45" s="42">
        <f>O33+O39</f>
        <v>23405.31223099519</v>
      </c>
      <c r="P45" s="61">
        <f>Q45/O45</f>
        <v>199.11504424778764</v>
      </c>
      <c r="Q45" s="62">
        <f>Q33+Q39</f>
        <v>4660349.7805078924</v>
      </c>
      <c r="R45" s="42">
        <f>R33+R39</f>
        <v>13374.464131997251</v>
      </c>
      <c r="S45" s="61">
        <f>T45/R45</f>
        <v>199.11504424778761</v>
      </c>
      <c r="T45" s="62">
        <f>T33+T39</f>
        <v>2663057.0174330808</v>
      </c>
      <c r="U45" s="35">
        <f>C45+F45+I45+L45+O45+R45</f>
        <v>122599.25454330814</v>
      </c>
      <c r="V45" s="64">
        <f>IFERROR(W45/U45,0)</f>
        <v>199.11504424778761</v>
      </c>
      <c r="W45" s="67">
        <f>E45+H45+K45+N45+Q45+T45</f>
        <v>24411355.993136577</v>
      </c>
      <c r="Y45" s="35">
        <f>U21+U45</f>
        <v>261916.58925161284</v>
      </c>
      <c r="Z45" s="64">
        <f>IFERROR(AA45/Y45,0)</f>
        <v>199.11504424778764</v>
      </c>
      <c r="AA45" s="67">
        <f>W21+W45</f>
        <v>52151533.258064508</v>
      </c>
    </row>
    <row r="46" spans="2:32" x14ac:dyDescent="0.2">
      <c r="B46" s="17" t="s">
        <v>200</v>
      </c>
      <c r="C46" s="42">
        <f t="shared" ref="C46:C47" si="19">C34+C40</f>
        <v>40493.451725768318</v>
      </c>
      <c r="D46" s="61">
        <f>E46/C46</f>
        <v>180</v>
      </c>
      <c r="E46" s="62">
        <f t="shared" ref="E46:F47" si="20">E34+E40</f>
        <v>7288821.3106382973</v>
      </c>
      <c r="F46" s="42">
        <f t="shared" si="20"/>
        <v>22087.337304964538</v>
      </c>
      <c r="G46" s="61">
        <f>H46/F46</f>
        <v>180</v>
      </c>
      <c r="H46" s="62">
        <f t="shared" ref="H46:I47" si="21">H34+H40</f>
        <v>3975720.7148936167</v>
      </c>
      <c r="I46" s="42">
        <f t="shared" si="21"/>
        <v>40493.451725768318</v>
      </c>
      <c r="J46" s="61">
        <f>K46/I46</f>
        <v>180</v>
      </c>
      <c r="K46" s="62">
        <f t="shared" ref="K46:L47" si="22">K34+K40</f>
        <v>7288821.3106382973</v>
      </c>
      <c r="L46" s="42">
        <f t="shared" si="22"/>
        <v>38652.84028368794</v>
      </c>
      <c r="M46" s="61">
        <f>N46/L46</f>
        <v>180</v>
      </c>
      <c r="N46" s="62">
        <f t="shared" ref="N46:O47" si="23">N34+N40</f>
        <v>6957511.2510638293</v>
      </c>
      <c r="O46" s="42">
        <f t="shared" si="23"/>
        <v>38652.84028368794</v>
      </c>
      <c r="P46" s="61">
        <f>Q46/O46</f>
        <v>180</v>
      </c>
      <c r="Q46" s="62">
        <f t="shared" ref="Q46:R47" si="24">Q34+Q40</f>
        <v>6957511.2510638293</v>
      </c>
      <c r="R46" s="42">
        <f t="shared" si="24"/>
        <v>22087.337304964538</v>
      </c>
      <c r="S46" s="61">
        <f>T46/R46</f>
        <v>180</v>
      </c>
      <c r="T46" s="62">
        <f t="shared" ref="T46" si="25">T34+T40</f>
        <v>3975720.7148936167</v>
      </c>
      <c r="U46" s="35">
        <f>C46+F46+I46+L46+O46+R46</f>
        <v>202467.25862884161</v>
      </c>
      <c r="V46" s="64">
        <f t="shared" ref="V46:V48" si="26">IFERROR(W46/U46,0)</f>
        <v>180</v>
      </c>
      <c r="W46" s="67">
        <f>E46+H46+K46+N46+Q46+T46</f>
        <v>36444106.55319149</v>
      </c>
      <c r="Y46" s="35">
        <f>U22+U46</f>
        <v>432543.68888888886</v>
      </c>
      <c r="Z46" s="64">
        <f t="shared" ref="Z46:Z48" si="27">IFERROR(AA46/Y46,0)</f>
        <v>180</v>
      </c>
      <c r="AA46" s="67">
        <f>W22+W46</f>
        <v>77857864</v>
      </c>
    </row>
    <row r="47" spans="2:32" x14ac:dyDescent="0.2">
      <c r="B47" s="17" t="s">
        <v>201</v>
      </c>
      <c r="C47" s="42">
        <f t="shared" si="19"/>
        <v>2813.5035460992913</v>
      </c>
      <c r="D47" s="61">
        <f>E47/C47</f>
        <v>459.18367346938771</v>
      </c>
      <c r="E47" s="62">
        <f t="shared" ref="E47" si="28">E35+E41</f>
        <v>1291914.8936170214</v>
      </c>
      <c r="F47" s="42">
        <f t="shared" si="20"/>
        <v>1534.6382978723407</v>
      </c>
      <c r="G47" s="61">
        <f>H47/F47</f>
        <v>459.18367346938771</v>
      </c>
      <c r="H47" s="62">
        <f t="shared" ref="H47" si="29">H35+H41</f>
        <v>704680.85106382985</v>
      </c>
      <c r="I47" s="42">
        <f t="shared" si="21"/>
        <v>2813.5035460992913</v>
      </c>
      <c r="J47" s="61">
        <f>K47/I47</f>
        <v>459.18367346938771</v>
      </c>
      <c r="K47" s="62">
        <f t="shared" ref="K47" si="30">K35+K41</f>
        <v>1291914.8936170214</v>
      </c>
      <c r="L47" s="42">
        <f t="shared" si="22"/>
        <v>2685.6170212765965</v>
      </c>
      <c r="M47" s="61">
        <f>N47/L47</f>
        <v>459.18367346938766</v>
      </c>
      <c r="N47" s="62">
        <f t="shared" ref="N47" si="31">N35+N41</f>
        <v>1233191.4893617022</v>
      </c>
      <c r="O47" s="42">
        <f t="shared" si="23"/>
        <v>2685.6170212765965</v>
      </c>
      <c r="P47" s="61">
        <f>Q47/O47</f>
        <v>459.18367346938766</v>
      </c>
      <c r="Q47" s="62">
        <f t="shared" ref="Q47" si="32">Q35+Q41</f>
        <v>1233191.4893617022</v>
      </c>
      <c r="R47" s="42">
        <f t="shared" si="24"/>
        <v>1534.6382978723407</v>
      </c>
      <c r="S47" s="61">
        <f>T47/R47</f>
        <v>459.18367346938771</v>
      </c>
      <c r="T47" s="62">
        <f t="shared" ref="T47" si="33">T35+T41</f>
        <v>704680.85106382985</v>
      </c>
      <c r="U47" s="35">
        <f>C47+F47+I47+L47+O47+R47</f>
        <v>14067.517730496456</v>
      </c>
      <c r="V47" s="64">
        <f t="shared" si="26"/>
        <v>459.18367346938777</v>
      </c>
      <c r="W47" s="67">
        <f>E47+H47+K47+N47+Q47+T47</f>
        <v>6459574.4680851074</v>
      </c>
      <c r="Y47" s="35">
        <f>U23+U47</f>
        <v>30053.333333333339</v>
      </c>
      <c r="Z47" s="64">
        <f t="shared" si="27"/>
        <v>459.18367346938777</v>
      </c>
      <c r="AA47" s="67">
        <f>W23+W47</f>
        <v>13800000.000000004</v>
      </c>
    </row>
    <row r="48" spans="2:32" ht="17" thickBot="1" x14ac:dyDescent="0.25">
      <c r="B48" s="37" t="s">
        <v>3</v>
      </c>
      <c r="C48" s="38">
        <f>SUM(C45:C47)</f>
        <v>67826.806180529238</v>
      </c>
      <c r="D48" s="60">
        <f>E48/C48</f>
        <v>198.49095307612174</v>
      </c>
      <c r="E48" s="63">
        <f>SUM(E45:E47)</f>
        <v>13463007.402882634</v>
      </c>
      <c r="F48" s="38">
        <f>SUM(F45:F47)</f>
        <v>36996.43973483413</v>
      </c>
      <c r="G48" s="60">
        <f>H48/F48</f>
        <v>198.49095307612174</v>
      </c>
      <c r="H48" s="63">
        <f>SUM(H45:H47)</f>
        <v>7343458.5833905274</v>
      </c>
      <c r="I48" s="38">
        <f>SUM(I45:I47)</f>
        <v>67826.806180529238</v>
      </c>
      <c r="J48" s="60">
        <f>K48/I48</f>
        <v>198.49095307612174</v>
      </c>
      <c r="K48" s="63">
        <f>SUM(K45:K47)</f>
        <v>13463007.402882634</v>
      </c>
      <c r="L48" s="38">
        <f>SUM(L45:L47)</f>
        <v>64743.76953595972</v>
      </c>
      <c r="M48" s="60">
        <f>N48/L48</f>
        <v>198.49095307612177</v>
      </c>
      <c r="N48" s="63">
        <f>SUM(N45:N47)</f>
        <v>12851052.520933423</v>
      </c>
      <c r="O48" s="38">
        <f>SUM(O45:O47)</f>
        <v>64743.76953595972</v>
      </c>
      <c r="P48" s="60">
        <f>Q48/O48</f>
        <v>198.49095307612177</v>
      </c>
      <c r="Q48" s="63">
        <f>SUM(Q45:Q47)</f>
        <v>12851052.520933423</v>
      </c>
      <c r="R48" s="38">
        <f>SUM(R45:R47)</f>
        <v>36996.43973483413</v>
      </c>
      <c r="S48" s="60">
        <f>T48/R48</f>
        <v>198.49095307612174</v>
      </c>
      <c r="T48" s="63">
        <f>SUM(T45:T47)</f>
        <v>7343458.5833905274</v>
      </c>
      <c r="U48" s="38">
        <f>SUM(U45:U47)</f>
        <v>339134.03090264625</v>
      </c>
      <c r="V48" s="65">
        <f t="shared" si="26"/>
        <v>198.49095307612174</v>
      </c>
      <c r="W48" s="68">
        <f>SUM(W45:W47)</f>
        <v>67315037.014413178</v>
      </c>
      <c r="Y48" s="38">
        <f>SUM(Y45:Y47)</f>
        <v>724513.61147383507</v>
      </c>
      <c r="Z48" s="65">
        <f t="shared" si="27"/>
        <v>198.49095307612177</v>
      </c>
      <c r="AA48" s="68">
        <f>SUM(AA45:AA47)</f>
        <v>143809397.25806451</v>
      </c>
    </row>
    <row r="50" spans="27:27" x14ac:dyDescent="0.2">
      <c r="AA50" s="103">
        <f>AA48-'Tab 2'!N16</f>
        <v>0</v>
      </c>
    </row>
  </sheetData>
  <mergeCells count="17"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  <mergeCell ref="C5:W5"/>
    <mergeCell ref="C6:E6"/>
    <mergeCell ref="F6:H6"/>
    <mergeCell ref="I6:K6"/>
    <mergeCell ref="L6:N6"/>
    <mergeCell ref="O6:Q6"/>
    <mergeCell ref="R6:T6"/>
    <mergeCell ref="U6:W6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96EF-DCD9-3543-BC0F-D8B2B056A5D2}">
  <sheetPr codeName="Foglio39"/>
  <dimension ref="B2:P40"/>
  <sheetViews>
    <sheetView showGridLines="0" zoomScale="160" zoomScaleNormal="160" workbookViewId="0">
      <selection activeCell="E17" sqref="E17"/>
    </sheetView>
  </sheetViews>
  <sheetFormatPr baseColWidth="10" defaultRowHeight="16" x14ac:dyDescent="0.15"/>
  <cols>
    <col min="1" max="1" width="10.83203125" style="91"/>
    <col min="2" max="2" width="27.83203125" style="91" customWidth="1"/>
    <col min="3" max="3" width="13.6640625" style="91" bestFit="1" customWidth="1"/>
    <col min="4" max="4" width="7.1640625" style="722" customWidth="1"/>
    <col min="5" max="5" width="12.6640625" style="91" bestFit="1" customWidth="1"/>
    <col min="6" max="6" width="7.1640625" style="722" bestFit="1" customWidth="1"/>
    <col min="7" max="7" width="13.1640625" style="91" bestFit="1" customWidth="1"/>
    <col min="8" max="8" width="6.6640625" style="722" customWidth="1"/>
    <col min="9" max="9" width="7.1640625" style="91" customWidth="1"/>
    <col min="10" max="10" width="24" style="91" customWidth="1"/>
    <col min="11" max="11" width="13.1640625" style="91" bestFit="1" customWidth="1"/>
    <col min="12" max="12" width="10.83203125" style="91"/>
    <col min="13" max="13" width="12.1640625" style="91" bestFit="1" customWidth="1"/>
    <col min="14" max="14" width="10.83203125" style="91"/>
    <col min="15" max="15" width="12.6640625" style="91" customWidth="1"/>
    <col min="16" max="16384" width="10.83203125" style="91"/>
  </cols>
  <sheetData>
    <row r="2" spans="2:16" x14ac:dyDescent="0.15">
      <c r="B2" s="91" t="s">
        <v>1075</v>
      </c>
    </row>
    <row r="4" spans="2:16" x14ac:dyDescent="0.15">
      <c r="B4" s="736" t="s">
        <v>1057</v>
      </c>
      <c r="J4" s="736" t="s">
        <v>1058</v>
      </c>
    </row>
    <row r="6" spans="2:16" x14ac:dyDescent="0.15">
      <c r="C6" s="1107" t="s">
        <v>196</v>
      </c>
      <c r="D6" s="1108"/>
      <c r="E6" s="1108"/>
      <c r="F6" s="1108"/>
      <c r="G6" s="1108"/>
      <c r="H6" s="1109"/>
      <c r="K6" s="1107" t="s">
        <v>196</v>
      </c>
      <c r="L6" s="1108"/>
      <c r="M6" s="1108"/>
      <c r="N6" s="1108"/>
      <c r="O6" s="1108"/>
      <c r="P6" s="1109"/>
    </row>
    <row r="7" spans="2:16" x14ac:dyDescent="0.15">
      <c r="C7" s="723" t="s">
        <v>189</v>
      </c>
      <c r="D7" s="724" t="s">
        <v>997</v>
      </c>
      <c r="E7" s="723" t="s">
        <v>190</v>
      </c>
      <c r="F7" s="724" t="s">
        <v>997</v>
      </c>
      <c r="G7" s="723" t="s">
        <v>3</v>
      </c>
      <c r="H7" s="724" t="s">
        <v>997</v>
      </c>
      <c r="K7" s="723" t="s">
        <v>189</v>
      </c>
      <c r="L7" s="724" t="s">
        <v>997</v>
      </c>
      <c r="M7" s="723" t="s">
        <v>190</v>
      </c>
      <c r="N7" s="724" t="s">
        <v>997</v>
      </c>
      <c r="O7" s="723" t="s">
        <v>3</v>
      </c>
      <c r="P7" s="724" t="s">
        <v>997</v>
      </c>
    </row>
    <row r="8" spans="2:16" x14ac:dyDescent="0.15">
      <c r="B8" s="725" t="s">
        <v>40</v>
      </c>
      <c r="C8" s="726">
        <f>'Tab 2'!$N$14</f>
        <v>122876667.26935484</v>
      </c>
      <c r="D8" s="727">
        <f>C8/C$8</f>
        <v>1</v>
      </c>
      <c r="E8" s="726">
        <f>+'Tab 2'!$N$15</f>
        <v>20932729.988709681</v>
      </c>
      <c r="F8" s="727">
        <f>E8/E$8</f>
        <v>1</v>
      </c>
      <c r="G8" s="726">
        <f>+C8+E8</f>
        <v>143809397.25806451</v>
      </c>
      <c r="H8" s="727">
        <f>G8/G$8</f>
        <v>1</v>
      </c>
      <c r="J8" s="725" t="s">
        <v>40</v>
      </c>
      <c r="K8" s="726">
        <f>+C8</f>
        <v>122876667.26935484</v>
      </c>
      <c r="L8" s="727">
        <f>K8/K$11</f>
        <v>1.0170004554272725</v>
      </c>
      <c r="M8" s="726">
        <f>+E8</f>
        <v>20932729.988709681</v>
      </c>
      <c r="N8" s="727">
        <f>M8/M$11</f>
        <v>0.99753940870971913</v>
      </c>
      <c r="O8" s="726">
        <f>+K8+M8</f>
        <v>143809397.25806451</v>
      </c>
      <c r="P8" s="727">
        <f>O8/O$11</f>
        <v>1.0141206419393962</v>
      </c>
    </row>
    <row r="9" spans="2:16" x14ac:dyDescent="0.15">
      <c r="B9" s="728" t="s">
        <v>1037</v>
      </c>
      <c r="C9" s="735">
        <f>0.2%*C8</f>
        <v>245753.33453870966</v>
      </c>
      <c r="D9" s="727">
        <f t="shared" ref="D9" si="0">C9/C$8</f>
        <v>2E-3</v>
      </c>
      <c r="E9" s="735">
        <f>0.2%*E8</f>
        <v>41865.459977419363</v>
      </c>
      <c r="F9" s="727">
        <f t="shared" ref="F9" si="1">E9/E$8</f>
        <v>2E-3</v>
      </c>
      <c r="G9" s="726">
        <f>+C9+E9</f>
        <v>287618.79451612901</v>
      </c>
      <c r="H9" s="727">
        <f>G9/G$8</f>
        <v>2E-3</v>
      </c>
      <c r="J9" s="728" t="s">
        <v>1037</v>
      </c>
      <c r="K9" s="735">
        <f>0.2%*K8</f>
        <v>245753.33453870966</v>
      </c>
      <c r="L9" s="727">
        <f>K9/K$11</f>
        <v>2.0340009108545448E-3</v>
      </c>
      <c r="M9" s="735">
        <f>0.2%*M8</f>
        <v>41865.459977419363</v>
      </c>
      <c r="N9" s="727">
        <f>M9/M$11</f>
        <v>1.9950788174194381E-3</v>
      </c>
      <c r="O9" s="726">
        <f>+K9+M9</f>
        <v>287618.79451612901</v>
      </c>
      <c r="P9" s="727">
        <f>O9/O$11</f>
        <v>2.0282412838787925E-3</v>
      </c>
    </row>
    <row r="10" spans="2:16" x14ac:dyDescent="0.15">
      <c r="B10" s="728"/>
      <c r="C10" s="178"/>
      <c r="D10" s="727"/>
      <c r="E10" s="178"/>
      <c r="F10" s="727"/>
      <c r="G10" s="178"/>
      <c r="H10" s="727"/>
      <c r="J10" s="728" t="s">
        <v>1059</v>
      </c>
      <c r="K10" s="726">
        <f>'Tab. 23'!N12-'Tab. 23'!C9</f>
        <v>-1808286.3601503205</v>
      </c>
      <c r="L10" s="727">
        <f>K10/K$11</f>
        <v>-1.4966454516417781E-2</v>
      </c>
      <c r="M10" s="726">
        <f>'Tab. 23'!N18-'Tab. 23'!C15</f>
        <v>93499.403100170894</v>
      </c>
      <c r="N10" s="727">
        <f>M10/M$11</f>
        <v>4.4556701077003375E-3</v>
      </c>
      <c r="O10" s="726">
        <f>+K10+M10</f>
        <v>-1714786.9570501496</v>
      </c>
      <c r="P10" s="727">
        <f>O10/O$11</f>
        <v>-1.2092400655517539E-2</v>
      </c>
    </row>
    <row r="11" spans="2:16" x14ac:dyDescent="0.15">
      <c r="B11" s="729" t="s">
        <v>1039</v>
      </c>
      <c r="C11" s="730">
        <f>+C8-C9</f>
        <v>122630913.93481612</v>
      </c>
      <c r="D11" s="731">
        <f t="shared" ref="D11:D19" si="2">C11/C$8</f>
        <v>0.998</v>
      </c>
      <c r="E11" s="730">
        <f>+E8-E9</f>
        <v>20890864.528732263</v>
      </c>
      <c r="F11" s="731">
        <f t="shared" ref="F11:F19" si="3">E11/E$8</f>
        <v>0.99800000000000011</v>
      </c>
      <c r="G11" s="730">
        <f>+G8-G9</f>
        <v>143521778.46354839</v>
      </c>
      <c r="H11" s="731">
        <f>G11/G$8</f>
        <v>0.99800000000000011</v>
      </c>
      <c r="J11" s="729" t="s">
        <v>1065</v>
      </c>
      <c r="K11" s="730">
        <f>+K8-K9+K10</f>
        <v>120822627.5746658</v>
      </c>
      <c r="L11" s="731">
        <f>K11/K$11</f>
        <v>1</v>
      </c>
      <c r="M11" s="730">
        <f>+M8-M9+M10</f>
        <v>20984363.931832433</v>
      </c>
      <c r="N11" s="731">
        <f>M11/M$11</f>
        <v>1</v>
      </c>
      <c r="O11" s="730">
        <f>+O8-O9+O10</f>
        <v>141806991.50649825</v>
      </c>
      <c r="P11" s="731">
        <f>O11/O$11</f>
        <v>1</v>
      </c>
    </row>
    <row r="12" spans="2:16" x14ac:dyDescent="0.15">
      <c r="B12" s="178"/>
      <c r="C12" s="178"/>
      <c r="D12" s="727"/>
      <c r="E12" s="178"/>
      <c r="F12" s="727"/>
      <c r="G12" s="178"/>
      <c r="H12" s="727"/>
      <c r="J12" s="178"/>
      <c r="K12" s="178"/>
      <c r="L12" s="727"/>
      <c r="M12" s="178"/>
      <c r="N12" s="727"/>
      <c r="O12" s="178"/>
      <c r="P12" s="727"/>
    </row>
    <row r="13" spans="2:16" x14ac:dyDescent="0.15">
      <c r="B13" s="178" t="s">
        <v>1032</v>
      </c>
      <c r="C13" s="726">
        <f>'Tab. 14'!$C$10*'Tab 2'!$L$14</f>
        <v>74515334.993824854</v>
      </c>
      <c r="D13" s="727">
        <f t="shared" si="2"/>
        <v>0.60642379590652207</v>
      </c>
      <c r="E13" s="726">
        <f>'Tab. 14'!$C$14*'Tab 2'!$L$15</f>
        <v>7941381.5933713159</v>
      </c>
      <c r="F13" s="727">
        <f t="shared" si="3"/>
        <v>0.37937629719843496</v>
      </c>
      <c r="G13" s="726">
        <f>+C13+E13</f>
        <v>82456716.587196171</v>
      </c>
      <c r="H13" s="727">
        <f>G13/G$8</f>
        <v>0.57337502388128658</v>
      </c>
      <c r="J13" s="178" t="s">
        <v>1066</v>
      </c>
      <c r="K13" s="726">
        <f>'Tab. 23'!O11</f>
        <v>72707048.633674532</v>
      </c>
      <c r="L13" s="727">
        <f>K13/K$11</f>
        <v>0.60176682210245036</v>
      </c>
      <c r="M13" s="726">
        <f>+'Tab. 23'!O17</f>
        <v>8034880.996471487</v>
      </c>
      <c r="N13" s="727">
        <f>M13/M$11</f>
        <v>0.38289847729350979</v>
      </c>
      <c r="O13" s="726">
        <f>+K13+M13</f>
        <v>80741929.630146027</v>
      </c>
      <c r="P13" s="727">
        <f>O13/O$11</f>
        <v>0.56937904663498951</v>
      </c>
    </row>
    <row r="14" spans="2:16" x14ac:dyDescent="0.15">
      <c r="B14" s="178"/>
      <c r="C14" s="178"/>
      <c r="D14" s="727"/>
      <c r="E14" s="178"/>
      <c r="F14" s="727"/>
      <c r="G14" s="178"/>
      <c r="H14" s="727"/>
      <c r="J14" s="178"/>
      <c r="K14" s="178"/>
      <c r="L14" s="727"/>
      <c r="M14" s="178"/>
      <c r="N14" s="727"/>
      <c r="O14" s="178"/>
      <c r="P14" s="727"/>
    </row>
    <row r="15" spans="2:16" x14ac:dyDescent="0.15">
      <c r="B15" s="729" t="s">
        <v>1033</v>
      </c>
      <c r="C15" s="730">
        <f>+C11-C13</f>
        <v>48115578.940991268</v>
      </c>
      <c r="D15" s="731">
        <f t="shared" si="2"/>
        <v>0.39157620409347793</v>
      </c>
      <c r="E15" s="730">
        <f>+E11-E13</f>
        <v>12949482.935360946</v>
      </c>
      <c r="F15" s="731">
        <f t="shared" si="3"/>
        <v>0.61862370280156509</v>
      </c>
      <c r="G15" s="730">
        <f>+G11-G13</f>
        <v>61065061.876352221</v>
      </c>
      <c r="H15" s="731">
        <f>G15/G$8</f>
        <v>0.42462497611871347</v>
      </c>
      <c r="J15" s="729" t="s">
        <v>1033</v>
      </c>
      <c r="K15" s="730">
        <f>+K11-K13</f>
        <v>48115578.940991268</v>
      </c>
      <c r="L15" s="731">
        <f>K15/K$11</f>
        <v>0.39823317789754958</v>
      </c>
      <c r="M15" s="730">
        <f>+M11-M13</f>
        <v>12949482.935360946</v>
      </c>
      <c r="N15" s="731">
        <f>M15/M$11</f>
        <v>0.61710152270649021</v>
      </c>
      <c r="O15" s="730">
        <f>+O11-O13</f>
        <v>61065061.876352221</v>
      </c>
      <c r="P15" s="731">
        <f>O15/O$11</f>
        <v>0.43062095336501049</v>
      </c>
    </row>
    <row r="16" spans="2:16" x14ac:dyDescent="0.15">
      <c r="B16" s="178"/>
      <c r="C16" s="178"/>
      <c r="D16" s="727"/>
      <c r="E16" s="178"/>
      <c r="F16" s="727"/>
      <c r="G16" s="178"/>
      <c r="H16" s="727"/>
      <c r="J16" s="178"/>
      <c r="K16" s="178"/>
      <c r="L16" s="727"/>
      <c r="M16" s="178"/>
      <c r="N16" s="727"/>
      <c r="O16" s="178"/>
      <c r="P16" s="727"/>
    </row>
    <row r="17" spans="2:16" x14ac:dyDescent="0.15">
      <c r="B17" s="178" t="s">
        <v>1042</v>
      </c>
      <c r="C17" s="726">
        <f>'Tab. 16'!C29+'Tab. 16'!C30+'Tab. 16'!C42+'Tab. 16'!C43</f>
        <v>3308920.1956245811</v>
      </c>
      <c r="D17" s="727">
        <f t="shared" si="2"/>
        <v>2.69287918459831E-2</v>
      </c>
      <c r="E17" s="726">
        <f>'Tab. 16'!D29+'Tab. 16'!D30+'Tab. 16'!D42+'Tab. 16'!D43</f>
        <v>591539.04590735189</v>
      </c>
      <c r="F17" s="727">
        <f t="shared" si="3"/>
        <v>2.8259049164939574E-2</v>
      </c>
      <c r="G17" s="726">
        <f>+C17+E17</f>
        <v>3900459.2415319327</v>
      </c>
      <c r="H17" s="727">
        <f>G17/G$8</f>
        <v>2.712242256695227E-2</v>
      </c>
      <c r="J17" s="178" t="s">
        <v>1042</v>
      </c>
      <c r="K17" s="726">
        <f>+C17</f>
        <v>3308920.1956245811</v>
      </c>
      <c r="L17" s="727">
        <f>K17/K$11</f>
        <v>2.7386593571471031E-2</v>
      </c>
      <c r="M17" s="726">
        <f>+E17</f>
        <v>591539.04590735189</v>
      </c>
      <c r="N17" s="727">
        <f>M17/M$11</f>
        <v>2.8189515194692705E-2</v>
      </c>
      <c r="O17" s="726">
        <f>+K17+M17</f>
        <v>3900459.2415319327</v>
      </c>
      <c r="P17" s="727">
        <f>O17/O$11</f>
        <v>2.7505408584549203E-2</v>
      </c>
    </row>
    <row r="18" spans="2:16" x14ac:dyDescent="0.15">
      <c r="B18" s="178"/>
      <c r="C18" s="178"/>
      <c r="D18" s="727"/>
      <c r="E18" s="178"/>
      <c r="F18" s="727"/>
      <c r="G18" s="178"/>
      <c r="H18" s="727"/>
      <c r="J18" s="178"/>
      <c r="K18" s="178"/>
      <c r="L18" s="727"/>
      <c r="M18" s="178"/>
      <c r="N18" s="727"/>
      <c r="O18" s="178"/>
      <c r="P18" s="727"/>
    </row>
    <row r="19" spans="2:16" x14ac:dyDescent="0.15">
      <c r="B19" s="729" t="s">
        <v>1040</v>
      </c>
      <c r="C19" s="730">
        <f>C15-C17</f>
        <v>44806658.745366685</v>
      </c>
      <c r="D19" s="731">
        <f t="shared" si="2"/>
        <v>0.36464741224749481</v>
      </c>
      <c r="E19" s="730">
        <f>E15-E17</f>
        <v>12357943.889453594</v>
      </c>
      <c r="F19" s="731">
        <f t="shared" si="3"/>
        <v>0.59036465363662549</v>
      </c>
      <c r="G19" s="730">
        <f>G15-G17</f>
        <v>57164602.63482029</v>
      </c>
      <c r="H19" s="731">
        <f>G19/G$8</f>
        <v>0.39750255355176123</v>
      </c>
      <c r="J19" s="729" t="s">
        <v>1040</v>
      </c>
      <c r="K19" s="730">
        <f>K15-K17</f>
        <v>44806658.745366685</v>
      </c>
      <c r="L19" s="731">
        <f>K19/K$11</f>
        <v>0.37084658432607853</v>
      </c>
      <c r="M19" s="730">
        <f>M15-M17</f>
        <v>12357943.889453594</v>
      </c>
      <c r="N19" s="731">
        <f>M19/M$11</f>
        <v>0.58891200751179751</v>
      </c>
      <c r="O19" s="730">
        <f>O15-O17</f>
        <v>57164602.63482029</v>
      </c>
      <c r="P19" s="731">
        <f>O19/O$11</f>
        <v>0.4031155447804613</v>
      </c>
    </row>
    <row r="20" spans="2:16" x14ac:dyDescent="0.15">
      <c r="B20" s="732"/>
      <c r="C20" s="733"/>
      <c r="D20" s="734"/>
      <c r="E20" s="733"/>
      <c r="F20" s="734"/>
      <c r="G20" s="733"/>
      <c r="H20" s="734"/>
      <c r="J20" s="732"/>
      <c r="K20" s="733"/>
      <c r="L20" s="734"/>
      <c r="M20" s="733"/>
      <c r="N20" s="734"/>
      <c r="O20" s="733"/>
      <c r="P20" s="734"/>
    </row>
    <row r="21" spans="2:16" x14ac:dyDescent="0.15">
      <c r="B21" s="178" t="s">
        <v>1041</v>
      </c>
      <c r="C21" s="735"/>
      <c r="D21" s="727"/>
      <c r="E21" s="735"/>
      <c r="F21" s="727"/>
      <c r="G21" s="726">
        <f>+'Tab. 17'!E24+'Tab. 17'!E38</f>
        <v>1187890.2107654945</v>
      </c>
      <c r="H21" s="727">
        <f>G21/G$8</f>
        <v>8.2601709861410341E-3</v>
      </c>
      <c r="J21" s="178" t="s">
        <v>1041</v>
      </c>
      <c r="K21" s="735"/>
      <c r="L21" s="727"/>
      <c r="M21" s="735"/>
      <c r="N21" s="727"/>
      <c r="O21" s="726">
        <f>+G21</f>
        <v>1187890.2107654945</v>
      </c>
      <c r="P21" s="727">
        <f>O21/O$11</f>
        <v>8.3768099029945219E-3</v>
      </c>
    </row>
    <row r="22" spans="2:16" x14ac:dyDescent="0.15">
      <c r="B22" s="732"/>
      <c r="C22" s="733"/>
      <c r="D22" s="734"/>
      <c r="E22" s="733"/>
      <c r="F22" s="734"/>
      <c r="G22" s="733"/>
      <c r="H22" s="734"/>
      <c r="J22" s="732"/>
      <c r="K22" s="733"/>
      <c r="L22" s="734"/>
      <c r="M22" s="733"/>
      <c r="N22" s="734"/>
      <c r="O22" s="733"/>
      <c r="P22" s="734"/>
    </row>
    <row r="23" spans="2:16" x14ac:dyDescent="0.15">
      <c r="B23" s="729" t="s">
        <v>1043</v>
      </c>
      <c r="C23" s="730"/>
      <c r="D23" s="731"/>
      <c r="E23" s="730"/>
      <c r="F23" s="731"/>
      <c r="G23" s="730">
        <f>G19-G21</f>
        <v>55976712.424054794</v>
      </c>
      <c r="H23" s="731">
        <f>G23/G$8</f>
        <v>0.38924238256562016</v>
      </c>
      <c r="J23" s="729" t="s">
        <v>1043</v>
      </c>
      <c r="K23" s="730"/>
      <c r="L23" s="731"/>
      <c r="M23" s="730"/>
      <c r="N23" s="731"/>
      <c r="O23" s="730">
        <f>O19-O21</f>
        <v>55976712.424054794</v>
      </c>
      <c r="P23" s="731">
        <f>O23/O$11</f>
        <v>0.39473873487746675</v>
      </c>
    </row>
    <row r="24" spans="2:16" x14ac:dyDescent="0.15">
      <c r="B24" s="178"/>
      <c r="C24" s="178"/>
      <c r="D24" s="727"/>
      <c r="E24" s="178"/>
      <c r="F24" s="727"/>
      <c r="G24" s="178"/>
      <c r="H24" s="727"/>
      <c r="J24" s="178"/>
      <c r="K24" s="178"/>
      <c r="L24" s="727"/>
      <c r="M24" s="178"/>
      <c r="N24" s="727"/>
      <c r="O24" s="178"/>
      <c r="P24" s="727"/>
    </row>
    <row r="25" spans="2:16" x14ac:dyDescent="0.15">
      <c r="B25" s="178" t="s">
        <v>1036</v>
      </c>
      <c r="C25" s="735"/>
      <c r="D25" s="727"/>
      <c r="E25" s="735"/>
      <c r="F25" s="727"/>
      <c r="G25" s="726">
        <f>+'Tab. 22'!O18</f>
        <v>49988074.495213576</v>
      </c>
      <c r="H25" s="727">
        <f>G25/G$8</f>
        <v>0.34759949939509505</v>
      </c>
      <c r="J25" s="178" t="s">
        <v>1036</v>
      </c>
      <c r="K25" s="735"/>
      <c r="L25" s="727"/>
      <c r="M25" s="735"/>
      <c r="N25" s="727"/>
      <c r="O25" s="726">
        <f>+G25</f>
        <v>49988074.495213576</v>
      </c>
      <c r="P25" s="727">
        <f t="shared" ref="P25:P26" si="4">O25/O$11</f>
        <v>0.35250782746436654</v>
      </c>
    </row>
    <row r="26" spans="2:16" x14ac:dyDescent="0.15">
      <c r="B26" s="178" t="s">
        <v>1051</v>
      </c>
      <c r="C26" s="735"/>
      <c r="D26" s="727"/>
      <c r="E26" s="735"/>
      <c r="F26" s="727"/>
      <c r="G26" s="726">
        <f>+'Tab. 22'!O38</f>
        <v>3542186.879991753</v>
      </c>
      <c r="H26" s="727">
        <f>G26/G$8</f>
        <v>2.4631122496364646E-2</v>
      </c>
      <c r="J26" s="178" t="s">
        <v>1051</v>
      </c>
      <c r="K26" s="735"/>
      <c r="L26" s="727"/>
      <c r="M26" s="735"/>
      <c r="N26" s="727"/>
      <c r="O26" s="726">
        <f>+G26</f>
        <v>3542186.879991753</v>
      </c>
      <c r="P26" s="727">
        <f t="shared" si="4"/>
        <v>2.4978929757701218E-2</v>
      </c>
    </row>
    <row r="27" spans="2:16" x14ac:dyDescent="0.15">
      <c r="B27" s="178"/>
      <c r="C27" s="178"/>
      <c r="D27" s="727"/>
      <c r="E27" s="178"/>
      <c r="F27" s="727"/>
      <c r="G27" s="178"/>
      <c r="H27" s="727"/>
      <c r="J27" s="178"/>
      <c r="K27" s="178"/>
      <c r="L27" s="727"/>
      <c r="M27" s="178"/>
      <c r="N27" s="727"/>
      <c r="O27" s="178"/>
      <c r="P27" s="727"/>
    </row>
    <row r="28" spans="2:16" x14ac:dyDescent="0.15">
      <c r="B28" s="729" t="s">
        <v>53</v>
      </c>
      <c r="C28" s="730"/>
      <c r="D28" s="731"/>
      <c r="E28" s="730"/>
      <c r="F28" s="731"/>
      <c r="G28" s="730">
        <f>+G23-G25-G26</f>
        <v>2446451.0488494653</v>
      </c>
      <c r="H28" s="731">
        <f>G28/G$8</f>
        <v>1.7011760674160492E-2</v>
      </c>
      <c r="J28" s="729" t="s">
        <v>53</v>
      </c>
      <c r="K28" s="730"/>
      <c r="L28" s="731"/>
      <c r="M28" s="730"/>
      <c r="N28" s="731"/>
      <c r="O28" s="730">
        <f>+O23-O25-O26</f>
        <v>2446451.0488494653</v>
      </c>
      <c r="P28" s="731">
        <f>O28/O$11</f>
        <v>1.7251977655399011E-2</v>
      </c>
    </row>
    <row r="30" spans="2:16" x14ac:dyDescent="0.15">
      <c r="O30" s="91" t="s">
        <v>68</v>
      </c>
    </row>
    <row r="31" spans="2:16" x14ac:dyDescent="0.15">
      <c r="O31" s="689">
        <f>+O28-G28</f>
        <v>0</v>
      </c>
    </row>
    <row r="32" spans="2:16" x14ac:dyDescent="0.15">
      <c r="B32" s="91" t="s">
        <v>1070</v>
      </c>
      <c r="C32" s="741">
        <f>'Tab 5'!O15</f>
        <v>666082.12060847704</v>
      </c>
      <c r="D32" s="742"/>
      <c r="E32" s="741">
        <f>'Tab 5'!O28</f>
        <v>42358.371125483332</v>
      </c>
    </row>
    <row r="34" spans="2:5" x14ac:dyDescent="0.15">
      <c r="B34" s="91" t="s">
        <v>1069</v>
      </c>
      <c r="C34" s="744">
        <f>C32*'Tab. 14'!$C$8</f>
        <v>72436197.487429664</v>
      </c>
      <c r="D34" s="745"/>
      <c r="E34" s="744">
        <f>E32*'Tab. 14'!$C$12</f>
        <v>8005732.14271635</v>
      </c>
    </row>
    <row r="35" spans="2:5" x14ac:dyDescent="0.15">
      <c r="B35" s="91" t="s">
        <v>828</v>
      </c>
      <c r="C35" s="744">
        <f>C32*'Tab. 14'!$C$9</f>
        <v>270851.14624486398</v>
      </c>
      <c r="D35" s="745"/>
      <c r="E35" s="744">
        <f>E32*'Tab. 14'!$C$13</f>
        <v>29148.853755135955</v>
      </c>
    </row>
    <row r="36" spans="2:5" x14ac:dyDescent="0.15">
      <c r="B36" s="200" t="s">
        <v>1071</v>
      </c>
      <c r="C36" s="746">
        <f>SUM(C34:C35)</f>
        <v>72707048.633674532</v>
      </c>
      <c r="D36" s="747"/>
      <c r="E36" s="746">
        <f>SUM(E34:E35)</f>
        <v>8034880.9964714861</v>
      </c>
    </row>
    <row r="37" spans="2:5" x14ac:dyDescent="0.15">
      <c r="B37" s="743" t="s">
        <v>1072</v>
      </c>
      <c r="C37" s="744">
        <f>-('Tab. 23'!N12-'Tab. 23'!C9)</f>
        <v>1808286.3601503205</v>
      </c>
      <c r="D37" s="745"/>
      <c r="E37" s="744">
        <f>-('Tab. 23'!N18-'Tab. 23'!C15)</f>
        <v>-93499.403100170894</v>
      </c>
    </row>
    <row r="38" spans="2:5" x14ac:dyDescent="0.15">
      <c r="B38" s="200" t="s">
        <v>1032</v>
      </c>
      <c r="C38" s="748">
        <f>C36+C37</f>
        <v>74515334.993824854</v>
      </c>
      <c r="D38" s="749"/>
      <c r="E38" s="748">
        <f>E36+E37</f>
        <v>7941381.5933713149</v>
      </c>
    </row>
    <row r="40" spans="2:5" x14ac:dyDescent="0.15">
      <c r="B40" s="91" t="s">
        <v>68</v>
      </c>
      <c r="C40" s="689">
        <f>C38-C13</f>
        <v>0</v>
      </c>
      <c r="E40" s="689">
        <f>E38-E13</f>
        <v>0</v>
      </c>
    </row>
  </sheetData>
  <mergeCells count="2">
    <mergeCell ref="C6:H6"/>
    <mergeCell ref="K6:P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630B-67ED-CA4C-95F5-48DA3CF6688A}">
  <sheetPr codeName="Foglio40"/>
  <dimension ref="B2:P40"/>
  <sheetViews>
    <sheetView showGridLines="0" topLeftCell="A11" zoomScale="160" zoomScaleNormal="160" workbookViewId="0">
      <selection activeCell="K13" sqref="K13"/>
    </sheetView>
  </sheetViews>
  <sheetFormatPr baseColWidth="10" defaultRowHeight="16" x14ac:dyDescent="0.15"/>
  <cols>
    <col min="1" max="1" width="10.83203125" style="91"/>
    <col min="2" max="2" width="27.83203125" style="91" customWidth="1"/>
    <col min="3" max="3" width="13.1640625" style="91" bestFit="1" customWidth="1"/>
    <col min="4" max="4" width="7.1640625" style="722" customWidth="1"/>
    <col min="5" max="5" width="12.1640625" style="91" bestFit="1" customWidth="1"/>
    <col min="6" max="6" width="7.1640625" style="722" bestFit="1" customWidth="1"/>
    <col min="7" max="7" width="13.1640625" style="91" bestFit="1" customWidth="1"/>
    <col min="8" max="8" width="6.6640625" style="722" customWidth="1"/>
    <col min="9" max="9" width="7.1640625" style="91" customWidth="1"/>
    <col min="10" max="10" width="24" style="91" customWidth="1"/>
    <col min="11" max="11" width="13.1640625" style="91" bestFit="1" customWidth="1"/>
    <col min="12" max="12" width="10.83203125" style="91"/>
    <col min="13" max="13" width="12.1640625" style="91" bestFit="1" customWidth="1"/>
    <col min="14" max="14" width="10.83203125" style="91"/>
    <col min="15" max="15" width="12.6640625" style="91" customWidth="1"/>
    <col min="16" max="16384" width="10.83203125" style="91"/>
  </cols>
  <sheetData>
    <row r="2" spans="2:16" x14ac:dyDescent="0.15">
      <c r="B2" s="91" t="s">
        <v>1092</v>
      </c>
    </row>
    <row r="4" spans="2:16" x14ac:dyDescent="0.15">
      <c r="B4" s="736" t="s">
        <v>1057</v>
      </c>
      <c r="J4" s="736" t="s">
        <v>1058</v>
      </c>
    </row>
    <row r="6" spans="2:16" x14ac:dyDescent="0.15">
      <c r="C6" s="1107" t="s">
        <v>196</v>
      </c>
      <c r="D6" s="1108"/>
      <c r="E6" s="1108"/>
      <c r="F6" s="1108"/>
      <c r="G6" s="1108"/>
      <c r="H6" s="1109"/>
      <c r="K6" s="1107" t="s">
        <v>196</v>
      </c>
      <c r="L6" s="1108"/>
      <c r="M6" s="1108"/>
      <c r="N6" s="1108"/>
      <c r="O6" s="1108"/>
      <c r="P6" s="1109"/>
    </row>
    <row r="7" spans="2:16" x14ac:dyDescent="0.15">
      <c r="C7" s="723" t="s">
        <v>189</v>
      </c>
      <c r="D7" s="724" t="s">
        <v>997</v>
      </c>
      <c r="E7" s="723" t="s">
        <v>190</v>
      </c>
      <c r="F7" s="724" t="s">
        <v>997</v>
      </c>
      <c r="G7" s="723" t="s">
        <v>3</v>
      </c>
      <c r="H7" s="724" t="s">
        <v>997</v>
      </c>
      <c r="K7" s="723" t="s">
        <v>189</v>
      </c>
      <c r="L7" s="724" t="s">
        <v>997</v>
      </c>
      <c r="M7" s="723" t="s">
        <v>190</v>
      </c>
      <c r="N7" s="724" t="s">
        <v>997</v>
      </c>
      <c r="O7" s="723" t="s">
        <v>3</v>
      </c>
      <c r="P7" s="724" t="s">
        <v>997</v>
      </c>
    </row>
    <row r="8" spans="2:16" x14ac:dyDescent="0.15">
      <c r="B8" s="725" t="s">
        <v>40</v>
      </c>
      <c r="C8" s="726">
        <f>'Tab 2'!$N$14</f>
        <v>122876667.26935484</v>
      </c>
      <c r="D8" s="727">
        <f>C8/C$8</f>
        <v>1</v>
      </c>
      <c r="E8" s="726">
        <f>+'Tab 2'!$N$15</f>
        <v>20932729.988709681</v>
      </c>
      <c r="F8" s="727">
        <f>E8/E$8</f>
        <v>1</v>
      </c>
      <c r="G8" s="726">
        <f>+C8+E8</f>
        <v>143809397.25806451</v>
      </c>
      <c r="H8" s="727">
        <f>G8/G$8</f>
        <v>1</v>
      </c>
      <c r="J8" s="725" t="s">
        <v>40</v>
      </c>
      <c r="K8" s="726">
        <f>+C8</f>
        <v>122876667.26935484</v>
      </c>
      <c r="L8" s="727">
        <f>K8/K$11</f>
        <v>1.0175963519108919</v>
      </c>
      <c r="M8" s="726">
        <f>+E8</f>
        <v>20932729.988709681</v>
      </c>
      <c r="N8" s="727">
        <f>M8/M$11</f>
        <v>0.99735295429992077</v>
      </c>
      <c r="O8" s="726">
        <f>+K8+M8</f>
        <v>143809397.25806451</v>
      </c>
      <c r="P8" s="727">
        <f>O8/O$11</f>
        <v>1.0145987947430253</v>
      </c>
    </row>
    <row r="9" spans="2:16" x14ac:dyDescent="0.15">
      <c r="B9" s="728" t="s">
        <v>1037</v>
      </c>
      <c r="C9" s="735">
        <f>0.2%*C8</f>
        <v>245753.33453870966</v>
      </c>
      <c r="D9" s="727">
        <f t="shared" ref="D9" si="0">C9/C$8</f>
        <v>2E-3</v>
      </c>
      <c r="E9" s="735">
        <f>0.2%*E8</f>
        <v>41865.459977419363</v>
      </c>
      <c r="F9" s="727">
        <f t="shared" ref="F9" si="1">E9/E$8</f>
        <v>2E-3</v>
      </c>
      <c r="G9" s="726">
        <f>+C9+E9</f>
        <v>287618.79451612901</v>
      </c>
      <c r="H9" s="727">
        <f>G9/G$8</f>
        <v>2E-3</v>
      </c>
      <c r="J9" s="728" t="s">
        <v>1037</v>
      </c>
      <c r="K9" s="735">
        <f>0.2%*K8</f>
        <v>245753.33453870966</v>
      </c>
      <c r="L9" s="727">
        <f>K9/K$11</f>
        <v>2.0351927038217842E-3</v>
      </c>
      <c r="M9" s="735">
        <f>0.2%*M8</f>
        <v>41865.459977419363</v>
      </c>
      <c r="N9" s="727">
        <f>M9/M$11</f>
        <v>1.9947059085998415E-3</v>
      </c>
      <c r="O9" s="726">
        <f>+K9+M9</f>
        <v>287618.79451612901</v>
      </c>
      <c r="P9" s="727">
        <f>O9/O$11</f>
        <v>2.0291975894860506E-3</v>
      </c>
    </row>
    <row r="10" spans="2:16" x14ac:dyDescent="0.15">
      <c r="B10" s="728"/>
      <c r="C10" s="178"/>
      <c r="D10" s="727"/>
      <c r="E10" s="178"/>
      <c r="F10" s="727"/>
      <c r="G10" s="178"/>
      <c r="H10" s="727"/>
      <c r="J10" s="728" t="s">
        <v>1059</v>
      </c>
      <c r="K10" s="726">
        <f>'Tab. 23'!N34-'Tab. 23'!C31</f>
        <v>-1879039.1481081732</v>
      </c>
      <c r="L10" s="727">
        <f>K10/K$11</f>
        <v>-1.5561159207070239E-2</v>
      </c>
      <c r="M10" s="726">
        <f>'Tab. 23'!N40-'Tab. 23'!C37</f>
        <v>97422.414683013223</v>
      </c>
      <c r="N10" s="727">
        <f>M10/M$11</f>
        <v>4.6417516086789479E-3</v>
      </c>
      <c r="O10" s="726">
        <f>+K10+M10</f>
        <v>-1781616.7334251599</v>
      </c>
      <c r="P10" s="727">
        <f>O10/O$11</f>
        <v>-1.2569597153539322E-2</v>
      </c>
    </row>
    <row r="11" spans="2:16" x14ac:dyDescent="0.15">
      <c r="B11" s="729" t="s">
        <v>1039</v>
      </c>
      <c r="C11" s="730">
        <f>+C8-C9</f>
        <v>122630913.93481612</v>
      </c>
      <c r="D11" s="731">
        <f t="shared" ref="D11:D19" si="2">C11/C$8</f>
        <v>0.998</v>
      </c>
      <c r="E11" s="730">
        <f>+E8-E9</f>
        <v>20890864.528732263</v>
      </c>
      <c r="F11" s="731">
        <f t="shared" ref="F11:F19" si="3">E11/E$8</f>
        <v>0.99800000000000011</v>
      </c>
      <c r="G11" s="730">
        <f>+G8-G9</f>
        <v>143521778.46354839</v>
      </c>
      <c r="H11" s="731">
        <f>G11/G$8</f>
        <v>0.99800000000000011</v>
      </c>
      <c r="J11" s="729" t="s">
        <v>1065</v>
      </c>
      <c r="K11" s="730">
        <f>+K8-K9+K10</f>
        <v>120751874.78670795</v>
      </c>
      <c r="L11" s="731">
        <f>K11/K$11</f>
        <v>1</v>
      </c>
      <c r="M11" s="730">
        <f>+M8-M9+M10</f>
        <v>20988286.943415277</v>
      </c>
      <c r="N11" s="731">
        <f>M11/M$11</f>
        <v>1</v>
      </c>
      <c r="O11" s="730">
        <f>+O8-O9+O10</f>
        <v>141740161.73012322</v>
      </c>
      <c r="P11" s="731">
        <f>O11/O$11</f>
        <v>1</v>
      </c>
    </row>
    <row r="12" spans="2:16" x14ac:dyDescent="0.15">
      <c r="B12" s="178"/>
      <c r="C12" s="178"/>
      <c r="D12" s="727"/>
      <c r="E12" s="178"/>
      <c r="F12" s="727"/>
      <c r="G12" s="178"/>
      <c r="H12" s="727"/>
      <c r="J12" s="178"/>
      <c r="K12" s="178"/>
      <c r="L12" s="727"/>
      <c r="M12" s="178"/>
      <c r="N12" s="727"/>
      <c r="O12" s="178"/>
      <c r="P12" s="727"/>
    </row>
    <row r="13" spans="2:16" x14ac:dyDescent="0.15">
      <c r="B13" s="178" t="s">
        <v>1032</v>
      </c>
      <c r="C13" s="726">
        <f>'Tab. 16'!$C$10*'Tab 2'!$L$14</f>
        <v>77430895.168701246</v>
      </c>
      <c r="D13" s="727">
        <f t="shared" si="2"/>
        <v>0.63015132888465264</v>
      </c>
      <c r="E13" s="726">
        <f>'Tab. 16'!$C$14*'Tab 2'!$L$15</f>
        <v>8274582.9929694058</v>
      </c>
      <c r="F13" s="727">
        <f t="shared" si="3"/>
        <v>0.39529402029417099</v>
      </c>
      <c r="G13" s="726">
        <f>+C13+E13</f>
        <v>85705478.161670655</v>
      </c>
      <c r="H13" s="727">
        <f>G13/G$8</f>
        <v>0.59596576994111894</v>
      </c>
      <c r="J13" s="178" t="s">
        <v>1066</v>
      </c>
      <c r="K13" s="726">
        <f>+'Tab. 23'!O33</f>
        <v>75551856.020593077</v>
      </c>
      <c r="L13" s="727">
        <f>K13/K$11</f>
        <v>0.62567853421775299</v>
      </c>
      <c r="M13" s="726">
        <f>+'Tab. 23'!O39</f>
        <v>8372005.4076524209</v>
      </c>
      <c r="N13" s="727">
        <f>M13/M$11</f>
        <v>0.39888941056616328</v>
      </c>
      <c r="O13" s="726">
        <f>+K13+M13</f>
        <v>83923861.4282455</v>
      </c>
      <c r="P13" s="727">
        <f>O13/O$11</f>
        <v>0.5920965547368191</v>
      </c>
    </row>
    <row r="14" spans="2:16" x14ac:dyDescent="0.15">
      <c r="B14" s="178"/>
      <c r="C14" s="178"/>
      <c r="D14" s="727"/>
      <c r="E14" s="178"/>
      <c r="F14" s="727"/>
      <c r="G14" s="178"/>
      <c r="H14" s="727"/>
      <c r="J14" s="178"/>
      <c r="K14" s="178"/>
      <c r="L14" s="727"/>
      <c r="M14" s="178"/>
      <c r="N14" s="727"/>
      <c r="O14" s="178"/>
      <c r="P14" s="727"/>
    </row>
    <row r="15" spans="2:16" x14ac:dyDescent="0.15">
      <c r="B15" s="729" t="s">
        <v>1033</v>
      </c>
      <c r="C15" s="730">
        <f>+C11-C13</f>
        <v>45200018.766114876</v>
      </c>
      <c r="D15" s="731">
        <f t="shared" si="2"/>
        <v>0.36784867111534736</v>
      </c>
      <c r="E15" s="730">
        <f>+E11-E13</f>
        <v>12616281.535762858</v>
      </c>
      <c r="F15" s="731">
        <f t="shared" si="3"/>
        <v>0.60270597970582918</v>
      </c>
      <c r="G15" s="730">
        <f>+G11-G13</f>
        <v>57816300.301877737</v>
      </c>
      <c r="H15" s="731">
        <f>G15/G$8</f>
        <v>0.40203423005888111</v>
      </c>
      <c r="J15" s="729" t="s">
        <v>1033</v>
      </c>
      <c r="K15" s="730">
        <f>+K11-K13</f>
        <v>45200018.766114876</v>
      </c>
      <c r="L15" s="731">
        <f>K15/K$11</f>
        <v>0.37432146578224701</v>
      </c>
      <c r="M15" s="730">
        <f>+M11-M13</f>
        <v>12616281.535762856</v>
      </c>
      <c r="N15" s="731">
        <f>M15/M$11</f>
        <v>0.60111058943383666</v>
      </c>
      <c r="O15" s="730">
        <f>+O11-O13</f>
        <v>57816300.301877722</v>
      </c>
      <c r="P15" s="731">
        <f>O15/O$11</f>
        <v>0.4079034452631809</v>
      </c>
    </row>
    <row r="16" spans="2:16" x14ac:dyDescent="0.15">
      <c r="B16" s="178"/>
      <c r="C16" s="178"/>
      <c r="D16" s="727"/>
      <c r="E16" s="178"/>
      <c r="F16" s="727"/>
      <c r="G16" s="178"/>
      <c r="H16" s="727"/>
      <c r="J16" s="178"/>
      <c r="K16" s="178"/>
      <c r="L16" s="727"/>
      <c r="M16" s="178"/>
      <c r="N16" s="727"/>
      <c r="O16" s="178"/>
      <c r="P16" s="727"/>
    </row>
    <row r="17" spans="2:16" x14ac:dyDescent="0.15">
      <c r="B17" s="178" t="s">
        <v>1068</v>
      </c>
      <c r="C17" s="726">
        <f>'Tab. 16'!C45</f>
        <v>193261.66246118076</v>
      </c>
      <c r="D17" s="727">
        <f t="shared" si="2"/>
        <v>1.5728100928839221E-3</v>
      </c>
      <c r="E17" s="726">
        <f>+'Tab. 16'!D45</f>
        <v>225265.78097128292</v>
      </c>
      <c r="F17" s="727">
        <f t="shared" si="3"/>
        <v>1.076141435411352E-2</v>
      </c>
      <c r="G17" s="726">
        <f>+C17+E17</f>
        <v>418527.44343246368</v>
      </c>
      <c r="H17" s="727">
        <f>G17/G$8</f>
        <v>2.9102927306024406E-3</v>
      </c>
      <c r="J17" s="178" t="s">
        <v>1068</v>
      </c>
      <c r="K17" s="726">
        <f>+C17</f>
        <v>193261.66246118076</v>
      </c>
      <c r="L17" s="727">
        <f>K17/K$11</f>
        <v>1.6004858127673103E-3</v>
      </c>
      <c r="M17" s="726">
        <f>+E17</f>
        <v>225265.78097128292</v>
      </c>
      <c r="N17" s="727">
        <f>M17/M$11</f>
        <v>1.0732928398520695E-2</v>
      </c>
      <c r="O17" s="726">
        <f>+K17+M17</f>
        <v>418527.44343246368</v>
      </c>
      <c r="P17" s="727">
        <f>O17/O$11</f>
        <v>2.9527794968186244E-3</v>
      </c>
    </row>
    <row r="18" spans="2:16" x14ac:dyDescent="0.15">
      <c r="B18" s="178"/>
      <c r="C18" s="178"/>
      <c r="D18" s="727"/>
      <c r="E18" s="178"/>
      <c r="F18" s="727"/>
      <c r="G18" s="178"/>
      <c r="H18" s="727"/>
      <c r="J18" s="178"/>
      <c r="K18" s="178"/>
      <c r="L18" s="727"/>
      <c r="M18" s="178"/>
      <c r="N18" s="727"/>
      <c r="O18" s="178"/>
      <c r="P18" s="727"/>
    </row>
    <row r="19" spans="2:16" x14ac:dyDescent="0.15">
      <c r="B19" s="729" t="s">
        <v>1040</v>
      </c>
      <c r="C19" s="730">
        <f>C15-C17</f>
        <v>45006757.103653692</v>
      </c>
      <c r="D19" s="731">
        <f t="shared" si="2"/>
        <v>0.3662758610224634</v>
      </c>
      <c r="E19" s="730">
        <f>E15-E17</f>
        <v>12391015.754791575</v>
      </c>
      <c r="F19" s="731">
        <f t="shared" si="3"/>
        <v>0.59194456535171558</v>
      </c>
      <c r="G19" s="730">
        <f>G15-G17</f>
        <v>57397772.858445272</v>
      </c>
      <c r="H19" s="731">
        <f>G19/G$8</f>
        <v>0.39912393732827867</v>
      </c>
      <c r="J19" s="729" t="s">
        <v>1040</v>
      </c>
      <c r="K19" s="730">
        <f>K15-K17</f>
        <v>45006757.103653692</v>
      </c>
      <c r="L19" s="731">
        <f>K19/K$11</f>
        <v>0.37272097996947967</v>
      </c>
      <c r="M19" s="730">
        <f>M15-M17</f>
        <v>12391015.754791573</v>
      </c>
      <c r="N19" s="731">
        <f>M19/M$11</f>
        <v>0.59037766103531597</v>
      </c>
      <c r="O19" s="730">
        <f>O15-O17</f>
        <v>57397772.858445257</v>
      </c>
      <c r="P19" s="731">
        <f>O19/O$11</f>
        <v>0.40495066576636224</v>
      </c>
    </row>
    <row r="20" spans="2:16" x14ac:dyDescent="0.15">
      <c r="B20" s="732"/>
      <c r="C20" s="733"/>
      <c r="D20" s="734"/>
      <c r="E20" s="733"/>
      <c r="F20" s="734"/>
      <c r="G20" s="733"/>
      <c r="H20" s="734"/>
      <c r="J20" s="732"/>
      <c r="K20" s="733"/>
      <c r="L20" s="734"/>
      <c r="M20" s="733"/>
      <c r="N20" s="734"/>
      <c r="O20" s="733"/>
      <c r="P20" s="734"/>
    </row>
    <row r="21" spans="2:16" x14ac:dyDescent="0.15">
      <c r="B21" s="178" t="s">
        <v>1041</v>
      </c>
      <c r="C21" s="735"/>
      <c r="D21" s="727"/>
      <c r="E21" s="735"/>
      <c r="F21" s="727"/>
      <c r="G21" s="726">
        <f>+'Tab. 17'!E24+'Tab. 17'!E38+'Tab. 14'!E24</f>
        <v>1487890.2107654945</v>
      </c>
      <c r="H21" s="727">
        <f>G21/G$8</f>
        <v>1.0346265537122657E-2</v>
      </c>
      <c r="J21" s="178" t="s">
        <v>1041</v>
      </c>
      <c r="K21" s="735"/>
      <c r="L21" s="727"/>
      <c r="M21" s="735"/>
      <c r="N21" s="727"/>
      <c r="O21" s="726">
        <f>+G21</f>
        <v>1487890.2107654945</v>
      </c>
      <c r="P21" s="727">
        <f>O21/O$11</f>
        <v>1.0497308544055948E-2</v>
      </c>
    </row>
    <row r="22" spans="2:16" x14ac:dyDescent="0.15">
      <c r="B22" s="732"/>
      <c r="C22" s="733"/>
      <c r="D22" s="734"/>
      <c r="E22" s="733"/>
      <c r="F22" s="734"/>
      <c r="G22" s="733"/>
      <c r="H22" s="734"/>
      <c r="J22" s="732"/>
      <c r="K22" s="733"/>
      <c r="L22" s="734"/>
      <c r="M22" s="733"/>
      <c r="N22" s="734"/>
      <c r="O22" s="733"/>
      <c r="P22" s="734"/>
    </row>
    <row r="23" spans="2:16" x14ac:dyDescent="0.15">
      <c r="B23" s="729" t="s">
        <v>1043</v>
      </c>
      <c r="C23" s="730"/>
      <c r="D23" s="731"/>
      <c r="E23" s="730"/>
      <c r="F23" s="731"/>
      <c r="G23" s="730">
        <f>G19-G21</f>
        <v>55909882.647679776</v>
      </c>
      <c r="H23" s="731">
        <f>G23/G$8</f>
        <v>0.38877767179115602</v>
      </c>
      <c r="J23" s="729" t="s">
        <v>1043</v>
      </c>
      <c r="K23" s="730"/>
      <c r="L23" s="731"/>
      <c r="M23" s="730"/>
      <c r="N23" s="731"/>
      <c r="O23" s="730">
        <f>O19-O21</f>
        <v>55909882.647679761</v>
      </c>
      <c r="P23" s="731">
        <f>O23/O$11</f>
        <v>0.39445335722230629</v>
      </c>
    </row>
    <row r="24" spans="2:16" x14ac:dyDescent="0.15">
      <c r="B24" s="178"/>
      <c r="C24" s="178"/>
      <c r="D24" s="727"/>
      <c r="E24" s="178"/>
      <c r="F24" s="727"/>
      <c r="G24" s="178"/>
      <c r="H24" s="727"/>
      <c r="J24" s="178"/>
      <c r="K24" s="178"/>
      <c r="L24" s="727"/>
      <c r="M24" s="178"/>
      <c r="N24" s="727"/>
      <c r="O24" s="178"/>
      <c r="P24" s="727"/>
    </row>
    <row r="25" spans="2:16" x14ac:dyDescent="0.15">
      <c r="B25" s="178" t="s">
        <v>1036</v>
      </c>
      <c r="C25" s="735"/>
      <c r="D25" s="727"/>
      <c r="E25" s="735"/>
      <c r="F25" s="727"/>
      <c r="G25" s="726">
        <f>+'Tab. 22'!O18</f>
        <v>49988074.495213576</v>
      </c>
      <c r="H25" s="727">
        <f>G25/G$8</f>
        <v>0.34759949939509505</v>
      </c>
      <c r="J25" s="178" t="s">
        <v>1036</v>
      </c>
      <c r="K25" s="735"/>
      <c r="L25" s="727"/>
      <c r="M25" s="735"/>
      <c r="N25" s="727"/>
      <c r="O25" s="726">
        <f>+G25</f>
        <v>49988074.495213576</v>
      </c>
      <c r="P25" s="727">
        <f t="shared" ref="P25:P26" si="4">O25/O$11</f>
        <v>0.35267403313954238</v>
      </c>
    </row>
    <row r="26" spans="2:16" x14ac:dyDescent="0.15">
      <c r="B26" s="178" t="s">
        <v>1051</v>
      </c>
      <c r="C26" s="735"/>
      <c r="D26" s="727"/>
      <c r="E26" s="735"/>
      <c r="F26" s="727"/>
      <c r="G26" s="726">
        <f>+'Tab. 22'!O38</f>
        <v>3542186.879991753</v>
      </c>
      <c r="H26" s="727">
        <f>G26/G$8</f>
        <v>2.4631122496364646E-2</v>
      </c>
      <c r="J26" s="178" t="s">
        <v>1051</v>
      </c>
      <c r="K26" s="735"/>
      <c r="L26" s="727"/>
      <c r="M26" s="735"/>
      <c r="N26" s="727"/>
      <c r="O26" s="726">
        <f>+G26</f>
        <v>3542186.879991753</v>
      </c>
      <c r="P26" s="727">
        <f t="shared" si="4"/>
        <v>2.4990707197979387E-2</v>
      </c>
    </row>
    <row r="27" spans="2:16" x14ac:dyDescent="0.15">
      <c r="B27" s="178"/>
      <c r="C27" s="178"/>
      <c r="D27" s="727"/>
      <c r="E27" s="178"/>
      <c r="F27" s="727"/>
      <c r="G27" s="178"/>
      <c r="H27" s="727"/>
      <c r="J27" s="178"/>
      <c r="K27" s="178"/>
      <c r="L27" s="727"/>
      <c r="M27" s="178"/>
      <c r="N27" s="727"/>
      <c r="O27" s="178"/>
      <c r="P27" s="727"/>
    </row>
    <row r="28" spans="2:16" x14ac:dyDescent="0.15">
      <c r="B28" s="729" t="s">
        <v>53</v>
      </c>
      <c r="C28" s="730"/>
      <c r="D28" s="731"/>
      <c r="E28" s="730"/>
      <c r="F28" s="731"/>
      <c r="G28" s="730">
        <f>+G23-G25-G26</f>
        <v>2379621.2724744473</v>
      </c>
      <c r="H28" s="731">
        <f>G28/G$8</f>
        <v>1.6547049899696339E-2</v>
      </c>
      <c r="J28" s="729" t="s">
        <v>53</v>
      </c>
      <c r="K28" s="730"/>
      <c r="L28" s="731"/>
      <c r="M28" s="730"/>
      <c r="N28" s="731"/>
      <c r="O28" s="730">
        <f>+O23-O25-O26</f>
        <v>2379621.2724744324</v>
      </c>
      <c r="P28" s="731">
        <f>O28/O$11</f>
        <v>1.6788616884784498E-2</v>
      </c>
    </row>
    <row r="30" spans="2:16" x14ac:dyDescent="0.15">
      <c r="O30" s="91" t="s">
        <v>68</v>
      </c>
    </row>
    <row r="31" spans="2:16" x14ac:dyDescent="0.15">
      <c r="O31" s="689">
        <f>+O28-G28</f>
        <v>-1.4901161193847656E-8</v>
      </c>
    </row>
    <row r="32" spans="2:16" x14ac:dyDescent="0.15">
      <c r="B32" s="91" t="s">
        <v>1070</v>
      </c>
      <c r="C32" s="741">
        <f>'Tab 5'!O15</f>
        <v>666082.12060847704</v>
      </c>
      <c r="D32" s="742"/>
      <c r="E32" s="741">
        <f>'Tab 5'!O28</f>
        <v>42358.371125483332</v>
      </c>
    </row>
    <row r="34" spans="2:5" x14ac:dyDescent="0.15">
      <c r="B34" s="91" t="s">
        <v>1069</v>
      </c>
      <c r="C34" s="744">
        <f>C32*'Tab. 16'!$C$8</f>
        <v>72436197.487429664</v>
      </c>
      <c r="D34" s="745"/>
      <c r="E34" s="744">
        <f>E32*'Tab. 16'!$C$12</f>
        <v>8005732.14271635</v>
      </c>
    </row>
    <row r="35" spans="2:5" x14ac:dyDescent="0.15">
      <c r="B35" s="91" t="s">
        <v>1073</v>
      </c>
      <c r="C35" s="744">
        <f>C32*'Tab. 16'!$C$9</f>
        <v>3115658.5331633999</v>
      </c>
      <c r="D35" s="745"/>
      <c r="E35" s="744">
        <f>E32*'Tab. 16'!$C$13</f>
        <v>366273.26493606868</v>
      </c>
    </row>
    <row r="36" spans="2:5" x14ac:dyDescent="0.15">
      <c r="B36" s="200" t="s">
        <v>1071</v>
      </c>
      <c r="C36" s="746">
        <f>SUM(C34:C35)</f>
        <v>75551856.020593062</v>
      </c>
      <c r="D36" s="747"/>
      <c r="E36" s="746">
        <f>SUM(E34:E35)</f>
        <v>8372005.4076524191</v>
      </c>
    </row>
    <row r="37" spans="2:5" x14ac:dyDescent="0.15">
      <c r="B37" s="743" t="s">
        <v>1072</v>
      </c>
      <c r="C37" s="744">
        <f>-('Tab. 23'!N34-'Tab. 23'!C31)</f>
        <v>1879039.1481081732</v>
      </c>
      <c r="D37" s="745"/>
      <c r="E37" s="744">
        <f>-('Tab. 23'!N40-'Tab. 23'!C37)</f>
        <v>-97422.414683013223</v>
      </c>
    </row>
    <row r="38" spans="2:5" x14ac:dyDescent="0.15">
      <c r="B38" s="200" t="s">
        <v>1032</v>
      </c>
      <c r="C38" s="748">
        <f>C36+C37</f>
        <v>77430895.168701231</v>
      </c>
      <c r="D38" s="749"/>
      <c r="E38" s="748">
        <f>E36+E37</f>
        <v>8274582.9929694058</v>
      </c>
    </row>
    <row r="40" spans="2:5" x14ac:dyDescent="0.15">
      <c r="B40" s="91" t="s">
        <v>68</v>
      </c>
      <c r="C40" s="689">
        <f>C38-C13</f>
        <v>0</v>
      </c>
      <c r="E40" s="689">
        <f>E38-E13</f>
        <v>0</v>
      </c>
    </row>
  </sheetData>
  <mergeCells count="2">
    <mergeCell ref="C6:H6"/>
    <mergeCell ref="K6:P6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FA41-E6C2-1042-9D03-A7216CD1DBB7}">
  <sheetPr codeName="Foglio41"/>
  <dimension ref="B2:P42"/>
  <sheetViews>
    <sheetView showGridLines="0" zoomScale="160" zoomScaleNormal="160" workbookViewId="0">
      <selection activeCell="G34" sqref="G34:G40"/>
    </sheetView>
  </sheetViews>
  <sheetFormatPr baseColWidth="10" defaultRowHeight="16" x14ac:dyDescent="0.15"/>
  <cols>
    <col min="1" max="1" width="10.83203125" style="91"/>
    <col min="2" max="2" width="27.83203125" style="91" customWidth="1"/>
    <col min="3" max="3" width="13.1640625" style="91" bestFit="1" customWidth="1"/>
    <col min="4" max="4" width="7.1640625" style="722" customWidth="1"/>
    <col min="5" max="5" width="12.1640625" style="91" bestFit="1" customWidth="1"/>
    <col min="6" max="6" width="7.1640625" style="722" bestFit="1" customWidth="1"/>
    <col min="7" max="7" width="13.1640625" style="91" bestFit="1" customWidth="1"/>
    <col min="8" max="8" width="6.6640625" style="722" customWidth="1"/>
    <col min="9" max="9" width="7.1640625" style="91" customWidth="1"/>
    <col min="10" max="10" width="24" style="91" customWidth="1"/>
    <col min="11" max="11" width="13.1640625" style="91" bestFit="1" customWidth="1"/>
    <col min="12" max="12" width="10.83203125" style="91"/>
    <col min="13" max="13" width="12.1640625" style="91" bestFit="1" customWidth="1"/>
    <col min="14" max="14" width="10.83203125" style="91"/>
    <col min="15" max="15" width="12.6640625" style="91" customWidth="1"/>
    <col min="16" max="16384" width="10.83203125" style="91"/>
  </cols>
  <sheetData>
    <row r="2" spans="2:16" x14ac:dyDescent="0.15">
      <c r="B2" s="91" t="s">
        <v>1093</v>
      </c>
    </row>
    <row r="4" spans="2:16" x14ac:dyDescent="0.15">
      <c r="B4" s="736" t="s">
        <v>1057</v>
      </c>
      <c r="J4" s="736" t="s">
        <v>1058</v>
      </c>
    </row>
    <row r="6" spans="2:16" x14ac:dyDescent="0.15">
      <c r="C6" s="1107" t="s">
        <v>196</v>
      </c>
      <c r="D6" s="1108"/>
      <c r="E6" s="1108"/>
      <c r="F6" s="1108"/>
      <c r="G6" s="1108"/>
      <c r="H6" s="1109"/>
      <c r="K6" s="1107" t="s">
        <v>196</v>
      </c>
      <c r="L6" s="1108"/>
      <c r="M6" s="1108"/>
      <c r="N6" s="1108"/>
      <c r="O6" s="1108"/>
      <c r="P6" s="1109"/>
    </row>
    <row r="7" spans="2:16" x14ac:dyDescent="0.15">
      <c r="C7" s="723" t="s">
        <v>189</v>
      </c>
      <c r="D7" s="724" t="s">
        <v>997</v>
      </c>
      <c r="E7" s="723" t="s">
        <v>190</v>
      </c>
      <c r="F7" s="724" t="s">
        <v>997</v>
      </c>
      <c r="G7" s="723" t="s">
        <v>3</v>
      </c>
      <c r="H7" s="724" t="s">
        <v>997</v>
      </c>
      <c r="K7" s="723" t="s">
        <v>189</v>
      </c>
      <c r="L7" s="724" t="s">
        <v>997</v>
      </c>
      <c r="M7" s="723" t="s">
        <v>190</v>
      </c>
      <c r="N7" s="724" t="s">
        <v>997</v>
      </c>
      <c r="O7" s="723" t="s">
        <v>3</v>
      </c>
      <c r="P7" s="724" t="s">
        <v>997</v>
      </c>
    </row>
    <row r="8" spans="2:16" x14ac:dyDescent="0.15">
      <c r="B8" s="725" t="s">
        <v>40</v>
      </c>
      <c r="C8" s="726">
        <f>'Tab 2'!$N$14</f>
        <v>122876667.26935484</v>
      </c>
      <c r="D8" s="727">
        <f>C8/C$8</f>
        <v>1</v>
      </c>
      <c r="E8" s="726">
        <f>+'Tab 2'!$N$15</f>
        <v>20932729.988709681</v>
      </c>
      <c r="F8" s="727">
        <f>E8/E$8</f>
        <v>1</v>
      </c>
      <c r="G8" s="726">
        <f>+C8+E8</f>
        <v>143809397.25806451</v>
      </c>
      <c r="H8" s="727">
        <f>G8/G$8</f>
        <v>1</v>
      </c>
      <c r="J8" s="725" t="s">
        <v>40</v>
      </c>
      <c r="K8" s="726">
        <f>+C8</f>
        <v>122876667.26935484</v>
      </c>
      <c r="L8" s="727">
        <f>K8/K$11</f>
        <v>1.0178348601661187</v>
      </c>
      <c r="M8" s="726">
        <f>+E8</f>
        <v>20932729.988709681</v>
      </c>
      <c r="N8" s="727">
        <f>M8/M$11</f>
        <v>0.99726937955081407</v>
      </c>
      <c r="O8" s="726">
        <f>+K8+M8</f>
        <v>143809397.25806451</v>
      </c>
      <c r="P8" s="727">
        <f>O8/O$11</f>
        <v>1.0147887848087425</v>
      </c>
    </row>
    <row r="9" spans="2:16" x14ac:dyDescent="0.15">
      <c r="B9" s="728" t="s">
        <v>1037</v>
      </c>
      <c r="C9" s="735">
        <f>0.2%*C8</f>
        <v>245753.33453870966</v>
      </c>
      <c r="D9" s="727">
        <f t="shared" ref="D9:D19" si="0">C9/C$8</f>
        <v>2E-3</v>
      </c>
      <c r="E9" s="735">
        <f>0.2%*E8</f>
        <v>41865.459977419363</v>
      </c>
      <c r="F9" s="727">
        <f t="shared" ref="F9:F19" si="1">E9/E$8</f>
        <v>2E-3</v>
      </c>
      <c r="G9" s="726">
        <f>+C9+E9</f>
        <v>287618.79451612901</v>
      </c>
      <c r="H9" s="727">
        <f>G9/G$8</f>
        <v>2E-3</v>
      </c>
      <c r="J9" s="728" t="s">
        <v>1037</v>
      </c>
      <c r="K9" s="735">
        <f>0.2%*K8</f>
        <v>245753.33453870966</v>
      </c>
      <c r="L9" s="727">
        <f>K9/K$11</f>
        <v>2.0356697203322374E-3</v>
      </c>
      <c r="M9" s="735">
        <f>0.2%*M8</f>
        <v>41865.459977419363</v>
      </c>
      <c r="N9" s="727">
        <f>M9/M$11</f>
        <v>1.994538759101628E-3</v>
      </c>
      <c r="O9" s="726">
        <f>+K9+M9</f>
        <v>287618.79451612901</v>
      </c>
      <c r="P9" s="727">
        <f>O9/O$11</f>
        <v>2.029577569617485E-3</v>
      </c>
    </row>
    <row r="10" spans="2:16" x14ac:dyDescent="0.15">
      <c r="B10" s="728"/>
      <c r="C10" s="178"/>
      <c r="D10" s="727"/>
      <c r="E10" s="178"/>
      <c r="F10" s="727"/>
      <c r="G10" s="178"/>
      <c r="H10" s="727"/>
      <c r="J10" s="728" t="s">
        <v>1059</v>
      </c>
      <c r="K10" s="726">
        <f>'Tab. 23'!N56-'Tab. 23'!C53</f>
        <v>-1907334.8177672178</v>
      </c>
      <c r="L10" s="727">
        <f>K10/K$11</f>
        <v>-1.5799190445786402E-2</v>
      </c>
      <c r="M10" s="726">
        <f>'Tab. 23'!N62-'Tab. 23'!C59</f>
        <v>99181.30836955877</v>
      </c>
      <c r="N10" s="727">
        <f>M10/M$11</f>
        <v>4.7251592082875188E-3</v>
      </c>
      <c r="O10" s="726">
        <f>+K10+M10</f>
        <v>-1808153.509397659</v>
      </c>
      <c r="P10" s="727">
        <f>O10/O$11</f>
        <v>-1.2759207239125096E-2</v>
      </c>
    </row>
    <row r="11" spans="2:16" x14ac:dyDescent="0.15">
      <c r="B11" s="729" t="s">
        <v>1039</v>
      </c>
      <c r="C11" s="730">
        <f>+C8-C9</f>
        <v>122630913.93481612</v>
      </c>
      <c r="D11" s="731">
        <f t="shared" si="0"/>
        <v>0.998</v>
      </c>
      <c r="E11" s="730">
        <f>+E8-E9</f>
        <v>20890864.528732263</v>
      </c>
      <c r="F11" s="731">
        <f t="shared" si="1"/>
        <v>0.99800000000000011</v>
      </c>
      <c r="G11" s="730">
        <f>+G8-G9</f>
        <v>143521778.46354839</v>
      </c>
      <c r="H11" s="731">
        <f>G11/G$8</f>
        <v>0.99800000000000011</v>
      </c>
      <c r="J11" s="729" t="s">
        <v>1065</v>
      </c>
      <c r="K11" s="730">
        <f>+K8-K9+K10</f>
        <v>120723579.1170489</v>
      </c>
      <c r="L11" s="731">
        <f>K11/K$11</f>
        <v>1</v>
      </c>
      <c r="M11" s="730">
        <f>+M8-M9+M10</f>
        <v>20990045.837101821</v>
      </c>
      <c r="N11" s="731">
        <f>M11/M$11</f>
        <v>1</v>
      </c>
      <c r="O11" s="730">
        <f>+O8-O9+O10</f>
        <v>141713624.95415074</v>
      </c>
      <c r="P11" s="731">
        <f>O11/O$11</f>
        <v>1</v>
      </c>
    </row>
    <row r="12" spans="2:16" x14ac:dyDescent="0.15">
      <c r="B12" s="178"/>
      <c r="C12" s="178"/>
      <c r="D12" s="727"/>
      <c r="E12" s="178"/>
      <c r="F12" s="727"/>
      <c r="G12" s="178"/>
      <c r="H12" s="727"/>
      <c r="J12" s="178"/>
      <c r="K12" s="178"/>
      <c r="L12" s="727"/>
      <c r="M12" s="178"/>
      <c r="N12" s="727"/>
      <c r="O12" s="178"/>
      <c r="P12" s="727"/>
    </row>
    <row r="13" spans="2:16" x14ac:dyDescent="0.15">
      <c r="B13" s="178" t="s">
        <v>1032</v>
      </c>
      <c r="C13" s="726">
        <f>'Tab. 17'!$C$11*'Tab 2'!$L$14</f>
        <v>78596894.841088623</v>
      </c>
      <c r="D13" s="727">
        <f t="shared" si="0"/>
        <v>0.6396405158743308</v>
      </c>
      <c r="E13" s="726">
        <f>'Tab. 17'!$C$17*'Tab 2'!$L$15</f>
        <v>8423974.8124237526</v>
      </c>
      <c r="F13" s="727">
        <f t="shared" si="1"/>
        <v>0.40243077787595427</v>
      </c>
      <c r="G13" s="726">
        <f>+C13+E13</f>
        <v>87020869.653512374</v>
      </c>
      <c r="H13" s="727">
        <f>G13/G$8</f>
        <v>0.60511254001958092</v>
      </c>
      <c r="J13" s="178" t="s">
        <v>1066</v>
      </c>
      <c r="K13" s="726">
        <f>'Tab. 23'!O55</f>
        <v>76689560.02332142</v>
      </c>
      <c r="L13" s="727">
        <f>K13/K$11</f>
        <v>0.63524922458574717</v>
      </c>
      <c r="M13" s="726">
        <f>'Tab. 23'!O61</f>
        <v>8523156.1207933128</v>
      </c>
      <c r="N13" s="727">
        <f>M13/M$11</f>
        <v>0.40605705137279197</v>
      </c>
      <c r="O13" s="726">
        <f>+K13+M13</f>
        <v>85212716.144114733</v>
      </c>
      <c r="P13" s="727">
        <f>O13/O$11</f>
        <v>0.60130221191987709</v>
      </c>
    </row>
    <row r="14" spans="2:16" x14ac:dyDescent="0.15">
      <c r="B14" s="178"/>
      <c r="C14" s="178"/>
      <c r="D14" s="727"/>
      <c r="E14" s="178"/>
      <c r="F14" s="727"/>
      <c r="G14" s="178"/>
      <c r="H14" s="727"/>
      <c r="J14" s="178"/>
      <c r="K14" s="178"/>
      <c r="L14" s="727"/>
      <c r="M14" s="178"/>
      <c r="N14" s="727"/>
      <c r="O14" s="178"/>
      <c r="P14" s="727"/>
    </row>
    <row r="15" spans="2:16" x14ac:dyDescent="0.15">
      <c r="B15" s="729" t="s">
        <v>1033</v>
      </c>
      <c r="C15" s="730">
        <f>+C11-C13</f>
        <v>44034019.093727499</v>
      </c>
      <c r="D15" s="731">
        <f t="shared" si="0"/>
        <v>0.3583594841256692</v>
      </c>
      <c r="E15" s="730">
        <f>+E11-E13</f>
        <v>12466889.71630851</v>
      </c>
      <c r="F15" s="731">
        <f t="shared" si="1"/>
        <v>0.59556922212404573</v>
      </c>
      <c r="G15" s="730">
        <f>+G11-G13</f>
        <v>56500908.810036018</v>
      </c>
      <c r="H15" s="731">
        <f>G15/G$8</f>
        <v>0.39288745998041913</v>
      </c>
      <c r="J15" s="729" t="s">
        <v>1033</v>
      </c>
      <c r="K15" s="730">
        <f>+K11-K13</f>
        <v>44034019.093727484</v>
      </c>
      <c r="L15" s="731">
        <f>K15/K$11</f>
        <v>0.36475077541425283</v>
      </c>
      <c r="M15" s="730">
        <f>+M11-M13</f>
        <v>12466889.716308508</v>
      </c>
      <c r="N15" s="731">
        <f>M15/M$11</f>
        <v>0.59394294862720798</v>
      </c>
      <c r="O15" s="730">
        <f>+O11-O13</f>
        <v>56500908.810036004</v>
      </c>
      <c r="P15" s="731">
        <f>O15/O$11</f>
        <v>0.39869778808012291</v>
      </c>
    </row>
    <row r="16" spans="2:16" x14ac:dyDescent="0.15">
      <c r="B16" s="178"/>
      <c r="C16" s="178"/>
      <c r="D16" s="727"/>
      <c r="E16" s="178"/>
      <c r="F16" s="727"/>
      <c r="G16" s="178"/>
      <c r="H16" s="727"/>
      <c r="J16" s="178"/>
      <c r="K16" s="178"/>
      <c r="L16" s="727"/>
      <c r="M16" s="178"/>
      <c r="N16" s="727"/>
      <c r="O16" s="178"/>
      <c r="P16" s="727"/>
    </row>
    <row r="17" spans="2:16" x14ac:dyDescent="0.15">
      <c r="B17" s="178" t="s">
        <v>1078</v>
      </c>
      <c r="C17" s="726">
        <f>'Tab. 16'!C45+'Tab. 17'!C49</f>
        <v>269681.90295195748</v>
      </c>
      <c r="D17" s="727">
        <f t="shared" si="0"/>
        <v>2.1947364698685604E-3</v>
      </c>
      <c r="E17" s="726">
        <f>+'Tab. 16'!D45+'Tab. 17'!D49</f>
        <v>348391.72412052948</v>
      </c>
      <c r="F17" s="727">
        <f t="shared" si="1"/>
        <v>1.6643396456574883E-2</v>
      </c>
      <c r="G17" s="726">
        <f>+C17+E17</f>
        <v>618073.62707248703</v>
      </c>
      <c r="H17" s="727">
        <f>G17/G$8</f>
        <v>4.297866751804544E-3</v>
      </c>
      <c r="J17" s="178" t="s">
        <v>1078</v>
      </c>
      <c r="K17" s="726">
        <f>+C17</f>
        <v>269681.90295195748</v>
      </c>
      <c r="L17" s="727">
        <f>K17/K$11</f>
        <v>2.2338792879101469E-3</v>
      </c>
      <c r="M17" s="726">
        <f>+E17</f>
        <v>348391.72412052948</v>
      </c>
      <c r="N17" s="727">
        <f>M17/M$11</f>
        <v>1.6597949657866651E-2</v>
      </c>
      <c r="O17" s="726">
        <f>+K17+M17</f>
        <v>618073.62707248703</v>
      </c>
      <c r="P17" s="727">
        <f>O17/O$11</f>
        <v>4.3614269783336301E-3</v>
      </c>
    </row>
    <row r="18" spans="2:16" hidden="1" x14ac:dyDescent="0.15">
      <c r="B18" s="178"/>
      <c r="C18" s="178"/>
      <c r="D18" s="727"/>
      <c r="E18" s="178"/>
      <c r="F18" s="727"/>
      <c r="G18" s="178"/>
      <c r="H18" s="727"/>
      <c r="J18" s="178"/>
      <c r="K18" s="178"/>
      <c r="L18" s="727"/>
      <c r="M18" s="178"/>
      <c r="N18" s="727"/>
      <c r="O18" s="178"/>
      <c r="P18" s="727"/>
    </row>
    <row r="19" spans="2:16" hidden="1" x14ac:dyDescent="0.15">
      <c r="B19" s="729" t="s">
        <v>1040</v>
      </c>
      <c r="C19" s="730">
        <f>C15-C17</f>
        <v>43764337.190775543</v>
      </c>
      <c r="D19" s="731">
        <f t="shared" si="0"/>
        <v>0.35616474765580064</v>
      </c>
      <c r="E19" s="730">
        <f>E15-E17</f>
        <v>12118497.992187981</v>
      </c>
      <c r="F19" s="731">
        <f t="shared" si="1"/>
        <v>0.57892582566747086</v>
      </c>
      <c r="G19" s="730">
        <f>G15-G17</f>
        <v>55882835.182963535</v>
      </c>
      <c r="H19" s="731">
        <f>G19/G$8</f>
        <v>0.38858959322861464</v>
      </c>
      <c r="J19" s="729" t="s">
        <v>1040</v>
      </c>
      <c r="K19" s="730">
        <f>K15-K17</f>
        <v>43764337.190775529</v>
      </c>
      <c r="L19" s="731">
        <f>K19/K$11</f>
        <v>0.36251689612634269</v>
      </c>
      <c r="M19" s="730">
        <f>M15-M17</f>
        <v>12118497.992187979</v>
      </c>
      <c r="N19" s="731">
        <f>M19/M$11</f>
        <v>0.57734499896934133</v>
      </c>
      <c r="O19" s="730">
        <f>O15-O17</f>
        <v>55882835.18296352</v>
      </c>
      <c r="P19" s="731">
        <f>O19/O$11</f>
        <v>0.39433636110178927</v>
      </c>
    </row>
    <row r="20" spans="2:16" hidden="1" x14ac:dyDescent="0.15">
      <c r="B20" s="732"/>
      <c r="C20" s="733"/>
      <c r="D20" s="734"/>
      <c r="E20" s="733"/>
      <c r="F20" s="734"/>
      <c r="G20" s="733"/>
      <c r="H20" s="734"/>
      <c r="J20" s="732"/>
      <c r="K20" s="733"/>
      <c r="L20" s="734"/>
      <c r="M20" s="733"/>
      <c r="N20" s="734"/>
      <c r="O20" s="733"/>
      <c r="P20" s="734"/>
    </row>
    <row r="21" spans="2:16" hidden="1" x14ac:dyDescent="0.15">
      <c r="B21" s="178" t="s">
        <v>1041</v>
      </c>
      <c r="C21" s="735"/>
      <c r="D21" s="727"/>
      <c r="E21" s="735"/>
      <c r="F21" s="727"/>
      <c r="G21" s="726"/>
      <c r="H21" s="727"/>
      <c r="J21" s="178" t="s">
        <v>1041</v>
      </c>
      <c r="K21" s="735"/>
      <c r="L21" s="727"/>
      <c r="M21" s="735"/>
      <c r="N21" s="727"/>
      <c r="O21" s="726"/>
      <c r="P21" s="727"/>
    </row>
    <row r="22" spans="2:16" x14ac:dyDescent="0.15">
      <c r="B22" s="732"/>
      <c r="C22" s="733"/>
      <c r="D22" s="734"/>
      <c r="E22" s="733"/>
      <c r="F22" s="734"/>
      <c r="G22" s="733"/>
      <c r="H22" s="734"/>
      <c r="J22" s="732"/>
      <c r="K22" s="733"/>
      <c r="L22" s="734"/>
      <c r="M22" s="733"/>
      <c r="N22" s="734"/>
      <c r="O22" s="733"/>
      <c r="P22" s="734"/>
    </row>
    <row r="23" spans="2:16" x14ac:dyDescent="0.15">
      <c r="B23" s="729" t="s">
        <v>1043</v>
      </c>
      <c r="C23" s="730">
        <f>C19-C21</f>
        <v>43764337.190775543</v>
      </c>
      <c r="D23" s="731">
        <f>C23/C$11</f>
        <v>0.35687850466513094</v>
      </c>
      <c r="E23" s="730">
        <f>E19-E21</f>
        <v>12118497.992187981</v>
      </c>
      <c r="F23" s="731">
        <f>E23/E$11</f>
        <v>0.58008599766279645</v>
      </c>
      <c r="G23" s="730">
        <f>G19-G21</f>
        <v>55882835.182963535</v>
      </c>
      <c r="H23" s="731">
        <f>G23/G$8</f>
        <v>0.38858959322861464</v>
      </c>
      <c r="J23" s="729" t="s">
        <v>1043</v>
      </c>
      <c r="K23" s="730">
        <f>K19-K21</f>
        <v>43764337.190775529</v>
      </c>
      <c r="L23" s="731">
        <f>K23/K$11</f>
        <v>0.36251689612634269</v>
      </c>
      <c r="M23" s="730">
        <f>M19-M21</f>
        <v>12118497.992187979</v>
      </c>
      <c r="N23" s="731">
        <f>M23/M$11</f>
        <v>0.57734499896934133</v>
      </c>
      <c r="O23" s="730">
        <f>O19-O21</f>
        <v>55882835.18296352</v>
      </c>
      <c r="P23" s="731">
        <f>O23/O$11</f>
        <v>0.39433636110178927</v>
      </c>
    </row>
    <row r="24" spans="2:16" x14ac:dyDescent="0.15">
      <c r="B24" s="178"/>
      <c r="C24" s="178"/>
      <c r="D24" s="727"/>
      <c r="E24" s="178"/>
      <c r="F24" s="727"/>
      <c r="G24" s="178"/>
      <c r="H24" s="727"/>
      <c r="J24" s="178"/>
      <c r="K24" s="178"/>
      <c r="L24" s="727"/>
      <c r="M24" s="178"/>
      <c r="N24" s="727"/>
      <c r="O24" s="178"/>
      <c r="P24" s="727"/>
    </row>
    <row r="25" spans="2:16" x14ac:dyDescent="0.15">
      <c r="B25" s="178" t="s">
        <v>1036</v>
      </c>
      <c r="C25" s="735"/>
      <c r="D25" s="727"/>
      <c r="E25" s="735"/>
      <c r="F25" s="727"/>
      <c r="G25" s="726">
        <f>+'Tab. 22'!O18</f>
        <v>49988074.495213576</v>
      </c>
      <c r="H25" s="727">
        <f>G25/G$8</f>
        <v>0.34759949939509505</v>
      </c>
      <c r="J25" s="178" t="s">
        <v>1036</v>
      </c>
      <c r="K25" s="735"/>
      <c r="L25" s="727"/>
      <c r="M25" s="735"/>
      <c r="N25" s="727"/>
      <c r="O25" s="726">
        <f>+G25</f>
        <v>49988074.495213576</v>
      </c>
      <c r="P25" s="727">
        <f t="shared" ref="P25:P26" si="2">O25/O$11</f>
        <v>0.35274007359127568</v>
      </c>
    </row>
    <row r="26" spans="2:16" x14ac:dyDescent="0.15">
      <c r="B26" s="178" t="s">
        <v>1051</v>
      </c>
      <c r="C26" s="735"/>
      <c r="D26" s="727"/>
      <c r="E26" s="735"/>
      <c r="F26" s="727"/>
      <c r="G26" s="726">
        <f>+'Tab. 22'!O38</f>
        <v>3542186.879991753</v>
      </c>
      <c r="H26" s="727">
        <f>G26/G$8</f>
        <v>2.4631122496364646E-2</v>
      </c>
      <c r="J26" s="178" t="s">
        <v>1051</v>
      </c>
      <c r="K26" s="735"/>
      <c r="L26" s="727"/>
      <c r="M26" s="735"/>
      <c r="N26" s="727"/>
      <c r="O26" s="726">
        <f>+G26</f>
        <v>3542186.879991753</v>
      </c>
      <c r="P26" s="727">
        <f t="shared" si="2"/>
        <v>2.4995386866561158E-2</v>
      </c>
    </row>
    <row r="27" spans="2:16" x14ac:dyDescent="0.15">
      <c r="B27" s="178"/>
      <c r="C27" s="178"/>
      <c r="D27" s="727"/>
      <c r="E27" s="178"/>
      <c r="F27" s="727"/>
      <c r="G27" s="178"/>
      <c r="H27" s="727"/>
      <c r="J27" s="178"/>
      <c r="K27" s="178"/>
      <c r="L27" s="727"/>
      <c r="M27" s="178"/>
      <c r="N27" s="727"/>
      <c r="O27" s="178"/>
      <c r="P27" s="727"/>
    </row>
    <row r="28" spans="2:16" x14ac:dyDescent="0.15">
      <c r="B28" s="729" t="s">
        <v>53</v>
      </c>
      <c r="C28" s="730"/>
      <c r="D28" s="731"/>
      <c r="E28" s="730"/>
      <c r="F28" s="731"/>
      <c r="G28" s="730">
        <f>+G23-G25-G26</f>
        <v>2352573.8077582065</v>
      </c>
      <c r="H28" s="731">
        <f>G28/G$8</f>
        <v>1.6358971337154946E-2</v>
      </c>
      <c r="J28" s="729" t="s">
        <v>53</v>
      </c>
      <c r="K28" s="730"/>
      <c r="L28" s="731"/>
      <c r="M28" s="730"/>
      <c r="N28" s="731"/>
      <c r="O28" s="730">
        <f>+O23-O25-O26</f>
        <v>2352573.8077581916</v>
      </c>
      <c r="P28" s="731">
        <f>O28/O$11</f>
        <v>1.6600900643952414E-2</v>
      </c>
    </row>
    <row r="30" spans="2:16" x14ac:dyDescent="0.15">
      <c r="O30" s="91" t="s">
        <v>68</v>
      </c>
    </row>
    <row r="31" spans="2:16" x14ac:dyDescent="0.15">
      <c r="O31" s="689">
        <f>+O28-G28</f>
        <v>-1.4901161193847656E-8</v>
      </c>
    </row>
    <row r="32" spans="2:16" x14ac:dyDescent="0.15">
      <c r="B32" s="91" t="s">
        <v>1070</v>
      </c>
      <c r="C32" s="741">
        <f>'Tab 5'!O15</f>
        <v>666082.12060847704</v>
      </c>
      <c r="D32" s="742"/>
      <c r="E32" s="741">
        <f>'Tab 5'!O28</f>
        <v>42358.371125483332</v>
      </c>
    </row>
    <row r="34" spans="2:7" x14ac:dyDescent="0.15">
      <c r="B34" s="91" t="s">
        <v>1069</v>
      </c>
      <c r="C34" s="744">
        <f>C32*'Tab. 16'!$C$8</f>
        <v>72436197.487429664</v>
      </c>
      <c r="D34" s="745"/>
      <c r="E34" s="744">
        <f>E32*'Tab. 16'!$C$12</f>
        <v>8005732.14271635</v>
      </c>
      <c r="G34" s="753">
        <f>+C34+E34</f>
        <v>80441929.630146012</v>
      </c>
    </row>
    <row r="35" spans="2:7" x14ac:dyDescent="0.15">
      <c r="B35" s="91" t="s">
        <v>828</v>
      </c>
      <c r="C35" s="744">
        <f>C32*'Tab. 14'!$C$9</f>
        <v>270851.14624486398</v>
      </c>
      <c r="D35" s="745"/>
      <c r="E35" s="744">
        <f>E32*'Tab. 14'!$C$13</f>
        <v>29148.853755135955</v>
      </c>
      <c r="G35" s="753">
        <f t="shared" ref="G35:G40" si="3">+C35+E35</f>
        <v>299999.99999999994</v>
      </c>
    </row>
    <row r="36" spans="2:7" x14ac:dyDescent="0.15">
      <c r="B36" s="91" t="s">
        <v>1073</v>
      </c>
      <c r="C36" s="744">
        <f>C32*'Tab. 16'!$C$9</f>
        <v>3115658.5331633999</v>
      </c>
      <c r="D36" s="745"/>
      <c r="E36" s="744">
        <f>E32*'Tab. 16'!$C$13</f>
        <v>366273.26493606868</v>
      </c>
      <c r="G36" s="753">
        <f t="shared" si="3"/>
        <v>3481931.7980994685</v>
      </c>
    </row>
    <row r="37" spans="2:7" x14ac:dyDescent="0.15">
      <c r="B37" s="91" t="s">
        <v>1076</v>
      </c>
      <c r="C37" s="744">
        <f>C32*'Tab. 17'!$C$10</f>
        <v>866852.85648347437</v>
      </c>
      <c r="D37" s="745"/>
      <c r="E37" s="744">
        <f>E32*'Tab. 17'!$C$16</f>
        <v>122001.85938575499</v>
      </c>
      <c r="G37" s="753">
        <f t="shared" si="3"/>
        <v>988854.7158692294</v>
      </c>
    </row>
    <row r="38" spans="2:7" x14ac:dyDescent="0.15">
      <c r="B38" s="200" t="s">
        <v>1071</v>
      </c>
      <c r="C38" s="746">
        <f>SUM(C34:C37)</f>
        <v>76689560.023321405</v>
      </c>
      <c r="D38" s="747"/>
      <c r="E38" s="746">
        <f>SUM(E34:E37)</f>
        <v>8523156.1207933091</v>
      </c>
      <c r="G38" s="753">
        <f t="shared" si="3"/>
        <v>85212716.144114718</v>
      </c>
    </row>
    <row r="39" spans="2:7" x14ac:dyDescent="0.15">
      <c r="B39" s="743" t="s">
        <v>1072</v>
      </c>
      <c r="C39" s="744">
        <f>-('Tab. 23'!N56-'Tab. 23'!C53)</f>
        <v>1907334.8177672178</v>
      </c>
      <c r="D39" s="745"/>
      <c r="E39" s="744">
        <f>-('Tab. 23'!N62-'Tab. 23'!C59)</f>
        <v>-99181.30836955877</v>
      </c>
      <c r="G39" s="753">
        <f t="shared" si="3"/>
        <v>1808153.509397659</v>
      </c>
    </row>
    <row r="40" spans="2:7" x14ac:dyDescent="0.15">
      <c r="B40" s="200" t="s">
        <v>1032</v>
      </c>
      <c r="C40" s="748">
        <f>C38+C39</f>
        <v>78596894.841088623</v>
      </c>
      <c r="D40" s="749"/>
      <c r="E40" s="748">
        <f>E38+E39</f>
        <v>8423974.8124237508</v>
      </c>
      <c r="G40" s="753">
        <f t="shared" si="3"/>
        <v>87020869.653512374</v>
      </c>
    </row>
    <row r="42" spans="2:7" x14ac:dyDescent="0.15">
      <c r="B42" s="91" t="s">
        <v>68</v>
      </c>
      <c r="C42" s="689">
        <f>C40-C13</f>
        <v>0</v>
      </c>
      <c r="E42" s="689">
        <f>E40-E13</f>
        <v>0</v>
      </c>
    </row>
  </sheetData>
  <mergeCells count="2">
    <mergeCell ref="C6:H6"/>
    <mergeCell ref="K6:P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774F-BAD5-1C4E-A71D-F5C948BA47EC}">
  <sheetPr codeName="Foglio42">
    <tabColor theme="4"/>
  </sheetPr>
  <dimension ref="B2:Q36"/>
  <sheetViews>
    <sheetView showGridLines="0" topLeftCell="A9" zoomScale="160" zoomScaleNormal="160" workbookViewId="0">
      <selection activeCell="C23" sqref="C23"/>
    </sheetView>
  </sheetViews>
  <sheetFormatPr baseColWidth="10" defaultRowHeight="16" outlineLevelRow="1" x14ac:dyDescent="0.15"/>
  <cols>
    <col min="1" max="1" width="2.5" style="91" customWidth="1"/>
    <col min="2" max="2" width="27.83203125" style="91" customWidth="1"/>
    <col min="3" max="3" width="12.1640625" style="91" customWidth="1"/>
    <col min="4" max="4" width="12.1640625" style="722" customWidth="1"/>
    <col min="5" max="5" width="13.33203125" style="91" customWidth="1"/>
    <col min="6" max="6" width="12.1640625" style="722" customWidth="1"/>
    <col min="7" max="7" width="12.1640625" style="91" customWidth="1"/>
    <col min="8" max="8" width="12.1640625" style="722" customWidth="1"/>
    <col min="9" max="14" width="12.1640625" style="91" customWidth="1"/>
    <col min="15" max="15" width="13.6640625" style="91" customWidth="1"/>
    <col min="16" max="16384" width="10.83203125" style="91"/>
  </cols>
  <sheetData>
    <row r="2" spans="2:17" x14ac:dyDescent="0.15">
      <c r="B2" s="91" t="s">
        <v>1094</v>
      </c>
    </row>
    <row r="4" spans="2:17" x14ac:dyDescent="0.15">
      <c r="B4" s="736" t="s">
        <v>1057</v>
      </c>
    </row>
    <row r="5" spans="2:17" ht="17" thickBot="1" x14ac:dyDescent="0.2"/>
    <row r="6" spans="2:17" x14ac:dyDescent="0.2">
      <c r="B6" s="330"/>
      <c r="C6" s="1056" t="s">
        <v>196</v>
      </c>
      <c r="D6" s="1044"/>
      <c r="E6" s="1044"/>
      <c r="F6" s="1044"/>
      <c r="G6" s="1044"/>
      <c r="H6" s="1044"/>
      <c r="I6" s="1044"/>
      <c r="J6" s="1044"/>
      <c r="K6" s="1044"/>
      <c r="L6" s="1044"/>
      <c r="M6" s="1044"/>
      <c r="N6" s="1044"/>
      <c r="O6" s="1045"/>
    </row>
    <row r="7" spans="2:17" x14ac:dyDescent="0.2">
      <c r="B7" s="331"/>
      <c r="C7" s="419" t="s">
        <v>211</v>
      </c>
      <c r="D7" s="420" t="s">
        <v>212</v>
      </c>
      <c r="E7" s="420" t="s">
        <v>213</v>
      </c>
      <c r="F7" s="420" t="s">
        <v>214</v>
      </c>
      <c r="G7" s="420" t="s">
        <v>215</v>
      </c>
      <c r="H7" s="420" t="s">
        <v>216</v>
      </c>
      <c r="I7" s="420" t="s">
        <v>217</v>
      </c>
      <c r="J7" s="420" t="s">
        <v>218</v>
      </c>
      <c r="K7" s="420" t="s">
        <v>219</v>
      </c>
      <c r="L7" s="420" t="s">
        <v>220</v>
      </c>
      <c r="M7" s="420" t="s">
        <v>221</v>
      </c>
      <c r="N7" s="420" t="s">
        <v>222</v>
      </c>
      <c r="O7" s="713" t="s">
        <v>179</v>
      </c>
    </row>
    <row r="8" spans="2:17" x14ac:dyDescent="0.2">
      <c r="B8" s="218" t="s">
        <v>40</v>
      </c>
      <c r="C8" s="679">
        <f>'Tab. 4'!C9</f>
        <v>11015187.875085792</v>
      </c>
      <c r="D8" s="100">
        <f>'Tab. 4'!D9</f>
        <v>12239097.638984215</v>
      </c>
      <c r="E8" s="100">
        <f>'Tab. 4'!E9</f>
        <v>14074962.284831846</v>
      </c>
      <c r="F8" s="100">
        <f>'Tab. 4'!F9</f>
        <v>12851052.520933423</v>
      </c>
      <c r="G8" s="100">
        <f>'Tab. 4'!G9</f>
        <v>12851052.520933423</v>
      </c>
      <c r="H8" s="100">
        <f>'Tab. 4'!H9</f>
        <v>13463007.402882634</v>
      </c>
      <c r="I8" s="100">
        <f>'Tab. 4'!I9</f>
        <v>13463007.402882634</v>
      </c>
      <c r="J8" s="100">
        <f>'Tab. 4'!J9</f>
        <v>7343458.5833905274</v>
      </c>
      <c r="K8" s="100">
        <f>'Tab. 4'!K9</f>
        <v>13463007.402882634</v>
      </c>
      <c r="L8" s="100">
        <f>'Tab. 4'!L9</f>
        <v>12851052.520933423</v>
      </c>
      <c r="M8" s="100">
        <f>'Tab. 4'!M9</f>
        <v>12851052.520933423</v>
      </c>
      <c r="N8" s="100">
        <f>'Tab. 4'!N9</f>
        <v>7343458.5833905274</v>
      </c>
      <c r="O8" s="324">
        <f>SUM(C8:N8)</f>
        <v>143809397.25806451</v>
      </c>
    </row>
    <row r="9" spans="2:17" x14ac:dyDescent="0.2">
      <c r="B9" s="340" t="s">
        <v>1037</v>
      </c>
      <c r="C9" s="679">
        <f>0.2%*C8</f>
        <v>22030.375750171585</v>
      </c>
      <c r="D9" s="100">
        <f t="shared" ref="D9:N9" si="0">0.2%*D8</f>
        <v>24478.195277968429</v>
      </c>
      <c r="E9" s="100">
        <f t="shared" si="0"/>
        <v>28149.924569663694</v>
      </c>
      <c r="F9" s="100">
        <f t="shared" si="0"/>
        <v>25702.105041866846</v>
      </c>
      <c r="G9" s="100">
        <f t="shared" si="0"/>
        <v>25702.105041866846</v>
      </c>
      <c r="H9" s="100">
        <f t="shared" si="0"/>
        <v>26926.01480576527</v>
      </c>
      <c r="I9" s="100">
        <f t="shared" si="0"/>
        <v>26926.01480576527</v>
      </c>
      <c r="J9" s="100">
        <f t="shared" si="0"/>
        <v>14686.917166781055</v>
      </c>
      <c r="K9" s="100">
        <f t="shared" si="0"/>
        <v>26926.01480576527</v>
      </c>
      <c r="L9" s="100">
        <f t="shared" si="0"/>
        <v>25702.105041866846</v>
      </c>
      <c r="M9" s="100">
        <f t="shared" si="0"/>
        <v>25702.105041866846</v>
      </c>
      <c r="N9" s="100">
        <f t="shared" si="0"/>
        <v>14686.917166781055</v>
      </c>
      <c r="O9" s="324">
        <f>SUM(C9:N9)</f>
        <v>287618.79451612895</v>
      </c>
    </row>
    <row r="10" spans="2:17" x14ac:dyDescent="0.2">
      <c r="B10" s="340"/>
      <c r="D10" s="91"/>
      <c r="F10" s="91"/>
      <c r="H10" s="91"/>
      <c r="I10" s="100"/>
      <c r="J10" s="100"/>
      <c r="K10" s="100"/>
      <c r="L10" s="100"/>
      <c r="M10" s="100"/>
      <c r="N10" s="100"/>
      <c r="O10" s="465"/>
    </row>
    <row r="11" spans="2:17" x14ac:dyDescent="0.15">
      <c r="B11" s="761" t="s">
        <v>1039</v>
      </c>
      <c r="C11" s="754">
        <f>+C8-C9</f>
        <v>10993157.499335621</v>
      </c>
      <c r="D11" s="754">
        <f t="shared" ref="D11:O11" si="1">+D8-D9</f>
        <v>12214619.443706246</v>
      </c>
      <c r="E11" s="754">
        <f t="shared" si="1"/>
        <v>14046812.360262182</v>
      </c>
      <c r="F11" s="754">
        <f t="shared" si="1"/>
        <v>12825350.415891556</v>
      </c>
      <c r="G11" s="754">
        <f t="shared" si="1"/>
        <v>12825350.415891556</v>
      </c>
      <c r="H11" s="754">
        <f t="shared" si="1"/>
        <v>13436081.388076868</v>
      </c>
      <c r="I11" s="754">
        <f t="shared" si="1"/>
        <v>13436081.388076868</v>
      </c>
      <c r="J11" s="754">
        <f t="shared" si="1"/>
        <v>7328771.6662237467</v>
      </c>
      <c r="K11" s="754">
        <f t="shared" si="1"/>
        <v>13436081.388076868</v>
      </c>
      <c r="L11" s="754">
        <f t="shared" si="1"/>
        <v>12825350.415891556</v>
      </c>
      <c r="M11" s="754">
        <f t="shared" si="1"/>
        <v>12825350.415891556</v>
      </c>
      <c r="N11" s="754">
        <f t="shared" si="1"/>
        <v>7328771.6662237467</v>
      </c>
      <c r="O11" s="762">
        <f t="shared" si="1"/>
        <v>143521778.46354839</v>
      </c>
    </row>
    <row r="12" spans="2:17" x14ac:dyDescent="0.15">
      <c r="B12" s="230"/>
      <c r="D12" s="91"/>
      <c r="F12" s="91"/>
      <c r="H12" s="91"/>
      <c r="O12" s="252"/>
    </row>
    <row r="13" spans="2:17" s="757" customFormat="1" hidden="1" outlineLevel="1" x14ac:dyDescent="0.2">
      <c r="B13" s="763" t="s">
        <v>1080</v>
      </c>
      <c r="C13" s="758">
        <f>'Tab. 8'!C60</f>
        <v>6454699.5822317358</v>
      </c>
      <c r="D13" s="758">
        <f>'Tab. 8'!D60</f>
        <v>7286215.4702423373</v>
      </c>
      <c r="E13" s="758">
        <f>'Tab. 8'!E60</f>
        <v>8050730.498720794</v>
      </c>
      <c r="F13" s="758">
        <f>'Tab. 8'!F60</f>
        <v>7442361.3877202189</v>
      </c>
      <c r="G13" s="758">
        <f>'Tab. 8'!G60</f>
        <v>7303495.0472512841</v>
      </c>
      <c r="H13" s="758">
        <f>'Tab. 8'!H60</f>
        <v>7853833.9722076533</v>
      </c>
      <c r="I13" s="758">
        <f>'Tab. 8'!I60</f>
        <v>6919460.8738672379</v>
      </c>
      <c r="J13" s="758">
        <f>'Tab. 8'!J60</f>
        <v>4321654.7706176294</v>
      </c>
      <c r="K13" s="758">
        <f>'Tab. 8'!K60</f>
        <v>7266433.1549180066</v>
      </c>
      <c r="L13" s="758">
        <f>'Tab. 8'!L60</f>
        <v>6628962.1062278468</v>
      </c>
      <c r="M13" s="758">
        <f>'Tab. 8'!M60</f>
        <v>6576187.7784187235</v>
      </c>
      <c r="N13" s="758">
        <f>'Tab. 8'!N60</f>
        <v>4375537.6398723517</v>
      </c>
      <c r="O13" s="764">
        <f t="shared" ref="O13:O14" si="2">SUM(C13:N13)</f>
        <v>80479572.282295823</v>
      </c>
    </row>
    <row r="14" spans="2:17" s="757" customFormat="1" hidden="1" outlineLevel="1" x14ac:dyDescent="0.2">
      <c r="B14" s="765" t="s">
        <v>1081</v>
      </c>
      <c r="C14" s="758">
        <f>-('Tab. 8'!C61-'Tab. 8'!C58)</f>
        <v>273.40703313797712</v>
      </c>
      <c r="D14" s="758">
        <f>-('Tab. 8'!D61-'Tab. 8'!D58)</f>
        <v>-41595.95058056619</v>
      </c>
      <c r="E14" s="758">
        <f>-('Tab. 8'!E61-'Tab. 8'!E58)</f>
        <v>20529.481588882394</v>
      </c>
      <c r="F14" s="758">
        <f>-('Tab. 8'!F61-'Tab. 8'!F58)</f>
        <v>33545.542596842162</v>
      </c>
      <c r="G14" s="758">
        <f>-('Tab. 8'!G61-'Tab. 8'!G58)</f>
        <v>-95192.140212764032</v>
      </c>
      <c r="H14" s="758">
        <f>-('Tab. 8'!H61-'Tab. 8'!H58)</f>
        <v>62306.89361702092</v>
      </c>
      <c r="I14" s="758">
        <f>-('Tab. 8'!I61-'Tab. 8'!I58)</f>
        <v>40132.735957446508</v>
      </c>
      <c r="J14" s="758">
        <f>-('Tab. 8'!J61-'Tab. 8'!J58)</f>
        <v>-3759.7528950758278</v>
      </c>
      <c r="K14" s="758">
        <f>-('Tab. 8'!K61-'Tab. 8'!K58)</f>
        <v>-63821.493700668216</v>
      </c>
      <c r="L14" s="758">
        <f>-('Tab. 8'!L61-'Tab. 8'!L58)</f>
        <v>44000</v>
      </c>
      <c r="M14" s="758">
        <f>-('Tab. 8'!M61-'Tab. 8'!M58)</f>
        <v>23581.246595744044</v>
      </c>
      <c r="N14" s="758">
        <f>-('Tab. 8'!N61-'Tab. 8'!N58)</f>
        <v>-57642.622149798088</v>
      </c>
      <c r="O14" s="764">
        <f t="shared" si="2"/>
        <v>-37642.652149798349</v>
      </c>
    </row>
    <row r="15" spans="2:17" s="757" customFormat="1" hidden="1" outlineLevel="1" x14ac:dyDescent="0.15">
      <c r="B15" s="766" t="s">
        <v>76</v>
      </c>
      <c r="C15" s="759">
        <f>SUM(C13:C14)</f>
        <v>6454972.9892648738</v>
      </c>
      <c r="D15" s="759">
        <f>SUM(D13:D14)</f>
        <v>7244619.5196617711</v>
      </c>
      <c r="E15" s="759">
        <f t="shared" ref="E15:O15" si="3">SUM(E13:E14)</f>
        <v>8071259.9803096764</v>
      </c>
      <c r="F15" s="759">
        <f t="shared" si="3"/>
        <v>7475906.930317061</v>
      </c>
      <c r="G15" s="759">
        <f t="shared" si="3"/>
        <v>7208302.9070385201</v>
      </c>
      <c r="H15" s="759">
        <f t="shared" si="3"/>
        <v>7916140.8658246743</v>
      </c>
      <c r="I15" s="759">
        <f t="shared" si="3"/>
        <v>6959593.6098246844</v>
      </c>
      <c r="J15" s="759">
        <f t="shared" si="3"/>
        <v>4317895.0177225536</v>
      </c>
      <c r="K15" s="759">
        <f t="shared" si="3"/>
        <v>7202611.6612173384</v>
      </c>
      <c r="L15" s="759">
        <f t="shared" si="3"/>
        <v>6672962.1062278468</v>
      </c>
      <c r="M15" s="759">
        <f t="shared" si="3"/>
        <v>6599769.0250144675</v>
      </c>
      <c r="N15" s="759">
        <f t="shared" si="3"/>
        <v>4317895.0177225536</v>
      </c>
      <c r="O15" s="767">
        <f t="shared" si="3"/>
        <v>80441929.630146027</v>
      </c>
      <c r="Q15" s="760">
        <f>+O15-'Tab. 8'!O59</f>
        <v>0</v>
      </c>
    </row>
    <row r="16" spans="2:17" s="757" customFormat="1" hidden="1" outlineLevel="1" x14ac:dyDescent="0.2">
      <c r="B16" s="763" t="s">
        <v>828</v>
      </c>
      <c r="C16" s="758">
        <f>'Tab. 14'!$C$9*'Tab 5'!C$15+'Tab. 14'!$C$13*'Tab 5'!C$28</f>
        <v>24069.280887603691</v>
      </c>
      <c r="D16" s="758">
        <f>'Tab. 14'!$C$9*'Tab 5'!D$15+'Tab. 14'!$C$13*'Tab 5'!D$28</f>
        <v>27019.438382221684</v>
      </c>
      <c r="E16" s="758">
        <f>'Tab. 14'!$C$9*'Tab 5'!E$15+'Tab. 14'!$C$13*'Tab 5'!E$28</f>
        <v>30107.080879598518</v>
      </c>
      <c r="F16" s="758">
        <f>'Tab. 14'!$C$9*'Tab 5'!F$15+'Tab. 14'!$C$13*'Tab 5'!F$28</f>
        <v>27880.95552233003</v>
      </c>
      <c r="G16" s="758">
        <f>'Tab. 14'!$C$9*'Tab 5'!G$15+'Tab. 14'!$C$13*'Tab 5'!G$28</f>
        <v>26906.609841038524</v>
      </c>
      <c r="H16" s="758">
        <f>'Tab. 14'!$C$9*'Tab 5'!H$15+'Tab. 14'!$C$13*'Tab 5'!H$28</f>
        <v>29515.331788074865</v>
      </c>
      <c r="I16" s="758">
        <f>'Tab. 14'!$C$9*'Tab 5'!I$15+'Tab. 14'!$C$13*'Tab 5'!I$28</f>
        <v>25948.845275221345</v>
      </c>
      <c r="J16" s="758">
        <f>'Tab. 14'!$C$9*'Tab 5'!J$15+'Tab. 14'!$C$13*'Tab 5'!J$28</f>
        <v>16099.271884404487</v>
      </c>
      <c r="K16" s="758">
        <f>'Tab. 14'!$C$9*'Tab 5'!K$15+'Tab. 14'!$C$13*'Tab 5'!K$28</f>
        <v>26875.958657003313</v>
      </c>
      <c r="L16" s="758">
        <f>'Tab. 14'!$C$9*'Tab 5'!L$15+'Tab. 14'!$C$13*'Tab 5'!L$28</f>
        <v>24870.715713244728</v>
      </c>
      <c r="M16" s="758">
        <f>'Tab. 14'!$C$9*'Tab 5'!M$15+'Tab. 14'!$C$13*'Tab 5'!M$28</f>
        <v>24607.239284854291</v>
      </c>
      <c r="N16" s="758">
        <f>'Tab. 14'!$C$9*'Tab 5'!N$15+'Tab. 14'!$C$13*'Tab 5'!N$28</f>
        <v>16099.271884404487</v>
      </c>
      <c r="O16" s="764">
        <f>SUM(C16:N16)</f>
        <v>299999.99999999994</v>
      </c>
    </row>
    <row r="17" spans="2:17" s="757" customFormat="1" hidden="1" outlineLevel="1" x14ac:dyDescent="0.15">
      <c r="B17" s="766" t="s">
        <v>1066</v>
      </c>
      <c r="C17" s="759">
        <f>SUM(C15:C16)</f>
        <v>6479042.2701524775</v>
      </c>
      <c r="D17" s="759">
        <f t="shared" ref="D17:O17" si="4">SUM(D15:D16)</f>
        <v>7271638.9580439925</v>
      </c>
      <c r="E17" s="759">
        <f t="shared" si="4"/>
        <v>8101367.0611892752</v>
      </c>
      <c r="F17" s="759">
        <f t="shared" si="4"/>
        <v>7503787.8858393915</v>
      </c>
      <c r="G17" s="759">
        <f t="shared" si="4"/>
        <v>7235209.5168795586</v>
      </c>
      <c r="H17" s="759">
        <f t="shared" si="4"/>
        <v>7945656.1976127494</v>
      </c>
      <c r="I17" s="759">
        <f t="shared" si="4"/>
        <v>6985542.4550999058</v>
      </c>
      <c r="J17" s="759">
        <f t="shared" si="4"/>
        <v>4333994.2896069577</v>
      </c>
      <c r="K17" s="759">
        <f t="shared" si="4"/>
        <v>7229487.6198743414</v>
      </c>
      <c r="L17" s="759">
        <f t="shared" si="4"/>
        <v>6697832.8219410917</v>
      </c>
      <c r="M17" s="759">
        <f t="shared" si="4"/>
        <v>6624376.2642993219</v>
      </c>
      <c r="N17" s="759">
        <f t="shared" si="4"/>
        <v>4333994.2896069577</v>
      </c>
      <c r="O17" s="767">
        <f t="shared" si="4"/>
        <v>80741929.630146027</v>
      </c>
    </row>
    <row r="18" spans="2:17" s="757" customFormat="1" hidden="1" outlineLevel="1" x14ac:dyDescent="0.2">
      <c r="B18" s="765" t="s">
        <v>1079</v>
      </c>
      <c r="C18" s="758">
        <f>-('Tab. 23'!C24-'Tab. 23'!C21)</f>
        <v>-163208.65921830386</v>
      </c>
      <c r="D18" s="758">
        <f>-('Tab. 23'!D24-'Tab. 23'!D21)</f>
        <v>-254046.05700602382</v>
      </c>
      <c r="E18" s="758">
        <f>-('Tab. 23'!E24-'Tab. 23'!E21)</f>
        <v>-31135.22499560751</v>
      </c>
      <c r="F18" s="758">
        <f>-('Tab. 23'!F24-'Tab. 23'!F21)</f>
        <v>-135315.33974952064</v>
      </c>
      <c r="G18" s="758">
        <f>-('Tab. 23'!G24-'Tab. 23'!G21)</f>
        <v>133263.02921031229</v>
      </c>
      <c r="H18" s="758">
        <f>-('Tab. 23'!H24-'Tab. 23'!H21)</f>
        <v>-226304.00647097826</v>
      </c>
      <c r="I18" s="758">
        <f>-('Tab. 23'!I24-'Tab. 23'!I21)</f>
        <v>733809.73604186438</v>
      </c>
      <c r="J18" s="758">
        <f>-('Tab. 23'!J24-'Tab. 23'!J21)</f>
        <v>-123438.54898417555</v>
      </c>
      <c r="K18" s="758">
        <f>-('Tab. 23'!K24-'Tab. 23'!K21)</f>
        <v>489864.57126742788</v>
      </c>
      <c r="L18" s="758">
        <f>-('Tab. 23'!L24-'Tab. 23'!L21)</f>
        <v>670639.72414877824</v>
      </c>
      <c r="M18" s="758">
        <f>-('Tab. 23'!M24-'Tab. 23'!M21)</f>
        <v>744096.28179054707</v>
      </c>
      <c r="N18" s="758">
        <f>-('Tab. 23'!N24-'Tab. 23'!N21)</f>
        <v>-123438.54898417369</v>
      </c>
      <c r="O18" s="764">
        <f>SUM(C18:N18)</f>
        <v>1714786.9570501465</v>
      </c>
    </row>
    <row r="19" spans="2:17" collapsed="1" x14ac:dyDescent="0.15">
      <c r="B19" s="218" t="s">
        <v>1032</v>
      </c>
      <c r="C19" s="755">
        <f>SUM(C17:C18)</f>
        <v>6315833.6109341737</v>
      </c>
      <c r="D19" s="755">
        <f t="shared" ref="D19:O19" si="5">SUM(D17:D18)</f>
        <v>7017592.9010379687</v>
      </c>
      <c r="E19" s="755">
        <f t="shared" si="5"/>
        <v>8070231.8361936677</v>
      </c>
      <c r="F19" s="755">
        <f t="shared" si="5"/>
        <v>7368472.5460898709</v>
      </c>
      <c r="G19" s="755">
        <f t="shared" si="5"/>
        <v>7368472.5460898709</v>
      </c>
      <c r="H19" s="755">
        <f t="shared" si="5"/>
        <v>7719352.1911417712</v>
      </c>
      <c r="I19" s="755">
        <f t="shared" si="5"/>
        <v>7719352.1911417702</v>
      </c>
      <c r="J19" s="755">
        <f t="shared" si="5"/>
        <v>4210555.7406227821</v>
      </c>
      <c r="K19" s="755">
        <f t="shared" si="5"/>
        <v>7719352.1911417693</v>
      </c>
      <c r="L19" s="755">
        <f t="shared" si="5"/>
        <v>7368472.5460898699</v>
      </c>
      <c r="M19" s="755">
        <f t="shared" si="5"/>
        <v>7368472.546089869</v>
      </c>
      <c r="N19" s="755">
        <f t="shared" si="5"/>
        <v>4210555.740622784</v>
      </c>
      <c r="O19" s="768">
        <f t="shared" si="5"/>
        <v>82456716.587196171</v>
      </c>
      <c r="Q19" s="753">
        <f>+O19-CE_1!G13</f>
        <v>0</v>
      </c>
    </row>
    <row r="20" spans="2:17" x14ac:dyDescent="0.15">
      <c r="B20" s="230"/>
      <c r="D20" s="91"/>
      <c r="F20" s="91"/>
      <c r="H20" s="91"/>
      <c r="O20" s="252"/>
    </row>
    <row r="21" spans="2:17" x14ac:dyDescent="0.15">
      <c r="B21" s="761" t="s">
        <v>1033</v>
      </c>
      <c r="C21" s="754">
        <f>+C11-C19</f>
        <v>4677323.8884014469</v>
      </c>
      <c r="D21" s="754">
        <f t="shared" ref="D21:N21" si="6">+D11-D19</f>
        <v>5197026.5426682774</v>
      </c>
      <c r="E21" s="754">
        <f t="shared" si="6"/>
        <v>5976580.5240685139</v>
      </c>
      <c r="F21" s="754">
        <f t="shared" si="6"/>
        <v>5456877.8698016852</v>
      </c>
      <c r="G21" s="754">
        <f t="shared" si="6"/>
        <v>5456877.8698016852</v>
      </c>
      <c r="H21" s="754">
        <f t="shared" si="6"/>
        <v>5716729.1969350968</v>
      </c>
      <c r="I21" s="754">
        <f t="shared" si="6"/>
        <v>5716729.1969350977</v>
      </c>
      <c r="J21" s="754">
        <f t="shared" si="6"/>
        <v>3118215.9256009646</v>
      </c>
      <c r="K21" s="754">
        <f t="shared" si="6"/>
        <v>5716729.1969350986</v>
      </c>
      <c r="L21" s="754">
        <f t="shared" si="6"/>
        <v>5456877.8698016861</v>
      </c>
      <c r="M21" s="754">
        <f t="shared" si="6"/>
        <v>5456877.8698016871</v>
      </c>
      <c r="N21" s="754">
        <f t="shared" si="6"/>
        <v>3118215.9256009627</v>
      </c>
      <c r="O21" s="762">
        <f>+O11-O19</f>
        <v>61065061.876352221</v>
      </c>
    </row>
    <row r="22" spans="2:17" x14ac:dyDescent="0.15">
      <c r="B22" s="230"/>
      <c r="D22" s="91"/>
      <c r="F22" s="91"/>
      <c r="H22" s="91"/>
      <c r="O22" s="252"/>
    </row>
    <row r="23" spans="2:17" x14ac:dyDescent="0.2">
      <c r="B23" s="230" t="s">
        <v>1083</v>
      </c>
      <c r="C23" s="679">
        <f>'Mens costi industriali DIR'!C37</f>
        <v>197418.41023146518</v>
      </c>
      <c r="D23" s="679">
        <f>'Mens costi industriali DIR'!D37</f>
        <v>223156.00821165397</v>
      </c>
      <c r="E23" s="679">
        <f>'Mens costi industriali DIR'!E37</f>
        <v>252256.8575179833</v>
      </c>
      <c r="F23" s="679">
        <f>'Mens costi industriali DIR'!F37</f>
        <v>230321.47860337602</v>
      </c>
      <c r="G23" s="679">
        <f>'Mens costi industriali DIR'!G37</f>
        <v>230321.47860337602</v>
      </c>
      <c r="H23" s="679">
        <f>'Mens costi industriali DIR'!H37</f>
        <v>241289.16806067966</v>
      </c>
      <c r="I23" s="679">
        <f>'Mens costi industriali DIR'!I37</f>
        <v>241289.16806067963</v>
      </c>
      <c r="J23" s="679">
        <f>'Mens costi industriali DIR'!J37</f>
        <v>131612.27348764346</v>
      </c>
      <c r="K23" s="679">
        <f>'Mens costi industriali DIR'!K37</f>
        <v>241289.16806067963</v>
      </c>
      <c r="L23" s="679">
        <f>'Mens costi industriali DIR'!L37</f>
        <v>230321.47860337602</v>
      </c>
      <c r="M23" s="679">
        <f>'Mens costi industriali DIR'!M37</f>
        <v>230321.47860337602</v>
      </c>
      <c r="N23" s="679">
        <f>'Mens costi industriali DIR'!N37</f>
        <v>131612.27348764346</v>
      </c>
      <c r="O23" s="324">
        <f>SUM(C23:N23)</f>
        <v>2581209.2415319323</v>
      </c>
    </row>
    <row r="24" spans="2:17" x14ac:dyDescent="0.2">
      <c r="B24" s="230" t="s">
        <v>1085</v>
      </c>
      <c r="C24" s="679">
        <f>'Tab. 16'!$E$35/12</f>
        <v>109937.5</v>
      </c>
      <c r="D24" s="679">
        <f>'Tab. 16'!$E$35/12</f>
        <v>109937.5</v>
      </c>
      <c r="E24" s="679">
        <f>'Tab. 16'!$E$35/12</f>
        <v>109937.5</v>
      </c>
      <c r="F24" s="679">
        <f>'Tab. 16'!$E$35/12</f>
        <v>109937.5</v>
      </c>
      <c r="G24" s="679">
        <f>'Tab. 16'!$E$35/12</f>
        <v>109937.5</v>
      </c>
      <c r="H24" s="679">
        <f>'Tab. 16'!$E$35/12</f>
        <v>109937.5</v>
      </c>
      <c r="I24" s="679">
        <f>'Tab. 16'!$E$35/12</f>
        <v>109937.5</v>
      </c>
      <c r="J24" s="679">
        <f>'Tab. 16'!$E$35/12</f>
        <v>109937.5</v>
      </c>
      <c r="K24" s="679">
        <f>'Tab. 16'!$E$35/12</f>
        <v>109937.5</v>
      </c>
      <c r="L24" s="679">
        <f>'Tab. 16'!$E$35/12</f>
        <v>109937.5</v>
      </c>
      <c r="M24" s="679">
        <f>'Tab. 16'!$E$35/12</f>
        <v>109937.5</v>
      </c>
      <c r="N24" s="679">
        <f>'Tab. 16'!$E$35/12</f>
        <v>109937.5</v>
      </c>
      <c r="O24" s="324">
        <f>SUM(C24:N24)</f>
        <v>1319250</v>
      </c>
    </row>
    <row r="25" spans="2:17" x14ac:dyDescent="0.15">
      <c r="B25" s="230"/>
      <c r="D25" s="91"/>
      <c r="F25" s="91"/>
      <c r="H25" s="91"/>
      <c r="O25" s="252"/>
    </row>
    <row r="26" spans="2:17" x14ac:dyDescent="0.15">
      <c r="B26" s="761" t="s">
        <v>1040</v>
      </c>
      <c r="C26" s="754">
        <f>+C21-C23-C24</f>
        <v>4369967.9781699814</v>
      </c>
      <c r="D26" s="754">
        <f t="shared" ref="D26:N26" si="7">+D21-D23-D24</f>
        <v>4863933.0344566237</v>
      </c>
      <c r="E26" s="754">
        <f t="shared" si="7"/>
        <v>5614386.1665505301</v>
      </c>
      <c r="F26" s="754">
        <f t="shared" si="7"/>
        <v>5116618.8911983091</v>
      </c>
      <c r="G26" s="754">
        <f t="shared" si="7"/>
        <v>5116618.8911983091</v>
      </c>
      <c r="H26" s="754">
        <f t="shared" si="7"/>
        <v>5365502.5288744168</v>
      </c>
      <c r="I26" s="754">
        <f t="shared" si="7"/>
        <v>5365502.5288744178</v>
      </c>
      <c r="J26" s="754">
        <f t="shared" si="7"/>
        <v>2876666.1521133212</v>
      </c>
      <c r="K26" s="754">
        <f t="shared" si="7"/>
        <v>5365502.5288744187</v>
      </c>
      <c r="L26" s="754">
        <f t="shared" si="7"/>
        <v>5116618.8911983101</v>
      </c>
      <c r="M26" s="754">
        <f t="shared" si="7"/>
        <v>5116618.891198311</v>
      </c>
      <c r="N26" s="754">
        <f t="shared" si="7"/>
        <v>2876666.1521133194</v>
      </c>
      <c r="O26" s="762">
        <f>+O21-O23-O24</f>
        <v>57164602.63482029</v>
      </c>
      <c r="Q26" s="753">
        <f>+O26-CE_1!G19</f>
        <v>0</v>
      </c>
    </row>
    <row r="27" spans="2:17" x14ac:dyDescent="0.15">
      <c r="B27" s="232"/>
      <c r="C27" s="748"/>
      <c r="D27" s="748"/>
      <c r="E27" s="748"/>
      <c r="F27" s="91"/>
      <c r="H27" s="91"/>
      <c r="O27" s="252"/>
    </row>
    <row r="28" spans="2:17" x14ac:dyDescent="0.2">
      <c r="B28" s="230" t="s">
        <v>1086</v>
      </c>
      <c r="C28" s="753">
        <f>'Tab. 17'!$E$24/'Tab. 11'!$O$10*'Tab. 11'!C10</f>
        <v>26636.831373303263</v>
      </c>
      <c r="D28" s="753">
        <f>'Tab. 17'!$E$24/'Tab. 11'!$O$10*'Tab. 11'!D10</f>
        <v>29596.47930367029</v>
      </c>
      <c r="E28" s="753">
        <f>'Tab. 17'!$E$24/'Tab. 11'!$O$10*'Tab. 11'!E10</f>
        <v>34035.951199220835</v>
      </c>
      <c r="F28" s="753">
        <f>'Tab. 17'!$E$24/'Tab. 11'!$O$10*'Tab. 11'!F10</f>
        <v>31076.303268853804</v>
      </c>
      <c r="G28" s="753">
        <f>'Tab. 17'!$E$24/'Tab. 11'!$O$10*'Tab. 11'!G10</f>
        <v>31076.303268853804</v>
      </c>
      <c r="H28" s="753">
        <f>'Tab. 17'!$E$24/'Tab. 11'!$O$10*'Tab. 11'!H10</f>
        <v>32556.127234037322</v>
      </c>
      <c r="I28" s="753">
        <f>'Tab. 17'!$E$24/'Tab. 11'!$O$10*'Tab. 11'!I10</f>
        <v>32556.127234037322</v>
      </c>
      <c r="J28" s="753">
        <f>'Tab. 17'!$E$24/'Tab. 11'!$O$10*'Tab. 11'!J10</f>
        <v>17757.887582202176</v>
      </c>
      <c r="K28" s="753">
        <f>'Tab. 17'!$E$24/'Tab. 11'!$O$10*'Tab. 11'!K10</f>
        <v>32556.127234037322</v>
      </c>
      <c r="L28" s="753">
        <f>'Tab. 17'!$E$24/'Tab. 11'!$O$10*'Tab. 11'!L10</f>
        <v>31076.303268853804</v>
      </c>
      <c r="M28" s="753">
        <f>'Tab. 17'!$E$24/'Tab. 11'!$O$10*'Tab. 11'!M10</f>
        <v>31076.303268853804</v>
      </c>
      <c r="N28" s="753">
        <f>'Tab. 17'!$E$24/'Tab. 11'!$O$10*'Tab. 11'!N10</f>
        <v>17757.887582202176</v>
      </c>
      <c r="O28" s="324">
        <f>SUM(C28:N28)</f>
        <v>347758.6318181259</v>
      </c>
    </row>
    <row r="29" spans="2:17" x14ac:dyDescent="0.2">
      <c r="B29" s="230" t="s">
        <v>1087</v>
      </c>
      <c r="C29" s="753">
        <f>('Tab. 15'!$G$28+'Tab. 15'!$H$28)/12</f>
        <v>70010.964912280702</v>
      </c>
      <c r="D29" s="753">
        <f>('Tab. 15'!$G$28+'Tab. 15'!$H$28)/12</f>
        <v>70010.964912280702</v>
      </c>
      <c r="E29" s="753">
        <f>('Tab. 15'!$G$28+'Tab. 15'!$H$28)/12</f>
        <v>70010.964912280702</v>
      </c>
      <c r="F29" s="753">
        <f>('Tab. 15'!$G$28+'Tab. 15'!$H$28)/12</f>
        <v>70010.964912280702</v>
      </c>
      <c r="G29" s="753">
        <f>('Tab. 15'!$G$28+'Tab. 15'!$H$28)/12</f>
        <v>70010.964912280702</v>
      </c>
      <c r="H29" s="753">
        <f>('Tab. 15'!$G$28+'Tab. 15'!$H$28)/12</f>
        <v>70010.964912280702</v>
      </c>
      <c r="I29" s="753">
        <f>('Tab. 15'!$G$28+'Tab. 15'!$H$28)/12</f>
        <v>70010.964912280702</v>
      </c>
      <c r="J29" s="753">
        <f>('Tab. 15'!$G$28+'Tab. 15'!$H$28)/12</f>
        <v>70010.964912280702</v>
      </c>
      <c r="K29" s="753">
        <f>('Tab. 15'!$G$28+'Tab. 15'!$H$28)/12</f>
        <v>70010.964912280702</v>
      </c>
      <c r="L29" s="753">
        <f>('Tab. 15'!$G$28+'Tab. 15'!$H$28)/12</f>
        <v>70010.964912280702</v>
      </c>
      <c r="M29" s="753">
        <f>('Tab. 15'!$G$28+'Tab. 15'!$H$28)/12</f>
        <v>70010.964912280702</v>
      </c>
      <c r="N29" s="753">
        <f>('Tab. 15'!$G$28+'Tab. 15'!$H$28)/12</f>
        <v>70010.964912280702</v>
      </c>
      <c r="O29" s="324">
        <f>SUM(C29:N29)</f>
        <v>840131.57894736819</v>
      </c>
    </row>
    <row r="30" spans="2:17" x14ac:dyDescent="0.15">
      <c r="B30" s="232"/>
      <c r="C30" s="748"/>
      <c r="D30" s="748"/>
      <c r="E30" s="748"/>
      <c r="F30" s="91"/>
      <c r="H30" s="91"/>
      <c r="O30" s="252"/>
    </row>
    <row r="31" spans="2:17" x14ac:dyDescent="0.15">
      <c r="B31" s="761" t="s">
        <v>1043</v>
      </c>
      <c r="C31" s="754">
        <f>+C26-C28-C29</f>
        <v>4273320.1818843978</v>
      </c>
      <c r="D31" s="754">
        <f t="shared" ref="D31:O31" si="8">+D26-D28-D29</f>
        <v>4764325.5902406732</v>
      </c>
      <c r="E31" s="754">
        <f t="shared" si="8"/>
        <v>5510339.2504390292</v>
      </c>
      <c r="F31" s="754">
        <f t="shared" si="8"/>
        <v>5015531.6230171751</v>
      </c>
      <c r="G31" s="754">
        <f t="shared" si="8"/>
        <v>5015531.6230171751</v>
      </c>
      <c r="H31" s="754">
        <f t="shared" si="8"/>
        <v>5262935.4367280994</v>
      </c>
      <c r="I31" s="754">
        <f t="shared" si="8"/>
        <v>5262935.4367281003</v>
      </c>
      <c r="J31" s="754">
        <f t="shared" si="8"/>
        <v>2788897.2996188384</v>
      </c>
      <c r="K31" s="754">
        <f t="shared" si="8"/>
        <v>5262935.4367281012</v>
      </c>
      <c r="L31" s="754">
        <f t="shared" si="8"/>
        <v>5015531.6230171761</v>
      </c>
      <c r="M31" s="754">
        <f t="shared" si="8"/>
        <v>5015531.623017177</v>
      </c>
      <c r="N31" s="754">
        <f t="shared" si="8"/>
        <v>2788897.2996188365</v>
      </c>
      <c r="O31" s="762">
        <f t="shared" si="8"/>
        <v>55976712.424054801</v>
      </c>
      <c r="Q31" s="753">
        <f>+O31-CE_1!G23</f>
        <v>0</v>
      </c>
    </row>
    <row r="32" spans="2:17" x14ac:dyDescent="0.15">
      <c r="B32" s="230"/>
      <c r="D32" s="91"/>
      <c r="F32" s="91"/>
      <c r="H32" s="91"/>
      <c r="O32" s="252"/>
    </row>
    <row r="33" spans="2:17" x14ac:dyDescent="0.2">
      <c r="B33" s="230" t="s">
        <v>1036</v>
      </c>
      <c r="C33" s="753">
        <f>+'Tab. 22'!C18</f>
        <v>4036854.3726830254</v>
      </c>
      <c r="D33" s="753">
        <f>+'Tab. 22'!D18</f>
        <v>4199573.0066848425</v>
      </c>
      <c r="E33" s="753">
        <f>+'Tab. 22'!E18</f>
        <v>4443635.9576875698</v>
      </c>
      <c r="F33" s="753">
        <f>+'Tab. 22'!F18</f>
        <v>4280927.3236857522</v>
      </c>
      <c r="G33" s="753">
        <f>+'Tab. 22'!G18</f>
        <v>4280927.3236857522</v>
      </c>
      <c r="H33" s="753">
        <f>+'Tab. 22'!H18</f>
        <v>4362281.6406866601</v>
      </c>
      <c r="I33" s="753">
        <f>+'Tab. 22'!I18</f>
        <v>4362281.6406866601</v>
      </c>
      <c r="J33" s="753">
        <f>+'Tab. 22'!J18</f>
        <v>3548728.4706775723</v>
      </c>
      <c r="K33" s="753">
        <f>+'Tab. 22'!K18</f>
        <v>4362281.6406866601</v>
      </c>
      <c r="L33" s="753">
        <f>+'Tab. 22'!L18</f>
        <v>4280927.3236857522</v>
      </c>
      <c r="M33" s="753">
        <f>+'Tab. 22'!M18</f>
        <v>4280927.3236857522</v>
      </c>
      <c r="N33" s="753">
        <f>+'Tab. 22'!N18</f>
        <v>3548728.4706775723</v>
      </c>
      <c r="O33" s="324">
        <f t="shared" ref="O33:O34" si="9">SUM(C33:N33)</f>
        <v>49988074.495213561</v>
      </c>
    </row>
    <row r="34" spans="2:17" x14ac:dyDescent="0.2">
      <c r="B34" s="230" t="s">
        <v>1051</v>
      </c>
      <c r="C34" s="753">
        <f>+'Tab. 22'!C38</f>
        <v>289941.38720443845</v>
      </c>
      <c r="D34" s="753">
        <f>+'Tab. 22'!D38</f>
        <v>293881.46336555539</v>
      </c>
      <c r="E34" s="753">
        <f>+'Tab. 22'!E38</f>
        <v>302764.00770967366</v>
      </c>
      <c r="F34" s="753">
        <f>+'Tab. 22'!F38</f>
        <v>298565.45936573565</v>
      </c>
      <c r="G34" s="753">
        <f>+'Tab. 22'!G38</f>
        <v>298565.45936573565</v>
      </c>
      <c r="H34" s="753">
        <f>+'Tab. 22'!H38</f>
        <v>300664.73353770468</v>
      </c>
      <c r="I34" s="753">
        <f>+'Tab. 22'!I38</f>
        <v>300664.73353770468</v>
      </c>
      <c r="J34" s="753">
        <f>+'Tab. 22'!J38</f>
        <v>279671.9918180143</v>
      </c>
      <c r="K34" s="753">
        <f>+'Tab. 22'!K38</f>
        <v>300664.73353770468</v>
      </c>
      <c r="L34" s="753">
        <f>+'Tab. 22'!L38</f>
        <v>298565.45936573565</v>
      </c>
      <c r="M34" s="753">
        <f>+'Tab. 22'!M38</f>
        <v>298565.45936573565</v>
      </c>
      <c r="N34" s="753">
        <f>+'Tab. 22'!N38</f>
        <v>279671.9918180143</v>
      </c>
      <c r="O34" s="324">
        <f t="shared" si="9"/>
        <v>3542186.879991753</v>
      </c>
    </row>
    <row r="35" spans="2:17" x14ac:dyDescent="0.15">
      <c r="B35" s="230"/>
      <c r="D35" s="91"/>
      <c r="F35" s="91"/>
      <c r="H35" s="91"/>
      <c r="O35" s="252"/>
    </row>
    <row r="36" spans="2:17" ht="17" thickBot="1" x14ac:dyDescent="0.2">
      <c r="B36" s="769" t="s">
        <v>53</v>
      </c>
      <c r="C36" s="770">
        <f>+C31-C33-C34</f>
        <v>-53475.578003066126</v>
      </c>
      <c r="D36" s="770">
        <f t="shared" ref="D36:F36" si="10">+D31-D33-D34</f>
        <v>270871.12019027525</v>
      </c>
      <c r="E36" s="770">
        <f t="shared" si="10"/>
        <v>763939.2850417858</v>
      </c>
      <c r="F36" s="770">
        <f t="shared" si="10"/>
        <v>436038.83996568725</v>
      </c>
      <c r="G36" s="770">
        <f t="shared" ref="G36:O36" si="11">+G31-G33-G34</f>
        <v>436038.83996568725</v>
      </c>
      <c r="H36" s="770">
        <f t="shared" si="11"/>
        <v>599989.0625037346</v>
      </c>
      <c r="I36" s="770">
        <f t="shared" si="11"/>
        <v>599989.06250373553</v>
      </c>
      <c r="J36" s="770">
        <f t="shared" si="11"/>
        <v>-1039503.1628767482</v>
      </c>
      <c r="K36" s="770">
        <f t="shared" si="11"/>
        <v>599989.06250373647</v>
      </c>
      <c r="L36" s="770">
        <f t="shared" si="11"/>
        <v>436038.83996568818</v>
      </c>
      <c r="M36" s="770">
        <f t="shared" si="11"/>
        <v>436038.83996568911</v>
      </c>
      <c r="N36" s="770">
        <f t="shared" si="11"/>
        <v>-1039503.1628767501</v>
      </c>
      <c r="O36" s="254">
        <f t="shared" si="11"/>
        <v>2446451.0488494877</v>
      </c>
      <c r="Q36" s="753">
        <f>+O36-CE_1!G28</f>
        <v>2.2351741790771484E-8</v>
      </c>
    </row>
  </sheetData>
  <mergeCells count="1">
    <mergeCell ref="C6:O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7357-F5AA-CC46-8629-5088D4EA4119}">
  <sheetPr codeName="Foglio43">
    <tabColor theme="4"/>
  </sheetPr>
  <dimension ref="B2:Q36"/>
  <sheetViews>
    <sheetView showGridLines="0" zoomScale="160" zoomScaleNormal="160" workbookViewId="0">
      <selection activeCell="C23" sqref="C23"/>
    </sheetView>
  </sheetViews>
  <sheetFormatPr baseColWidth="10" defaultRowHeight="16" outlineLevelRow="1" x14ac:dyDescent="0.15"/>
  <cols>
    <col min="1" max="1" width="2.5" style="91" customWidth="1"/>
    <col min="2" max="2" width="27.83203125" style="91" customWidth="1"/>
    <col min="3" max="3" width="12.1640625" style="91" customWidth="1"/>
    <col min="4" max="4" width="12.1640625" style="722" customWidth="1"/>
    <col min="5" max="5" width="13.33203125" style="91" customWidth="1"/>
    <col min="6" max="6" width="12.1640625" style="722" customWidth="1"/>
    <col min="7" max="7" width="12.1640625" style="91" customWidth="1"/>
    <col min="8" max="8" width="12.1640625" style="722" customWidth="1"/>
    <col min="9" max="14" width="12.1640625" style="91" customWidth="1"/>
    <col min="15" max="15" width="13.6640625" style="91" customWidth="1"/>
    <col min="16" max="16384" width="10.83203125" style="91"/>
  </cols>
  <sheetData>
    <row r="2" spans="2:17" x14ac:dyDescent="0.15">
      <c r="B2" s="91" t="s">
        <v>1095</v>
      </c>
    </row>
    <row r="4" spans="2:17" x14ac:dyDescent="0.15">
      <c r="B4" s="736" t="s">
        <v>1057</v>
      </c>
    </row>
    <row r="5" spans="2:17" ht="17" thickBot="1" x14ac:dyDescent="0.2"/>
    <row r="6" spans="2:17" x14ac:dyDescent="0.2">
      <c r="B6" s="330"/>
      <c r="C6" s="1056" t="s">
        <v>196</v>
      </c>
      <c r="D6" s="1044"/>
      <c r="E6" s="1044"/>
      <c r="F6" s="1044"/>
      <c r="G6" s="1044"/>
      <c r="H6" s="1044"/>
      <c r="I6" s="1044"/>
      <c r="J6" s="1044"/>
      <c r="K6" s="1044"/>
      <c r="L6" s="1044"/>
      <c r="M6" s="1044"/>
      <c r="N6" s="1044"/>
      <c r="O6" s="1045"/>
    </row>
    <row r="7" spans="2:17" x14ac:dyDescent="0.2">
      <c r="B7" s="331"/>
      <c r="C7" s="419" t="s">
        <v>211</v>
      </c>
      <c r="D7" s="420" t="s">
        <v>212</v>
      </c>
      <c r="E7" s="420" t="s">
        <v>213</v>
      </c>
      <c r="F7" s="420" t="s">
        <v>214</v>
      </c>
      <c r="G7" s="420" t="s">
        <v>215</v>
      </c>
      <c r="H7" s="420" t="s">
        <v>216</v>
      </c>
      <c r="I7" s="420" t="s">
        <v>217</v>
      </c>
      <c r="J7" s="420" t="s">
        <v>218</v>
      </c>
      <c r="K7" s="420" t="s">
        <v>219</v>
      </c>
      <c r="L7" s="420" t="s">
        <v>220</v>
      </c>
      <c r="M7" s="420" t="s">
        <v>221</v>
      </c>
      <c r="N7" s="420" t="s">
        <v>222</v>
      </c>
      <c r="O7" s="713" t="s">
        <v>179</v>
      </c>
    </row>
    <row r="8" spans="2:17" x14ac:dyDescent="0.2">
      <c r="B8" s="218" t="s">
        <v>40</v>
      </c>
      <c r="C8" s="679">
        <f>'Tab. 4'!C9</f>
        <v>11015187.875085792</v>
      </c>
      <c r="D8" s="100">
        <f>'Tab. 4'!D9</f>
        <v>12239097.638984215</v>
      </c>
      <c r="E8" s="100">
        <f>'Tab. 4'!E9</f>
        <v>14074962.284831846</v>
      </c>
      <c r="F8" s="100">
        <f>'Tab. 4'!F9</f>
        <v>12851052.520933423</v>
      </c>
      <c r="G8" s="100">
        <f>'Tab. 4'!G9</f>
        <v>12851052.520933423</v>
      </c>
      <c r="H8" s="100">
        <f>'Tab. 4'!H9</f>
        <v>13463007.402882634</v>
      </c>
      <c r="I8" s="100">
        <f>'Tab. 4'!I9</f>
        <v>13463007.402882634</v>
      </c>
      <c r="J8" s="100">
        <f>'Tab. 4'!J9</f>
        <v>7343458.5833905274</v>
      </c>
      <c r="K8" s="100">
        <f>'Tab. 4'!K9</f>
        <v>13463007.402882634</v>
      </c>
      <c r="L8" s="100">
        <f>'Tab. 4'!L9</f>
        <v>12851052.520933423</v>
      </c>
      <c r="M8" s="100">
        <f>'Tab. 4'!M9</f>
        <v>12851052.520933423</v>
      </c>
      <c r="N8" s="100">
        <f>'Tab. 4'!N9</f>
        <v>7343458.5833905274</v>
      </c>
      <c r="O8" s="324">
        <f>SUM(C8:N8)</f>
        <v>143809397.25806451</v>
      </c>
    </row>
    <row r="9" spans="2:17" x14ac:dyDescent="0.2">
      <c r="B9" s="340" t="s">
        <v>1037</v>
      </c>
      <c r="C9" s="679">
        <f>0.2%*C8</f>
        <v>22030.375750171585</v>
      </c>
      <c r="D9" s="100">
        <f t="shared" ref="D9:N9" si="0">0.2%*D8</f>
        <v>24478.195277968429</v>
      </c>
      <c r="E9" s="100">
        <f t="shared" si="0"/>
        <v>28149.924569663694</v>
      </c>
      <c r="F9" s="100">
        <f t="shared" si="0"/>
        <v>25702.105041866846</v>
      </c>
      <c r="G9" s="100">
        <f t="shared" si="0"/>
        <v>25702.105041866846</v>
      </c>
      <c r="H9" s="100">
        <f t="shared" si="0"/>
        <v>26926.01480576527</v>
      </c>
      <c r="I9" s="100">
        <f t="shared" si="0"/>
        <v>26926.01480576527</v>
      </c>
      <c r="J9" s="100">
        <f t="shared" si="0"/>
        <v>14686.917166781055</v>
      </c>
      <c r="K9" s="100">
        <f t="shared" si="0"/>
        <v>26926.01480576527</v>
      </c>
      <c r="L9" s="100">
        <f t="shared" si="0"/>
        <v>25702.105041866846</v>
      </c>
      <c r="M9" s="100">
        <f t="shared" si="0"/>
        <v>25702.105041866846</v>
      </c>
      <c r="N9" s="100">
        <f t="shared" si="0"/>
        <v>14686.917166781055</v>
      </c>
      <c r="O9" s="324">
        <f>SUM(C9:N9)</f>
        <v>287618.79451612895</v>
      </c>
    </row>
    <row r="10" spans="2:17" x14ac:dyDescent="0.2">
      <c r="B10" s="340"/>
      <c r="D10" s="91"/>
      <c r="F10" s="91"/>
      <c r="H10" s="91"/>
      <c r="I10" s="100"/>
      <c r="J10" s="100"/>
      <c r="K10" s="100"/>
      <c r="L10" s="100"/>
      <c r="M10" s="100"/>
      <c r="N10" s="100"/>
      <c r="O10" s="465"/>
    </row>
    <row r="11" spans="2:17" x14ac:dyDescent="0.15">
      <c r="B11" s="761" t="s">
        <v>1039</v>
      </c>
      <c r="C11" s="754">
        <f>+C8-C9</f>
        <v>10993157.499335621</v>
      </c>
      <c r="D11" s="754">
        <f t="shared" ref="D11:O11" si="1">+D8-D9</f>
        <v>12214619.443706246</v>
      </c>
      <c r="E11" s="754">
        <f t="shared" si="1"/>
        <v>14046812.360262182</v>
      </c>
      <c r="F11" s="754">
        <f t="shared" si="1"/>
        <v>12825350.415891556</v>
      </c>
      <c r="G11" s="754">
        <f t="shared" si="1"/>
        <v>12825350.415891556</v>
      </c>
      <c r="H11" s="754">
        <f t="shared" si="1"/>
        <v>13436081.388076868</v>
      </c>
      <c r="I11" s="754">
        <f t="shared" si="1"/>
        <v>13436081.388076868</v>
      </c>
      <c r="J11" s="754">
        <f t="shared" si="1"/>
        <v>7328771.6662237467</v>
      </c>
      <c r="K11" s="754">
        <f t="shared" si="1"/>
        <v>13436081.388076868</v>
      </c>
      <c r="L11" s="754">
        <f t="shared" si="1"/>
        <v>12825350.415891556</v>
      </c>
      <c r="M11" s="754">
        <f t="shared" si="1"/>
        <v>12825350.415891556</v>
      </c>
      <c r="N11" s="754">
        <f t="shared" si="1"/>
        <v>7328771.6662237467</v>
      </c>
      <c r="O11" s="762">
        <f t="shared" si="1"/>
        <v>143521778.46354839</v>
      </c>
    </row>
    <row r="12" spans="2:17" x14ac:dyDescent="0.15">
      <c r="B12" s="230"/>
      <c r="D12" s="91"/>
      <c r="F12" s="91"/>
      <c r="H12" s="91"/>
      <c r="O12" s="252"/>
    </row>
    <row r="13" spans="2:17" s="757" customFormat="1" outlineLevel="1" x14ac:dyDescent="0.2">
      <c r="B13" s="763" t="s">
        <v>1080</v>
      </c>
      <c r="C13" s="758">
        <f>'Tab. 8'!C60</f>
        <v>6454699.5822317358</v>
      </c>
      <c r="D13" s="758">
        <f>'Tab. 8'!D60</f>
        <v>7286215.4702423373</v>
      </c>
      <c r="E13" s="758">
        <f>'Tab. 8'!E60</f>
        <v>8050730.498720794</v>
      </c>
      <c r="F13" s="758">
        <f>'Tab. 8'!F60</f>
        <v>7442361.3877202189</v>
      </c>
      <c r="G13" s="758">
        <f>'Tab. 8'!G60</f>
        <v>7303495.0472512841</v>
      </c>
      <c r="H13" s="758">
        <f>'Tab. 8'!H60</f>
        <v>7853833.9722076533</v>
      </c>
      <c r="I13" s="758">
        <f>'Tab. 8'!I60</f>
        <v>6919460.8738672379</v>
      </c>
      <c r="J13" s="758">
        <f>'Tab. 8'!J60</f>
        <v>4321654.7706176294</v>
      </c>
      <c r="K13" s="758">
        <f>'Tab. 8'!K60</f>
        <v>7266433.1549180066</v>
      </c>
      <c r="L13" s="758">
        <f>'Tab. 8'!L60</f>
        <v>6628962.1062278468</v>
      </c>
      <c r="M13" s="758">
        <f>'Tab. 8'!M60</f>
        <v>6576187.7784187235</v>
      </c>
      <c r="N13" s="758">
        <f>'Tab. 8'!N60</f>
        <v>4375537.6398723517</v>
      </c>
      <c r="O13" s="764">
        <f t="shared" ref="O13:O14" si="2">SUM(C13:N13)</f>
        <v>80479572.282295823</v>
      </c>
    </row>
    <row r="14" spans="2:17" s="757" customFormat="1" outlineLevel="1" x14ac:dyDescent="0.2">
      <c r="B14" s="765" t="s">
        <v>1081</v>
      </c>
      <c r="C14" s="758">
        <f>-('Tab. 8'!C61-'Tab. 8'!C58)</f>
        <v>273.40703313797712</v>
      </c>
      <c r="D14" s="758">
        <f>-('Tab. 8'!D61-'Tab. 8'!D58)</f>
        <v>-41595.95058056619</v>
      </c>
      <c r="E14" s="758">
        <f>-('Tab. 8'!E61-'Tab. 8'!E58)</f>
        <v>20529.481588882394</v>
      </c>
      <c r="F14" s="758">
        <f>-('Tab. 8'!F61-'Tab. 8'!F58)</f>
        <v>33545.542596842162</v>
      </c>
      <c r="G14" s="758">
        <f>-('Tab. 8'!G61-'Tab. 8'!G58)</f>
        <v>-95192.140212764032</v>
      </c>
      <c r="H14" s="758">
        <f>-('Tab. 8'!H61-'Tab. 8'!H58)</f>
        <v>62306.89361702092</v>
      </c>
      <c r="I14" s="758">
        <f>-('Tab. 8'!I61-'Tab. 8'!I58)</f>
        <v>40132.735957446508</v>
      </c>
      <c r="J14" s="758">
        <f>-('Tab. 8'!J61-'Tab. 8'!J58)</f>
        <v>-3759.7528950758278</v>
      </c>
      <c r="K14" s="758">
        <f>-('Tab. 8'!K61-'Tab. 8'!K58)</f>
        <v>-63821.493700668216</v>
      </c>
      <c r="L14" s="758">
        <f>-('Tab. 8'!L61-'Tab. 8'!L58)</f>
        <v>44000</v>
      </c>
      <c r="M14" s="758">
        <f>-('Tab. 8'!M61-'Tab. 8'!M58)</f>
        <v>23581.246595744044</v>
      </c>
      <c r="N14" s="758">
        <f>-('Tab. 8'!N61-'Tab. 8'!N58)</f>
        <v>-57642.622149798088</v>
      </c>
      <c r="O14" s="764">
        <f t="shared" si="2"/>
        <v>-37642.652149798349</v>
      </c>
    </row>
    <row r="15" spans="2:17" s="757" customFormat="1" outlineLevel="1" x14ac:dyDescent="0.15">
      <c r="B15" s="766" t="s">
        <v>76</v>
      </c>
      <c r="C15" s="759">
        <f>SUM(C13:C14)</f>
        <v>6454972.9892648738</v>
      </c>
      <c r="D15" s="759">
        <f>SUM(D13:D14)</f>
        <v>7244619.5196617711</v>
      </c>
      <c r="E15" s="759">
        <f t="shared" ref="E15:O15" si="3">SUM(E13:E14)</f>
        <v>8071259.9803096764</v>
      </c>
      <c r="F15" s="759">
        <f t="shared" si="3"/>
        <v>7475906.930317061</v>
      </c>
      <c r="G15" s="759">
        <f t="shared" si="3"/>
        <v>7208302.9070385201</v>
      </c>
      <c r="H15" s="759">
        <f t="shared" si="3"/>
        <v>7916140.8658246743</v>
      </c>
      <c r="I15" s="759">
        <f t="shared" si="3"/>
        <v>6959593.6098246844</v>
      </c>
      <c r="J15" s="759">
        <f t="shared" si="3"/>
        <v>4317895.0177225536</v>
      </c>
      <c r="K15" s="759">
        <f t="shared" si="3"/>
        <v>7202611.6612173384</v>
      </c>
      <c r="L15" s="759">
        <f t="shared" si="3"/>
        <v>6672962.1062278468</v>
      </c>
      <c r="M15" s="759">
        <f t="shared" si="3"/>
        <v>6599769.0250144675</v>
      </c>
      <c r="N15" s="759">
        <f t="shared" si="3"/>
        <v>4317895.0177225536</v>
      </c>
      <c r="O15" s="767">
        <f t="shared" si="3"/>
        <v>80441929.630146027</v>
      </c>
      <c r="Q15" s="760">
        <f>+O15-'Tab. 8'!O59</f>
        <v>0</v>
      </c>
    </row>
    <row r="16" spans="2:17" s="757" customFormat="1" outlineLevel="1" x14ac:dyDescent="0.2">
      <c r="B16" s="763" t="s">
        <v>1073</v>
      </c>
      <c r="C16" s="758">
        <f>'Tab. 16'!$C$9*'Tab 5'!C$15+'Tab. 16'!$C$13*'Tab 5'!C$28</f>
        <v>279512.11976353644</v>
      </c>
      <c r="D16" s="758">
        <f>'Tab. 16'!$C$9*'Tab 5'!D$15+'Tab. 16'!$C$13*'Tab 5'!D$28</f>
        <v>313545.49642272817</v>
      </c>
      <c r="E16" s="758">
        <f>'Tab. 16'!$C$9*'Tab 5'!E$15+'Tab. 16'!$C$13*'Tab 5'!E$28</f>
        <v>349193.55128357641</v>
      </c>
      <c r="F16" s="758">
        <f>'Tab. 16'!$C$9*'Tab 5'!F$15+'Tab. 16'!$C$13*'Tab 5'!F$28</f>
        <v>323585.95625795063</v>
      </c>
      <c r="G16" s="758">
        <f>'Tab. 16'!$C$9*'Tab 5'!G$15+'Tab. 16'!$C$13*'Tab 5'!G$28</f>
        <v>311342.70385218097</v>
      </c>
      <c r="H16" s="758">
        <f>'Tab. 16'!$C$9*'Tab 5'!H$15+'Tab. 16'!$C$13*'Tab 5'!H$28</f>
        <v>342848.83257530368</v>
      </c>
      <c r="I16" s="758">
        <f>'Tab. 16'!$C$9*'Tab 5'!I$15+'Tab. 16'!$C$13*'Tab 5'!I$28</f>
        <v>301420.67767238535</v>
      </c>
      <c r="J16" s="758">
        <f>'Tab. 16'!$C$9*'Tab 5'!J$15+'Tab. 16'!$C$13*'Tab 5'!J$28</f>
        <v>187008.45413198398</v>
      </c>
      <c r="K16" s="758">
        <f>'Tab. 16'!$C$9*'Tab 5'!K$15+'Tab. 16'!$C$13*'Tab 5'!K$28</f>
        <v>311359.34729169839</v>
      </c>
      <c r="L16" s="758">
        <f>'Tab. 16'!$C$9*'Tab 5'!L$15+'Tab. 16'!$C$13*'Tab 5'!L$28</f>
        <v>289269.56488808763</v>
      </c>
      <c r="M16" s="758">
        <f>'Tab. 16'!$C$9*'Tab 5'!M$15+'Tab. 16'!$C$13*'Tab 5'!M$28</f>
        <v>285836.63982805319</v>
      </c>
      <c r="N16" s="758">
        <f>'Tab. 16'!$C$9*'Tab 5'!N$15+'Tab. 16'!$C$13*'Tab 5'!N$28</f>
        <v>187008.45413198398</v>
      </c>
      <c r="O16" s="764">
        <f>SUM(C16:N16)</f>
        <v>3481931.7980994694</v>
      </c>
    </row>
    <row r="17" spans="2:17" s="757" customFormat="1" outlineLevel="1" x14ac:dyDescent="0.15">
      <c r="B17" s="766" t="s">
        <v>1066</v>
      </c>
      <c r="C17" s="759">
        <f t="shared" ref="C17:O17" si="4">SUM(C15:C16)</f>
        <v>6734485.1090284102</v>
      </c>
      <c r="D17" s="759">
        <f t="shared" si="4"/>
        <v>7558165.0160844997</v>
      </c>
      <c r="E17" s="759">
        <f t="shared" si="4"/>
        <v>8420453.531593252</v>
      </c>
      <c r="F17" s="759">
        <f t="shared" si="4"/>
        <v>7799492.8865750115</v>
      </c>
      <c r="G17" s="759">
        <f t="shared" si="4"/>
        <v>7519645.6108907014</v>
      </c>
      <c r="H17" s="759">
        <f t="shared" si="4"/>
        <v>8258989.6983999778</v>
      </c>
      <c r="I17" s="759">
        <f t="shared" si="4"/>
        <v>7261014.2874970697</v>
      </c>
      <c r="J17" s="759">
        <f t="shared" si="4"/>
        <v>4504903.4718545377</v>
      </c>
      <c r="K17" s="759">
        <f t="shared" si="4"/>
        <v>7513971.0085090371</v>
      </c>
      <c r="L17" s="759">
        <f t="shared" si="4"/>
        <v>6962231.6711159348</v>
      </c>
      <c r="M17" s="759">
        <f t="shared" si="4"/>
        <v>6885605.6648425208</v>
      </c>
      <c r="N17" s="759">
        <f t="shared" si="4"/>
        <v>4504903.4718545377</v>
      </c>
      <c r="O17" s="767">
        <f t="shared" si="4"/>
        <v>83923861.4282455</v>
      </c>
    </row>
    <row r="18" spans="2:17" s="757" customFormat="1" outlineLevel="1" x14ac:dyDescent="0.2">
      <c r="B18" s="765" t="s">
        <v>1079</v>
      </c>
      <c r="C18" s="758">
        <f>-('Tab. 23'!C46-'Tab. 23'!C43)</f>
        <v>-169810.18600683101</v>
      </c>
      <c r="D18" s="758">
        <f>-('Tab. 23'!D46-'Tab. 23'!D43)</f>
        <v>-264081.76828274131</v>
      </c>
      <c r="E18" s="758">
        <f>-('Tab. 23'!E46-'Tab. 23'!E43)</f>
        <v>-32257.796621233225</v>
      </c>
      <c r="F18" s="758">
        <f>-('Tab. 23'!F46-'Tab. 23'!F43)</f>
        <v>-140705.47638316825</v>
      </c>
      <c r="G18" s="758">
        <f>-('Tab. 23'!G46-'Tab. 23'!G43)</f>
        <v>139141.79930114374</v>
      </c>
      <c r="H18" s="758">
        <f>-('Tab. 23'!H46-'Tab. 23'!H43)</f>
        <v>-235498.12581804395</v>
      </c>
      <c r="I18" s="758">
        <f>-('Tab. 23'!I46-'Tab. 23'!I43)</f>
        <v>762477.28508486412</v>
      </c>
      <c r="J18" s="758">
        <f>-('Tab. 23'!J46-'Tab. 23'!J43)</f>
        <v>-128453.52317348309</v>
      </c>
      <c r="K18" s="758">
        <f>-('Tab. 23'!K46-'Tab. 23'!K43)</f>
        <v>509520.5640728958</v>
      </c>
      <c r="L18" s="758">
        <f>-('Tab. 23'!L46-'Tab. 23'!L43)</f>
        <v>696555.7390759103</v>
      </c>
      <c r="M18" s="758">
        <f>-('Tab. 23'!M46-'Tab. 23'!M43)</f>
        <v>773181.74534932524</v>
      </c>
      <c r="N18" s="758">
        <f>-('Tab. 23'!N46-'Tab. 23'!N43)</f>
        <v>-128453.52317348309</v>
      </c>
      <c r="O18" s="764">
        <f>SUM(C18:N18)</f>
        <v>1781616.7334251553</v>
      </c>
    </row>
    <row r="19" spans="2:17" x14ac:dyDescent="0.15">
      <c r="B19" s="218" t="s">
        <v>1032</v>
      </c>
      <c r="C19" s="755">
        <f>SUM(C17:C18)</f>
        <v>6564674.9230215792</v>
      </c>
      <c r="D19" s="755">
        <f t="shared" ref="D19:O19" si="5">SUM(D17:D18)</f>
        <v>7294083.2478017583</v>
      </c>
      <c r="E19" s="755">
        <f t="shared" si="5"/>
        <v>8388195.7349720187</v>
      </c>
      <c r="F19" s="755">
        <f t="shared" si="5"/>
        <v>7658787.4101918433</v>
      </c>
      <c r="G19" s="755">
        <f t="shared" si="5"/>
        <v>7658787.4101918451</v>
      </c>
      <c r="H19" s="755">
        <f t="shared" si="5"/>
        <v>8023491.5725819338</v>
      </c>
      <c r="I19" s="755">
        <f t="shared" si="5"/>
        <v>8023491.5725819338</v>
      </c>
      <c r="J19" s="755">
        <f t="shared" si="5"/>
        <v>4376449.9486810546</v>
      </c>
      <c r="K19" s="755">
        <f t="shared" si="5"/>
        <v>8023491.5725819329</v>
      </c>
      <c r="L19" s="755">
        <f t="shared" si="5"/>
        <v>7658787.4101918451</v>
      </c>
      <c r="M19" s="755">
        <f t="shared" si="5"/>
        <v>7658787.4101918461</v>
      </c>
      <c r="N19" s="755">
        <f t="shared" si="5"/>
        <v>4376449.9486810546</v>
      </c>
      <c r="O19" s="768">
        <f t="shared" si="5"/>
        <v>85705478.161670655</v>
      </c>
      <c r="Q19" s="753">
        <f>+O19-CE_2!G13</f>
        <v>0</v>
      </c>
    </row>
    <row r="20" spans="2:17" x14ac:dyDescent="0.15">
      <c r="B20" s="230"/>
      <c r="D20" s="91"/>
      <c r="F20" s="91"/>
      <c r="H20" s="91"/>
      <c r="O20" s="252"/>
    </row>
    <row r="21" spans="2:17" x14ac:dyDescent="0.15">
      <c r="B21" s="761" t="s">
        <v>1033</v>
      </c>
      <c r="C21" s="754">
        <f t="shared" ref="C21:O21" si="6">+C11-C19</f>
        <v>4428482.5763140414</v>
      </c>
      <c r="D21" s="754">
        <f t="shared" si="6"/>
        <v>4920536.1959044877</v>
      </c>
      <c r="E21" s="754">
        <f t="shared" si="6"/>
        <v>5658616.6252901629</v>
      </c>
      <c r="F21" s="754">
        <f t="shared" si="6"/>
        <v>5166563.0056997128</v>
      </c>
      <c r="G21" s="754">
        <f t="shared" si="6"/>
        <v>5166563.0056997109</v>
      </c>
      <c r="H21" s="754">
        <f t="shared" si="6"/>
        <v>5412589.8154949341</v>
      </c>
      <c r="I21" s="754">
        <f t="shared" si="6"/>
        <v>5412589.8154949341</v>
      </c>
      <c r="J21" s="754">
        <f t="shared" si="6"/>
        <v>2952321.7175426921</v>
      </c>
      <c r="K21" s="754">
        <f t="shared" si="6"/>
        <v>5412589.815494935</v>
      </c>
      <c r="L21" s="754">
        <f t="shared" si="6"/>
        <v>5166563.0056997109</v>
      </c>
      <c r="M21" s="754">
        <f t="shared" si="6"/>
        <v>5166563.00569971</v>
      </c>
      <c r="N21" s="754">
        <f t="shared" si="6"/>
        <v>2952321.7175426921</v>
      </c>
      <c r="O21" s="762">
        <f t="shared" si="6"/>
        <v>57816300.301877737</v>
      </c>
    </row>
    <row r="22" spans="2:17" x14ac:dyDescent="0.15">
      <c r="B22" s="230"/>
      <c r="D22" s="91"/>
      <c r="F22" s="91"/>
      <c r="H22" s="91"/>
      <c r="O22" s="252"/>
    </row>
    <row r="23" spans="2:17" x14ac:dyDescent="0.2">
      <c r="B23" s="230" t="s">
        <v>1088</v>
      </c>
      <c r="C23" s="679">
        <f>'Tab. 12'!C28*'Tab. 16'!$C$22+'Tab. 12'!C58*'Tab. 16'!$D$22+'Tab. 13'!C27*'Tab. 16'!$C$36+'Tab. 13'!C49*'Tab. 16'!$D$36</f>
        <v>18476.918270619302</v>
      </c>
      <c r="D23" s="679">
        <f>'Tab. 12'!D28*'Tab. 16'!$C$22+'Tab. 12'!D58*'Tab. 16'!$D$22+'Tab. 13'!D27*'Tab. 16'!$C$36+'Tab. 13'!D49*'Tab. 16'!$D$36</f>
        <v>22012.978156638696</v>
      </c>
      <c r="E23" s="679">
        <f>'Tab. 12'!E28*'Tab. 16'!$C$22+'Tab. 12'!E58*'Tab. 16'!$D$22+'Tab. 13'!E27*'Tab. 16'!$C$36+'Tab. 13'!E49*'Tab. 16'!$D$36</f>
        <v>33213.530449653539</v>
      </c>
      <c r="F23" s="679">
        <f>'Tab. 12'!F28*'Tab. 16'!$C$22+'Tab. 12'!F58*'Tab. 16'!$D$22+'Tab. 13'!F27*'Tab. 16'!$C$36+'Tab. 13'!F49*'Tab. 16'!$D$36</f>
        <v>25053.907995649573</v>
      </c>
      <c r="G23" s="679">
        <f>'Tab. 12'!G28*'Tab. 16'!$C$22+'Tab. 12'!G58*'Tab. 16'!$D$22+'Tab. 13'!G27*'Tab. 16'!$C$36+'Tab. 13'!G49*'Tab. 16'!$D$36</f>
        <v>37297.160401419271</v>
      </c>
      <c r="H23" s="679">
        <f>'Tab. 12'!H28*'Tab. 16'!$C$22+'Tab. 12'!H58*'Tab. 16'!$D$22+'Tab. 13'!H27*'Tab. 16'!$C$36+'Tab. 13'!H49*'Tab. 16'!$D$36</f>
        <v>22674.640418111365</v>
      </c>
      <c r="I23" s="679">
        <f>'Tab. 12'!I28*'Tab. 16'!$C$22+'Tab. 12'!I58*'Tab. 16'!$D$22+'Tab. 13'!I27*'Tab. 16'!$C$36+'Tab. 13'!I49*'Tab. 16'!$D$36</f>
        <v>64102.795321029698</v>
      </c>
      <c r="J23" s="679">
        <f>'Tab. 12'!J28*'Tab. 16'!$C$22+'Tab. 12'!J58*'Tab. 16'!$D$22+'Tab. 13'!J27*'Tab. 16'!$C$36+'Tab. 13'!J49*'Tab. 16'!$D$36</f>
        <v>9678.9314632827682</v>
      </c>
      <c r="K23" s="679">
        <f>'Tab. 12'!K28*'Tab. 16'!$C$22+'Tab. 12'!K58*'Tab. 16'!$D$22+'Tab. 13'!K27*'Tab. 16'!$C$36+'Tab. 13'!K49*'Tab. 16'!$D$36</f>
        <v>54164.125701716679</v>
      </c>
      <c r="L23" s="679">
        <f>'Tab. 12'!L28*'Tab. 16'!$C$22+'Tab. 12'!L58*'Tab. 16'!$D$22+'Tab. 13'!L27*'Tab. 16'!$C$36+'Tab. 13'!L49*'Tab. 16'!$D$36</f>
        <v>59370.299365512561</v>
      </c>
      <c r="M23" s="679">
        <f>'Tab. 12'!M28*'Tab. 16'!$C$22+'Tab. 12'!M58*'Tab. 16'!$D$22+'Tab. 13'!M27*'Tab. 16'!$C$36+'Tab. 13'!M49*'Tab. 16'!$D$36</f>
        <v>62803.224425547029</v>
      </c>
      <c r="N23" s="679">
        <f>'Tab. 12'!N28*'Tab. 16'!$C$22+'Tab. 12'!N58*'Tab. 16'!$D$22+'Tab. 13'!N27*'Tab. 16'!$C$36+'Tab. 13'!N49*'Tab. 16'!$D$36</f>
        <v>9678.9314632827682</v>
      </c>
      <c r="O23" s="324">
        <f>SUM(C23:N23)</f>
        <v>418527.44343246322</v>
      </c>
      <c r="Q23" s="753">
        <f>+O23-CE_2!G17</f>
        <v>-4.6566128730773926E-10</v>
      </c>
    </row>
    <row r="24" spans="2:17" x14ac:dyDescent="0.15">
      <c r="B24" s="230"/>
      <c r="D24" s="91"/>
      <c r="F24" s="91"/>
      <c r="H24" s="91"/>
      <c r="O24" s="252"/>
    </row>
    <row r="25" spans="2:17" x14ac:dyDescent="0.15">
      <c r="B25" s="761" t="s">
        <v>1040</v>
      </c>
      <c r="C25" s="754">
        <f>+C21-C23</f>
        <v>4410005.6580434218</v>
      </c>
      <c r="D25" s="754">
        <f t="shared" ref="D25:O25" si="7">+D21-D23</f>
        <v>4898523.2177478494</v>
      </c>
      <c r="E25" s="754">
        <f t="shared" si="7"/>
        <v>5625403.0948405089</v>
      </c>
      <c r="F25" s="754">
        <f t="shared" si="7"/>
        <v>5141509.0977040632</v>
      </c>
      <c r="G25" s="754">
        <f t="shared" si="7"/>
        <v>5129265.8452982921</v>
      </c>
      <c r="H25" s="754">
        <f t="shared" si="7"/>
        <v>5389915.1750768228</v>
      </c>
      <c r="I25" s="754">
        <f t="shared" si="7"/>
        <v>5348487.0201739045</v>
      </c>
      <c r="J25" s="754">
        <f t="shared" si="7"/>
        <v>2942642.7860794095</v>
      </c>
      <c r="K25" s="754">
        <f t="shared" si="7"/>
        <v>5358425.6897932179</v>
      </c>
      <c r="L25" s="754">
        <f t="shared" si="7"/>
        <v>5107192.7063341979</v>
      </c>
      <c r="M25" s="754">
        <f t="shared" si="7"/>
        <v>5103759.7812741632</v>
      </c>
      <c r="N25" s="754">
        <f t="shared" si="7"/>
        <v>2942642.7860794095</v>
      </c>
      <c r="O25" s="762">
        <f t="shared" si="7"/>
        <v>57397772.858445272</v>
      </c>
      <c r="Q25" s="753">
        <f>+O25-CE_2!G19</f>
        <v>0</v>
      </c>
    </row>
    <row r="26" spans="2:17" x14ac:dyDescent="0.15">
      <c r="B26" s="232"/>
      <c r="C26" s="748"/>
      <c r="D26" s="748"/>
      <c r="E26" s="748"/>
      <c r="F26" s="91"/>
      <c r="H26" s="91"/>
      <c r="O26" s="252"/>
    </row>
    <row r="27" spans="2:17" x14ac:dyDescent="0.2">
      <c r="B27" s="230" t="s">
        <v>828</v>
      </c>
      <c r="C27" s="753">
        <f>CE_1_mens!C16</f>
        <v>24069.280887603691</v>
      </c>
      <c r="D27" s="753">
        <f>CE_1_mens!D16</f>
        <v>27019.438382221684</v>
      </c>
      <c r="E27" s="753">
        <f>CE_1_mens!E16</f>
        <v>30107.080879598518</v>
      </c>
      <c r="F27" s="753">
        <f>CE_1_mens!F16</f>
        <v>27880.95552233003</v>
      </c>
      <c r="G27" s="753">
        <f>CE_1_mens!G16</f>
        <v>26906.609841038524</v>
      </c>
      <c r="H27" s="753">
        <f>CE_1_mens!H16</f>
        <v>29515.331788074865</v>
      </c>
      <c r="I27" s="753">
        <f>CE_1_mens!I16</f>
        <v>25948.845275221345</v>
      </c>
      <c r="J27" s="753">
        <f>CE_1_mens!J16</f>
        <v>16099.271884404487</v>
      </c>
      <c r="K27" s="753">
        <f>CE_1_mens!K16</f>
        <v>26875.958657003313</v>
      </c>
      <c r="L27" s="753">
        <f>CE_1_mens!L16</f>
        <v>24870.715713244728</v>
      </c>
      <c r="M27" s="753">
        <f>CE_1_mens!M16</f>
        <v>24607.239284854291</v>
      </c>
      <c r="N27" s="753">
        <f>CE_1_mens!N16</f>
        <v>16099.271884404487</v>
      </c>
      <c r="O27" s="324">
        <f>SUM(C27:N27)</f>
        <v>299999.99999999994</v>
      </c>
    </row>
    <row r="28" spans="2:17" x14ac:dyDescent="0.2">
      <c r="B28" s="230" t="s">
        <v>1086</v>
      </c>
      <c r="C28" s="753">
        <f>'Tab. 17'!$E$24/'Tab. 11'!$O$10*'Tab. 11'!C10</f>
        <v>26636.831373303263</v>
      </c>
      <c r="D28" s="753">
        <f>'Tab. 17'!$E$24/'Tab. 11'!$O$10*'Tab. 11'!D10</f>
        <v>29596.47930367029</v>
      </c>
      <c r="E28" s="753">
        <f>'Tab. 17'!$E$24/'Tab. 11'!$O$10*'Tab. 11'!E10</f>
        <v>34035.951199220835</v>
      </c>
      <c r="F28" s="753">
        <f>'Tab. 17'!$E$24/'Tab. 11'!$O$10*'Tab. 11'!F10</f>
        <v>31076.303268853804</v>
      </c>
      <c r="G28" s="753">
        <f>'Tab. 17'!$E$24/'Tab. 11'!$O$10*'Tab. 11'!G10</f>
        <v>31076.303268853804</v>
      </c>
      <c r="H28" s="753">
        <f>'Tab. 17'!$E$24/'Tab. 11'!$O$10*'Tab. 11'!H10</f>
        <v>32556.127234037322</v>
      </c>
      <c r="I28" s="753">
        <f>'Tab. 17'!$E$24/'Tab. 11'!$O$10*'Tab. 11'!I10</f>
        <v>32556.127234037322</v>
      </c>
      <c r="J28" s="753">
        <f>'Tab. 17'!$E$24/'Tab. 11'!$O$10*'Tab. 11'!J10</f>
        <v>17757.887582202176</v>
      </c>
      <c r="K28" s="753">
        <f>'Tab. 17'!$E$24/'Tab. 11'!$O$10*'Tab. 11'!K10</f>
        <v>32556.127234037322</v>
      </c>
      <c r="L28" s="753">
        <f>'Tab. 17'!$E$24/'Tab. 11'!$O$10*'Tab. 11'!L10</f>
        <v>31076.303268853804</v>
      </c>
      <c r="M28" s="753">
        <f>'Tab. 17'!$E$24/'Tab. 11'!$O$10*'Tab. 11'!M10</f>
        <v>31076.303268853804</v>
      </c>
      <c r="N28" s="753">
        <f>'Tab. 17'!$E$24/'Tab. 11'!$O$10*'Tab. 11'!N10</f>
        <v>17757.887582202176</v>
      </c>
      <c r="O28" s="324">
        <f>SUM(C28:N28)</f>
        <v>347758.6318181259</v>
      </c>
    </row>
    <row r="29" spans="2:17" x14ac:dyDescent="0.2">
      <c r="B29" s="230" t="s">
        <v>1087</v>
      </c>
      <c r="C29" s="753">
        <f>('Tab. 15'!$G$28+'Tab. 15'!$H$28)/12</f>
        <v>70010.964912280702</v>
      </c>
      <c r="D29" s="753">
        <f>('Tab. 15'!$G$28+'Tab. 15'!$H$28)/12</f>
        <v>70010.964912280702</v>
      </c>
      <c r="E29" s="753">
        <f>('Tab. 15'!$G$28+'Tab. 15'!$H$28)/12</f>
        <v>70010.964912280702</v>
      </c>
      <c r="F29" s="753">
        <f>('Tab. 15'!$G$28+'Tab. 15'!$H$28)/12</f>
        <v>70010.964912280702</v>
      </c>
      <c r="G29" s="753">
        <f>('Tab. 15'!$G$28+'Tab. 15'!$H$28)/12</f>
        <v>70010.964912280702</v>
      </c>
      <c r="H29" s="753">
        <f>('Tab. 15'!$G$28+'Tab. 15'!$H$28)/12</f>
        <v>70010.964912280702</v>
      </c>
      <c r="I29" s="753">
        <f>('Tab. 15'!$G$28+'Tab. 15'!$H$28)/12</f>
        <v>70010.964912280702</v>
      </c>
      <c r="J29" s="753">
        <f>('Tab. 15'!$G$28+'Tab. 15'!$H$28)/12</f>
        <v>70010.964912280702</v>
      </c>
      <c r="K29" s="753">
        <f>('Tab. 15'!$G$28+'Tab. 15'!$H$28)/12</f>
        <v>70010.964912280702</v>
      </c>
      <c r="L29" s="753">
        <f>('Tab. 15'!$G$28+'Tab. 15'!$H$28)/12</f>
        <v>70010.964912280702</v>
      </c>
      <c r="M29" s="753">
        <f>('Tab. 15'!$G$28+'Tab. 15'!$H$28)/12</f>
        <v>70010.964912280702</v>
      </c>
      <c r="N29" s="753">
        <f>('Tab. 15'!$G$28+'Tab. 15'!$H$28)/12</f>
        <v>70010.964912280702</v>
      </c>
      <c r="O29" s="324">
        <f>SUM(C29:N29)</f>
        <v>840131.57894736819</v>
      </c>
    </row>
    <row r="30" spans="2:17" x14ac:dyDescent="0.15">
      <c r="B30" s="232"/>
      <c r="C30" s="748"/>
      <c r="D30" s="748"/>
      <c r="E30" s="748"/>
      <c r="F30" s="91"/>
      <c r="H30" s="91"/>
      <c r="O30" s="252"/>
    </row>
    <row r="31" spans="2:17" x14ac:dyDescent="0.15">
      <c r="B31" s="761" t="s">
        <v>1043</v>
      </c>
      <c r="C31" s="754">
        <f>+C25-C27-C28-C29</f>
        <v>4289288.5808702344</v>
      </c>
      <c r="D31" s="754">
        <f t="shared" ref="D31:O31" si="8">+D25-D27-D28-D29</f>
        <v>4771896.3351496775</v>
      </c>
      <c r="E31" s="754">
        <f t="shared" si="8"/>
        <v>5491249.0978494091</v>
      </c>
      <c r="F31" s="754">
        <f t="shared" si="8"/>
        <v>5012540.8740005987</v>
      </c>
      <c r="G31" s="754">
        <f t="shared" si="8"/>
        <v>5001271.9672761196</v>
      </c>
      <c r="H31" s="754">
        <f t="shared" si="8"/>
        <v>5257832.7511424301</v>
      </c>
      <c r="I31" s="754">
        <f t="shared" si="8"/>
        <v>5219971.0827523656</v>
      </c>
      <c r="J31" s="754">
        <f t="shared" si="8"/>
        <v>2838774.6617005221</v>
      </c>
      <c r="K31" s="754">
        <f t="shared" si="8"/>
        <v>5228982.6389898974</v>
      </c>
      <c r="L31" s="754">
        <f t="shared" si="8"/>
        <v>4981234.722439819</v>
      </c>
      <c r="M31" s="754">
        <f t="shared" si="8"/>
        <v>4978065.2738081748</v>
      </c>
      <c r="N31" s="754">
        <f t="shared" si="8"/>
        <v>2838774.6617005221</v>
      </c>
      <c r="O31" s="762">
        <f t="shared" si="8"/>
        <v>55909882.647679783</v>
      </c>
      <c r="Q31" s="753">
        <f>+O31-CE_2!G23</f>
        <v>0</v>
      </c>
    </row>
    <row r="32" spans="2:17" x14ac:dyDescent="0.15">
      <c r="B32" s="230"/>
      <c r="D32" s="91"/>
      <c r="F32" s="91"/>
      <c r="H32" s="91"/>
      <c r="O32" s="252"/>
    </row>
    <row r="33" spans="2:17" x14ac:dyDescent="0.2">
      <c r="B33" s="230" t="s">
        <v>1036</v>
      </c>
      <c r="C33" s="753">
        <f>+'Tab. 22'!C18</f>
        <v>4036854.3726830254</v>
      </c>
      <c r="D33" s="753">
        <f>+'Tab. 22'!D18</f>
        <v>4199573.0066848425</v>
      </c>
      <c r="E33" s="753">
        <f>+'Tab. 22'!E18</f>
        <v>4443635.9576875698</v>
      </c>
      <c r="F33" s="753">
        <f>+'Tab. 22'!F18</f>
        <v>4280927.3236857522</v>
      </c>
      <c r="G33" s="753">
        <f>+'Tab. 22'!G18</f>
        <v>4280927.3236857522</v>
      </c>
      <c r="H33" s="753">
        <f>+'Tab. 22'!H18</f>
        <v>4362281.6406866601</v>
      </c>
      <c r="I33" s="753">
        <f>+'Tab. 22'!I18</f>
        <v>4362281.6406866601</v>
      </c>
      <c r="J33" s="753">
        <f>+'Tab. 22'!J18</f>
        <v>3548728.4706775723</v>
      </c>
      <c r="K33" s="753">
        <f>+'Tab. 22'!K18</f>
        <v>4362281.6406866601</v>
      </c>
      <c r="L33" s="753">
        <f>+'Tab. 22'!L18</f>
        <v>4280927.3236857522</v>
      </c>
      <c r="M33" s="753">
        <f>+'Tab. 22'!M18</f>
        <v>4280927.3236857522</v>
      </c>
      <c r="N33" s="753">
        <f>+'Tab. 22'!N18</f>
        <v>3548728.4706775723</v>
      </c>
      <c r="O33" s="324">
        <f t="shared" ref="O33:O34" si="9">SUM(C33:N33)</f>
        <v>49988074.495213561</v>
      </c>
    </row>
    <row r="34" spans="2:17" x14ac:dyDescent="0.2">
      <c r="B34" s="230" t="s">
        <v>1051</v>
      </c>
      <c r="C34" s="753">
        <f>+'Tab. 22'!C38</f>
        <v>289941.38720443845</v>
      </c>
      <c r="D34" s="753">
        <f>+'Tab. 22'!D38</f>
        <v>293881.46336555539</v>
      </c>
      <c r="E34" s="753">
        <f>+'Tab. 22'!E38</f>
        <v>302764.00770967366</v>
      </c>
      <c r="F34" s="753">
        <f>+'Tab. 22'!F38</f>
        <v>298565.45936573565</v>
      </c>
      <c r="G34" s="753">
        <f>+'Tab. 22'!G38</f>
        <v>298565.45936573565</v>
      </c>
      <c r="H34" s="753">
        <f>+'Tab. 22'!H38</f>
        <v>300664.73353770468</v>
      </c>
      <c r="I34" s="753">
        <f>+'Tab. 22'!I38</f>
        <v>300664.73353770468</v>
      </c>
      <c r="J34" s="753">
        <f>+'Tab. 22'!J38</f>
        <v>279671.9918180143</v>
      </c>
      <c r="K34" s="753">
        <f>+'Tab. 22'!K38</f>
        <v>300664.73353770468</v>
      </c>
      <c r="L34" s="753">
        <f>+'Tab. 22'!L38</f>
        <v>298565.45936573565</v>
      </c>
      <c r="M34" s="753">
        <f>+'Tab. 22'!M38</f>
        <v>298565.45936573565</v>
      </c>
      <c r="N34" s="753">
        <f>+'Tab. 22'!N38</f>
        <v>279671.9918180143</v>
      </c>
      <c r="O34" s="324">
        <f t="shared" si="9"/>
        <v>3542186.879991753</v>
      </c>
    </row>
    <row r="35" spans="2:17" x14ac:dyDescent="0.15">
      <c r="B35" s="230"/>
      <c r="D35" s="91"/>
      <c r="F35" s="91"/>
      <c r="H35" s="91"/>
      <c r="O35" s="252"/>
    </row>
    <row r="36" spans="2:17" ht="17" thickBot="1" x14ac:dyDescent="0.2">
      <c r="B36" s="769" t="s">
        <v>53</v>
      </c>
      <c r="C36" s="770">
        <f>+C31-C33-C34</f>
        <v>-37507.179017229471</v>
      </c>
      <c r="D36" s="770">
        <f t="shared" ref="D36:O36" si="10">+D31-D33-D34</f>
        <v>278441.86509927956</v>
      </c>
      <c r="E36" s="770">
        <f t="shared" si="10"/>
        <v>744849.13245216571</v>
      </c>
      <c r="F36" s="770">
        <f t="shared" si="10"/>
        <v>433048.0909491108</v>
      </c>
      <c r="G36" s="770">
        <f t="shared" si="10"/>
        <v>421779.18422463175</v>
      </c>
      <c r="H36" s="770">
        <f t="shared" si="10"/>
        <v>594886.37691806536</v>
      </c>
      <c r="I36" s="770">
        <f t="shared" si="10"/>
        <v>557024.70852800086</v>
      </c>
      <c r="J36" s="770">
        <f t="shared" si="10"/>
        <v>-989625.80079506454</v>
      </c>
      <c r="K36" s="770">
        <f t="shared" si="10"/>
        <v>566036.26476553269</v>
      </c>
      <c r="L36" s="770">
        <f t="shared" si="10"/>
        <v>401741.93938833114</v>
      </c>
      <c r="M36" s="770">
        <f t="shared" si="10"/>
        <v>398572.49075668689</v>
      </c>
      <c r="N36" s="770">
        <f t="shared" si="10"/>
        <v>-989625.80079506454</v>
      </c>
      <c r="O36" s="254">
        <f t="shared" si="10"/>
        <v>2379621.2724744696</v>
      </c>
      <c r="Q36" s="753">
        <f>+O36-CE_2!G28</f>
        <v>2.2351741790771484E-8</v>
      </c>
    </row>
  </sheetData>
  <mergeCells count="1">
    <mergeCell ref="C6:O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4675-6D44-564D-8401-DA797B2CBB04}">
  <sheetPr codeName="Foglio44">
    <tabColor theme="4"/>
  </sheetPr>
  <dimension ref="B2:Q165"/>
  <sheetViews>
    <sheetView showGridLines="0" zoomScale="125" zoomScaleNormal="160" workbookViewId="0">
      <selection activeCell="D49" sqref="D49"/>
    </sheetView>
  </sheetViews>
  <sheetFormatPr baseColWidth="10" defaultRowHeight="16" outlineLevelRow="1" x14ac:dyDescent="0.15"/>
  <cols>
    <col min="1" max="1" width="5.33203125" style="91" customWidth="1"/>
    <col min="2" max="2" width="27.83203125" style="91" customWidth="1"/>
    <col min="3" max="3" width="12.1640625" style="91" customWidth="1"/>
    <col min="4" max="4" width="12.1640625" style="722" customWidth="1"/>
    <col min="5" max="5" width="13.33203125" style="91" customWidth="1"/>
    <col min="6" max="6" width="12.1640625" style="722" customWidth="1"/>
    <col min="7" max="7" width="12.1640625" style="91" customWidth="1"/>
    <col min="8" max="8" width="12.1640625" style="722" customWidth="1"/>
    <col min="9" max="14" width="12.1640625" style="91" customWidth="1"/>
    <col min="15" max="15" width="13.6640625" style="91" customWidth="1"/>
    <col min="16" max="16384" width="10.83203125" style="91"/>
  </cols>
  <sheetData>
    <row r="2" spans="2:17" x14ac:dyDescent="0.15">
      <c r="B2" s="91" t="s">
        <v>1089</v>
      </c>
    </row>
    <row r="4" spans="2:17" x14ac:dyDescent="0.15">
      <c r="B4" s="736" t="s">
        <v>1057</v>
      </c>
    </row>
    <row r="5" spans="2:17" ht="17" thickBot="1" x14ac:dyDescent="0.2"/>
    <row r="6" spans="2:17" x14ac:dyDescent="0.2">
      <c r="B6" s="330"/>
      <c r="C6" s="1056" t="s">
        <v>196</v>
      </c>
      <c r="D6" s="1044"/>
      <c r="E6" s="1044"/>
      <c r="F6" s="1044"/>
      <c r="G6" s="1044"/>
      <c r="H6" s="1044"/>
      <c r="I6" s="1044"/>
      <c r="J6" s="1044"/>
      <c r="K6" s="1044"/>
      <c r="L6" s="1044"/>
      <c r="M6" s="1044"/>
      <c r="N6" s="1044"/>
      <c r="O6" s="1045"/>
    </row>
    <row r="7" spans="2:17" x14ac:dyDescent="0.2">
      <c r="B7" s="331"/>
      <c r="C7" s="419" t="s">
        <v>211</v>
      </c>
      <c r="D7" s="420" t="s">
        <v>212</v>
      </c>
      <c r="E7" s="420" t="s">
        <v>213</v>
      </c>
      <c r="F7" s="420" t="s">
        <v>214</v>
      </c>
      <c r="G7" s="420" t="s">
        <v>215</v>
      </c>
      <c r="H7" s="420" t="s">
        <v>216</v>
      </c>
      <c r="I7" s="420" t="s">
        <v>217</v>
      </c>
      <c r="J7" s="420" t="s">
        <v>218</v>
      </c>
      <c r="K7" s="420" t="s">
        <v>219</v>
      </c>
      <c r="L7" s="420" t="s">
        <v>220</v>
      </c>
      <c r="M7" s="420" t="s">
        <v>221</v>
      </c>
      <c r="N7" s="420" t="s">
        <v>222</v>
      </c>
      <c r="O7" s="713" t="s">
        <v>179</v>
      </c>
    </row>
    <row r="8" spans="2:17" x14ac:dyDescent="0.2">
      <c r="B8" s="218" t="s">
        <v>40</v>
      </c>
      <c r="C8" s="679">
        <f>'Tab. 4'!C9</f>
        <v>11015187.875085792</v>
      </c>
      <c r="D8" s="100">
        <f>'Tab. 4'!D9</f>
        <v>12239097.638984215</v>
      </c>
      <c r="E8" s="100">
        <f>'Tab. 4'!E9</f>
        <v>14074962.284831846</v>
      </c>
      <c r="F8" s="100">
        <f>'Tab. 4'!F9</f>
        <v>12851052.520933423</v>
      </c>
      <c r="G8" s="100">
        <f>'Tab. 4'!G9</f>
        <v>12851052.520933423</v>
      </c>
      <c r="H8" s="100">
        <f>'Tab. 4'!H9</f>
        <v>13463007.402882634</v>
      </c>
      <c r="I8" s="100">
        <f>'Tab. 4'!I9</f>
        <v>13463007.402882634</v>
      </c>
      <c r="J8" s="100">
        <f>'Tab. 4'!J9</f>
        <v>7343458.5833905274</v>
      </c>
      <c r="K8" s="100">
        <f>'Tab. 4'!K9</f>
        <v>13463007.402882634</v>
      </c>
      <c r="L8" s="100">
        <f>'Tab. 4'!L9</f>
        <v>12851052.520933423</v>
      </c>
      <c r="M8" s="100">
        <f>'Tab. 4'!M9</f>
        <v>12851052.520933423</v>
      </c>
      <c r="N8" s="100">
        <f>'Tab. 4'!N9</f>
        <v>7343458.5833905274</v>
      </c>
      <c r="O8" s="324">
        <f>SUM(C8:N8)</f>
        <v>143809397.25806451</v>
      </c>
    </row>
    <row r="9" spans="2:17" x14ac:dyDescent="0.2">
      <c r="B9" s="340" t="s">
        <v>1037</v>
      </c>
      <c r="C9" s="679">
        <f>0.2%*C8</f>
        <v>22030.375750171585</v>
      </c>
      <c r="D9" s="100">
        <f t="shared" ref="D9:N9" si="0">0.2%*D8</f>
        <v>24478.195277968429</v>
      </c>
      <c r="E9" s="100">
        <f t="shared" si="0"/>
        <v>28149.924569663694</v>
      </c>
      <c r="F9" s="100">
        <f t="shared" si="0"/>
        <v>25702.105041866846</v>
      </c>
      <c r="G9" s="100">
        <f t="shared" si="0"/>
        <v>25702.105041866846</v>
      </c>
      <c r="H9" s="100">
        <f t="shared" si="0"/>
        <v>26926.01480576527</v>
      </c>
      <c r="I9" s="100">
        <f t="shared" si="0"/>
        <v>26926.01480576527</v>
      </c>
      <c r="J9" s="100">
        <f t="shared" si="0"/>
        <v>14686.917166781055</v>
      </c>
      <c r="K9" s="100">
        <f t="shared" si="0"/>
        <v>26926.01480576527</v>
      </c>
      <c r="L9" s="100">
        <f t="shared" si="0"/>
        <v>25702.105041866846</v>
      </c>
      <c r="M9" s="100">
        <f t="shared" si="0"/>
        <v>25702.105041866846</v>
      </c>
      <c r="N9" s="100">
        <f t="shared" si="0"/>
        <v>14686.917166781055</v>
      </c>
      <c r="O9" s="324">
        <f>SUM(C9:N9)</f>
        <v>287618.79451612895</v>
      </c>
    </row>
    <row r="10" spans="2:17" x14ac:dyDescent="0.2">
      <c r="B10" s="340"/>
      <c r="D10" s="91"/>
      <c r="F10" s="91"/>
      <c r="H10" s="91"/>
      <c r="I10" s="100"/>
      <c r="J10" s="100"/>
      <c r="K10" s="100"/>
      <c r="L10" s="100"/>
      <c r="M10" s="100"/>
      <c r="N10" s="100"/>
      <c r="O10" s="465"/>
    </row>
    <row r="11" spans="2:17" x14ac:dyDescent="0.15">
      <c r="B11" s="761" t="s">
        <v>1039</v>
      </c>
      <c r="C11" s="754">
        <f>+C8-C9</f>
        <v>10993157.499335621</v>
      </c>
      <c r="D11" s="754">
        <f t="shared" ref="D11:O11" si="1">+D8-D9</f>
        <v>12214619.443706246</v>
      </c>
      <c r="E11" s="754">
        <f t="shared" si="1"/>
        <v>14046812.360262182</v>
      </c>
      <c r="F11" s="754">
        <f t="shared" si="1"/>
        <v>12825350.415891556</v>
      </c>
      <c r="G11" s="754">
        <f t="shared" si="1"/>
        <v>12825350.415891556</v>
      </c>
      <c r="H11" s="754">
        <f t="shared" si="1"/>
        <v>13436081.388076868</v>
      </c>
      <c r="I11" s="754">
        <f t="shared" si="1"/>
        <v>13436081.388076868</v>
      </c>
      <c r="J11" s="754">
        <f t="shared" si="1"/>
        <v>7328771.6662237467</v>
      </c>
      <c r="K11" s="754">
        <f t="shared" si="1"/>
        <v>13436081.388076868</v>
      </c>
      <c r="L11" s="754">
        <f t="shared" si="1"/>
        <v>12825350.415891556</v>
      </c>
      <c r="M11" s="754">
        <f t="shared" si="1"/>
        <v>12825350.415891556</v>
      </c>
      <c r="N11" s="754">
        <f t="shared" si="1"/>
        <v>7328771.6662237467</v>
      </c>
      <c r="O11" s="762">
        <f t="shared" si="1"/>
        <v>143521778.46354839</v>
      </c>
    </row>
    <row r="12" spans="2:17" x14ac:dyDescent="0.15">
      <c r="B12" s="230"/>
      <c r="D12" s="91"/>
      <c r="F12" s="91"/>
      <c r="H12" s="91"/>
      <c r="O12" s="252"/>
    </row>
    <row r="13" spans="2:17" s="757" customFormat="1" hidden="1" outlineLevel="1" x14ac:dyDescent="0.2">
      <c r="B13" s="763" t="s">
        <v>1080</v>
      </c>
      <c r="C13" s="758">
        <f>'Tab. 8'!C60</f>
        <v>6454699.5822317358</v>
      </c>
      <c r="D13" s="758">
        <f>'Tab. 8'!D60</f>
        <v>7286215.4702423373</v>
      </c>
      <c r="E13" s="758">
        <f>'Tab. 8'!E60</f>
        <v>8050730.498720794</v>
      </c>
      <c r="F13" s="758">
        <f>'Tab. 8'!F60</f>
        <v>7442361.3877202189</v>
      </c>
      <c r="G13" s="758">
        <f>'Tab. 8'!G60</f>
        <v>7303495.0472512841</v>
      </c>
      <c r="H13" s="758">
        <f>'Tab. 8'!H60</f>
        <v>7853833.9722076533</v>
      </c>
      <c r="I13" s="758">
        <f>'Tab. 8'!I60</f>
        <v>6919460.8738672379</v>
      </c>
      <c r="J13" s="758">
        <f>'Tab. 8'!J60</f>
        <v>4321654.7706176294</v>
      </c>
      <c r="K13" s="758">
        <f>'Tab. 8'!K60</f>
        <v>7266433.1549180066</v>
      </c>
      <c r="L13" s="758">
        <f>'Tab. 8'!L60</f>
        <v>6628962.1062278468</v>
      </c>
      <c r="M13" s="758">
        <f>'Tab. 8'!M60</f>
        <v>6576187.7784187235</v>
      </c>
      <c r="N13" s="758">
        <f>'Tab. 8'!N60</f>
        <v>4375537.6398723517</v>
      </c>
      <c r="O13" s="764">
        <f t="shared" ref="O13:O16" si="2">SUM(C13:N13)</f>
        <v>80479572.282295823</v>
      </c>
    </row>
    <row r="14" spans="2:17" s="757" customFormat="1" hidden="1" outlineLevel="1" x14ac:dyDescent="0.2">
      <c r="B14" s="765" t="s">
        <v>1081</v>
      </c>
      <c r="C14" s="758">
        <f>-('Tab. 8'!C61-'Tab. 8'!C58)</f>
        <v>273.40703313797712</v>
      </c>
      <c r="D14" s="758">
        <f>-('Tab. 8'!D61-'Tab. 8'!D58)</f>
        <v>-41595.95058056619</v>
      </c>
      <c r="E14" s="758">
        <f>-('Tab. 8'!E61-'Tab. 8'!E58)</f>
        <v>20529.481588882394</v>
      </c>
      <c r="F14" s="758">
        <f>-('Tab. 8'!F61-'Tab. 8'!F58)</f>
        <v>33545.542596842162</v>
      </c>
      <c r="G14" s="758">
        <f>-('Tab. 8'!G61-'Tab. 8'!G58)</f>
        <v>-95192.140212764032</v>
      </c>
      <c r="H14" s="758">
        <f>-('Tab. 8'!H61-'Tab. 8'!H58)</f>
        <v>62306.89361702092</v>
      </c>
      <c r="I14" s="758">
        <f>-('Tab. 8'!I61-'Tab. 8'!I58)</f>
        <v>40132.735957446508</v>
      </c>
      <c r="J14" s="758">
        <f>-('Tab. 8'!J61-'Tab. 8'!J58)</f>
        <v>-3759.7528950758278</v>
      </c>
      <c r="K14" s="758">
        <f>-('Tab. 8'!K61-'Tab. 8'!K58)</f>
        <v>-63821.493700668216</v>
      </c>
      <c r="L14" s="758">
        <f>-('Tab. 8'!L61-'Tab. 8'!L58)</f>
        <v>44000</v>
      </c>
      <c r="M14" s="758">
        <f>-('Tab. 8'!M61-'Tab. 8'!M58)</f>
        <v>23581.246595744044</v>
      </c>
      <c r="N14" s="758">
        <f>-('Tab. 8'!N61-'Tab. 8'!N58)</f>
        <v>-57642.622149798088</v>
      </c>
      <c r="O14" s="764">
        <f t="shared" si="2"/>
        <v>-37642.652149798349</v>
      </c>
    </row>
    <row r="15" spans="2:17" s="757" customFormat="1" hidden="1" outlineLevel="1" x14ac:dyDescent="0.15">
      <c r="B15" s="766" t="s">
        <v>76</v>
      </c>
      <c r="C15" s="759">
        <f>SUM(C13:C14)</f>
        <v>6454972.9892648738</v>
      </c>
      <c r="D15" s="759">
        <f>SUM(D13:D14)</f>
        <v>7244619.5196617711</v>
      </c>
      <c r="E15" s="759">
        <f t="shared" ref="E15:O15" si="3">SUM(E13:E14)</f>
        <v>8071259.9803096764</v>
      </c>
      <c r="F15" s="759">
        <f t="shared" si="3"/>
        <v>7475906.930317061</v>
      </c>
      <c r="G15" s="759">
        <f t="shared" si="3"/>
        <v>7208302.9070385201</v>
      </c>
      <c r="H15" s="759">
        <f t="shared" si="3"/>
        <v>7916140.8658246743</v>
      </c>
      <c r="I15" s="759">
        <f t="shared" si="3"/>
        <v>6959593.6098246844</v>
      </c>
      <c r="J15" s="759">
        <f t="shared" si="3"/>
        <v>4317895.0177225536</v>
      </c>
      <c r="K15" s="759">
        <f t="shared" si="3"/>
        <v>7202611.6612173384</v>
      </c>
      <c r="L15" s="759">
        <f t="shared" si="3"/>
        <v>6672962.1062278468</v>
      </c>
      <c r="M15" s="759">
        <f t="shared" si="3"/>
        <v>6599769.0250144675</v>
      </c>
      <c r="N15" s="759">
        <f t="shared" si="3"/>
        <v>4317895.0177225536</v>
      </c>
      <c r="O15" s="767">
        <f t="shared" si="3"/>
        <v>80441929.630146027</v>
      </c>
      <c r="Q15" s="760">
        <f>+O15-'Tab. 8'!O59</f>
        <v>0</v>
      </c>
    </row>
    <row r="16" spans="2:17" s="757" customFormat="1" hidden="1" outlineLevel="1" x14ac:dyDescent="0.2">
      <c r="B16" s="763" t="s">
        <v>828</v>
      </c>
      <c r="C16" s="758">
        <f>CE_1_mens!C16</f>
        <v>24069.280887603691</v>
      </c>
      <c r="D16" s="758">
        <f>CE_1_mens!D16</f>
        <v>27019.438382221684</v>
      </c>
      <c r="E16" s="758">
        <f>CE_1_mens!E16</f>
        <v>30107.080879598518</v>
      </c>
      <c r="F16" s="758">
        <f>CE_1_mens!F16</f>
        <v>27880.95552233003</v>
      </c>
      <c r="G16" s="758">
        <f>CE_1_mens!G16</f>
        <v>26906.609841038524</v>
      </c>
      <c r="H16" s="758">
        <f>CE_1_mens!H16</f>
        <v>29515.331788074865</v>
      </c>
      <c r="I16" s="758">
        <f>CE_1_mens!I16</f>
        <v>25948.845275221345</v>
      </c>
      <c r="J16" s="758">
        <f>CE_1_mens!J16</f>
        <v>16099.271884404487</v>
      </c>
      <c r="K16" s="758">
        <f>CE_1_mens!K16</f>
        <v>26875.958657003313</v>
      </c>
      <c r="L16" s="758">
        <f>CE_1_mens!L16</f>
        <v>24870.715713244728</v>
      </c>
      <c r="M16" s="758">
        <f>CE_1_mens!M16</f>
        <v>24607.239284854291</v>
      </c>
      <c r="N16" s="758">
        <f>CE_1_mens!N16</f>
        <v>16099.271884404487</v>
      </c>
      <c r="O16" s="764">
        <f t="shared" si="2"/>
        <v>299999.99999999994</v>
      </c>
      <c r="Q16" s="760"/>
    </row>
    <row r="17" spans="2:17" s="757" customFormat="1" hidden="1" outlineLevel="1" x14ac:dyDescent="0.2">
      <c r="B17" s="763" t="s">
        <v>1073</v>
      </c>
      <c r="C17" s="758">
        <f>+'Mens costi industriali DIR'!C38+'Mens costi industriali DIR'!C49</f>
        <v>279512.11976353644</v>
      </c>
      <c r="D17" s="758">
        <f>+'Mens costi industriali DIR'!D38+'Mens costi industriali DIR'!D49</f>
        <v>313545.49642272829</v>
      </c>
      <c r="E17" s="758">
        <f>+'Mens costi industriali DIR'!E38+'Mens costi industriali DIR'!E49</f>
        <v>349193.55128357641</v>
      </c>
      <c r="F17" s="758">
        <f>+'Mens costi industriali DIR'!F38+'Mens costi industriali DIR'!F49</f>
        <v>323585.95625795069</v>
      </c>
      <c r="G17" s="758">
        <f>+'Mens costi industriali DIR'!G38+'Mens costi industriali DIR'!G49</f>
        <v>311342.70385218097</v>
      </c>
      <c r="H17" s="758">
        <f>+'Mens costi industriali DIR'!H38+'Mens costi industriali DIR'!H49</f>
        <v>342848.83257530374</v>
      </c>
      <c r="I17" s="758">
        <f>+'Mens costi industriali DIR'!I38+'Mens costi industriali DIR'!I49</f>
        <v>301420.67767238535</v>
      </c>
      <c r="J17" s="758">
        <f>+'Mens costi industriali DIR'!J38+'Mens costi industriali DIR'!J49</f>
        <v>187008.45413198401</v>
      </c>
      <c r="K17" s="758">
        <f>+'Mens costi industriali DIR'!K38+'Mens costi industriali DIR'!K49</f>
        <v>311359.34729169839</v>
      </c>
      <c r="L17" s="758">
        <f>+'Mens costi industriali DIR'!L38+'Mens costi industriali DIR'!L49</f>
        <v>289269.56488808768</v>
      </c>
      <c r="M17" s="758">
        <f>+'Mens costi industriali DIR'!M38+'Mens costi industriali DIR'!M49</f>
        <v>285836.63982805319</v>
      </c>
      <c r="N17" s="758">
        <f>+'Mens costi industriali DIR'!N38+'Mens costi industriali DIR'!N49</f>
        <v>187008.45413198401</v>
      </c>
      <c r="O17" s="764">
        <f>SUM(C17:N17)</f>
        <v>3481931.7980994694</v>
      </c>
    </row>
    <row r="18" spans="2:17" s="757" customFormat="1" hidden="1" outlineLevel="1" x14ac:dyDescent="0.2">
      <c r="B18" s="763" t="s">
        <v>1090</v>
      </c>
      <c r="C18" s="758">
        <f>+'Mens costi industriali IND'!C38+'Mens costi industriali IND'!C50</f>
        <v>79479.030050920133</v>
      </c>
      <c r="D18" s="758">
        <f>+'Mens costi industriali IND'!D38+'Mens costi industriali IND'!D50</f>
        <v>89010.953475783157</v>
      </c>
      <c r="E18" s="758">
        <f>+'Mens costi industriali IND'!E38+'Mens costi industriali IND'!E50</f>
        <v>99013.637574466076</v>
      </c>
      <c r="F18" s="758">
        <f>+'Mens costi industriali IND'!F38+'Mens costi industriali IND'!F50</f>
        <v>91888.974631028075</v>
      </c>
      <c r="G18" s="758">
        <f>+'Mens costi industriali IND'!G38+'Mens costi industriali IND'!G50</f>
        <v>87810.873111132154</v>
      </c>
      <c r="H18" s="758">
        <f>+'Mens costi industriali IND'!H38+'Mens costi industriali IND'!H50</f>
        <v>97548.374952479018</v>
      </c>
      <c r="I18" s="758">
        <f>+'Mens costi industriali IND'!I38+'Mens costi industriali IND'!I50</f>
        <v>85761.112450508459</v>
      </c>
      <c r="J18" s="758">
        <f>+'Mens costi industriali IND'!J38+'Mens costi industriali IND'!J50</f>
        <v>53208.204519534062</v>
      </c>
      <c r="K18" s="758">
        <f>+'Mens costi industriali IND'!K38+'Mens costi industriali IND'!K50</f>
        <v>88055.104982114586</v>
      </c>
      <c r="L18" s="758">
        <f>+'Mens costi industriali IND'!L38+'Mens costi industriali IND'!L50</f>
        <v>82543.150194515852</v>
      </c>
      <c r="M18" s="758">
        <f>+'Mens costi industriali IND'!M38+'Mens costi industriali IND'!M50</f>
        <v>81327.095407213914</v>
      </c>
      <c r="N18" s="758">
        <f>+'Mens costi industriali IND'!N38+'Mens costi industriali IND'!N50</f>
        <v>53208.204519534062</v>
      </c>
      <c r="O18" s="764">
        <f>SUM(C18:N18)</f>
        <v>988854.71586922952</v>
      </c>
    </row>
    <row r="19" spans="2:17" s="757" customFormat="1" hidden="1" outlineLevel="1" x14ac:dyDescent="0.15">
      <c r="B19" s="766" t="s">
        <v>1066</v>
      </c>
      <c r="C19" s="759">
        <f>SUM(C15:C18)</f>
        <v>6838033.4199669342</v>
      </c>
      <c r="D19" s="759">
        <f t="shared" ref="D19:O19" si="4">SUM(D15:D18)</f>
        <v>7674195.4079425046</v>
      </c>
      <c r="E19" s="759">
        <f t="shared" si="4"/>
        <v>8549574.2500473168</v>
      </c>
      <c r="F19" s="759">
        <f t="shared" si="4"/>
        <v>7919262.8167283703</v>
      </c>
      <c r="G19" s="759">
        <f t="shared" si="4"/>
        <v>7634363.0938428724</v>
      </c>
      <c r="H19" s="759">
        <f t="shared" si="4"/>
        <v>8386053.4051405322</v>
      </c>
      <c r="I19" s="759">
        <f t="shared" si="4"/>
        <v>7372724.2452227995</v>
      </c>
      <c r="J19" s="759">
        <f t="shared" si="4"/>
        <v>4574210.9482584763</v>
      </c>
      <c r="K19" s="759">
        <f t="shared" si="4"/>
        <v>7628902.0721481545</v>
      </c>
      <c r="L19" s="759">
        <f t="shared" si="4"/>
        <v>7069645.5370236952</v>
      </c>
      <c r="M19" s="759">
        <f t="shared" si="4"/>
        <v>6991539.9995345892</v>
      </c>
      <c r="N19" s="759">
        <f t="shared" si="4"/>
        <v>4574210.9482584763</v>
      </c>
      <c r="O19" s="767">
        <f t="shared" si="4"/>
        <v>85212716.144114733</v>
      </c>
    </row>
    <row r="20" spans="2:17" s="757" customFormat="1" hidden="1" outlineLevel="1" x14ac:dyDescent="0.2">
      <c r="B20" s="765" t="s">
        <v>1079</v>
      </c>
      <c r="C20" s="758">
        <f>-('Tab. 23'!C68-'Tab. 23'!C65)</f>
        <v>-172605.10608088225</v>
      </c>
      <c r="D20" s="758">
        <f>-('Tab. 23'!D68-'Tab. 23'!D65)</f>
        <v>-268163.94806911051</v>
      </c>
      <c r="E20" s="758">
        <f>-('Tab. 23'!E68-'Tab. 23'!E65)</f>
        <v>-32638.071192912757</v>
      </c>
      <c r="F20" s="758">
        <f>-('Tab. 23'!F68-'Tab. 23'!F65)</f>
        <v>-142929.78386130929</v>
      </c>
      <c r="G20" s="758">
        <f>-('Tab. 23'!G68-'Tab. 23'!G65)</f>
        <v>141969.93902419135</v>
      </c>
      <c r="H20" s="758">
        <f>-('Tab. 23'!H68-'Tab. 23'!H65)</f>
        <v>-239418.79927979782</v>
      </c>
      <c r="I20" s="758">
        <f>-('Tab. 23'!I68-'Tab. 23'!I65)</f>
        <v>773910.36063793302</v>
      </c>
      <c r="J20" s="758">
        <f>-('Tab. 23'!J68-'Tab. 23'!J65)</f>
        <v>-130592.07233444043</v>
      </c>
      <c r="K20" s="758">
        <f>-('Tab. 23'!K68-'Tab. 23'!K65)</f>
        <v>517732.53371257894</v>
      </c>
      <c r="L20" s="758">
        <f>-('Tab. 23'!L68-'Tab. 23'!L65)</f>
        <v>706687.49584336765</v>
      </c>
      <c r="M20" s="758">
        <f>-('Tab. 23'!M68-'Tab. 23'!M65)</f>
        <v>784793.03333247267</v>
      </c>
      <c r="N20" s="758">
        <f>-('Tab. 23'!N68-'Tab. 23'!N65)</f>
        <v>-130592.07233444043</v>
      </c>
      <c r="O20" s="764">
        <f>SUM(C20:N20)</f>
        <v>1808153.5093976501</v>
      </c>
    </row>
    <row r="21" spans="2:17" collapsed="1" x14ac:dyDescent="0.15">
      <c r="B21" s="218" t="s">
        <v>1032</v>
      </c>
      <c r="C21" s="755">
        <f>SUM(C19:C20)</f>
        <v>6665428.313886052</v>
      </c>
      <c r="D21" s="755">
        <f t="shared" ref="D21:O21" si="5">SUM(D19:D20)</f>
        <v>7406031.4598733941</v>
      </c>
      <c r="E21" s="755">
        <f t="shared" si="5"/>
        <v>8516936.178854404</v>
      </c>
      <c r="F21" s="755">
        <f t="shared" si="5"/>
        <v>7776333.032867061</v>
      </c>
      <c r="G21" s="755">
        <f t="shared" si="5"/>
        <v>7776333.0328670638</v>
      </c>
      <c r="H21" s="755">
        <f t="shared" si="5"/>
        <v>8146634.6058607344</v>
      </c>
      <c r="I21" s="755">
        <f t="shared" si="5"/>
        <v>8146634.6058607325</v>
      </c>
      <c r="J21" s="755">
        <f t="shared" si="5"/>
        <v>4443618.8759240359</v>
      </c>
      <c r="K21" s="755">
        <f t="shared" si="5"/>
        <v>8146634.6058607334</v>
      </c>
      <c r="L21" s="755">
        <f t="shared" si="5"/>
        <v>7776333.0328670628</v>
      </c>
      <c r="M21" s="755">
        <f t="shared" si="5"/>
        <v>7776333.0328670619</v>
      </c>
      <c r="N21" s="755">
        <f t="shared" si="5"/>
        <v>4443618.8759240359</v>
      </c>
      <c r="O21" s="768">
        <f t="shared" si="5"/>
        <v>87020869.653512388</v>
      </c>
      <c r="Q21" s="753">
        <f>O21-CE_3!G13</f>
        <v>0</v>
      </c>
    </row>
    <row r="22" spans="2:17" x14ac:dyDescent="0.15">
      <c r="B22" s="230"/>
      <c r="D22" s="91"/>
      <c r="F22" s="91"/>
      <c r="H22" s="91"/>
      <c r="O22" s="252"/>
    </row>
    <row r="23" spans="2:17" x14ac:dyDescent="0.15">
      <c r="B23" s="761" t="s">
        <v>1033</v>
      </c>
      <c r="C23" s="754">
        <f t="shared" ref="C23:O23" si="6">+C11-C21</f>
        <v>4327729.1854495686</v>
      </c>
      <c r="D23" s="754">
        <f t="shared" si="6"/>
        <v>4808587.983832852</v>
      </c>
      <c r="E23" s="754">
        <f t="shared" si="6"/>
        <v>5529876.1814077776</v>
      </c>
      <c r="F23" s="754">
        <f t="shared" si="6"/>
        <v>5049017.3830244951</v>
      </c>
      <c r="G23" s="754">
        <f t="shared" si="6"/>
        <v>5049017.3830244923</v>
      </c>
      <c r="H23" s="754">
        <f t="shared" si="6"/>
        <v>5289446.7822161335</v>
      </c>
      <c r="I23" s="754">
        <f t="shared" si="6"/>
        <v>5289446.7822161354</v>
      </c>
      <c r="J23" s="754">
        <f t="shared" si="6"/>
        <v>2885152.7902997108</v>
      </c>
      <c r="K23" s="754">
        <f t="shared" si="6"/>
        <v>5289446.7822161345</v>
      </c>
      <c r="L23" s="754">
        <f t="shared" si="6"/>
        <v>5049017.3830244932</v>
      </c>
      <c r="M23" s="754">
        <f t="shared" si="6"/>
        <v>5049017.3830244942</v>
      </c>
      <c r="N23" s="754">
        <f t="shared" si="6"/>
        <v>2885152.7902997108</v>
      </c>
      <c r="O23" s="762">
        <f t="shared" si="6"/>
        <v>56500908.810036004</v>
      </c>
    </row>
    <row r="24" spans="2:17" x14ac:dyDescent="0.15">
      <c r="B24" s="230"/>
      <c r="D24" s="91"/>
      <c r="F24" s="91"/>
      <c r="H24" s="91"/>
      <c r="O24" s="252"/>
    </row>
    <row r="25" spans="2:17" x14ac:dyDescent="0.2">
      <c r="B25" s="230" t="s">
        <v>1088</v>
      </c>
      <c r="C25" s="679">
        <f>+'Mens costi industriali DIR'!C39+'Mens costi industriali DIR'!C50</f>
        <v>18476.918270619299</v>
      </c>
      <c r="D25" s="679">
        <f>+'Mens costi industriali DIR'!D39+'Mens costi industriali DIR'!D50</f>
        <v>22012.978156638696</v>
      </c>
      <c r="E25" s="679">
        <f>+'Mens costi industriali DIR'!E39+'Mens costi industriali DIR'!E50</f>
        <v>33213.530449653539</v>
      </c>
      <c r="F25" s="679">
        <f>+'Mens costi industriali DIR'!F39+'Mens costi industriali DIR'!F50</f>
        <v>25053.907995649573</v>
      </c>
      <c r="G25" s="679">
        <f>+'Mens costi industriali DIR'!G39+'Mens costi industriali DIR'!G50</f>
        <v>37297.160401419271</v>
      </c>
      <c r="H25" s="679">
        <f>+'Mens costi industriali DIR'!H39+'Mens costi industriali DIR'!H50</f>
        <v>22674.640418111365</v>
      </c>
      <c r="I25" s="679">
        <f>+'Mens costi industriali DIR'!I39+'Mens costi industriali DIR'!I50</f>
        <v>64102.795321029691</v>
      </c>
      <c r="J25" s="679">
        <f>+'Mens costi industriali DIR'!J39+'Mens costi industriali DIR'!J50</f>
        <v>9678.9314632827682</v>
      </c>
      <c r="K25" s="679">
        <f>+'Mens costi industriali DIR'!K39+'Mens costi industriali DIR'!K50</f>
        <v>54164.125701716679</v>
      </c>
      <c r="L25" s="679">
        <f>+'Mens costi industriali DIR'!L39+'Mens costi industriali DIR'!L50</f>
        <v>59370.299365512561</v>
      </c>
      <c r="M25" s="679">
        <f>+'Mens costi industriali DIR'!M39+'Mens costi industriali DIR'!M50</f>
        <v>62803.224425547029</v>
      </c>
      <c r="N25" s="679">
        <f>+'Mens costi industriali DIR'!N39+'Mens costi industriali DIR'!N50</f>
        <v>9678.9314632827682</v>
      </c>
      <c r="O25" s="324">
        <f>SUM(C25:N25)</f>
        <v>418527.44343246322</v>
      </c>
      <c r="Q25" s="753">
        <f>+O25-CE_2!G17</f>
        <v>-4.6566128730773926E-10</v>
      </c>
    </row>
    <row r="26" spans="2:17" x14ac:dyDescent="0.2">
      <c r="B26" s="230" t="s">
        <v>1091</v>
      </c>
      <c r="C26" s="679">
        <f>+'Mens costi industriali IND'!C36+'Mens costi industriali IND'!C51</f>
        <v>11203.706443931396</v>
      </c>
      <c r="D26" s="679">
        <f>+'Mens costi industriali IND'!D36+'Mens costi industriali IND'!D51</f>
        <v>12676.932060434825</v>
      </c>
      <c r="E26" s="679">
        <f>+'Mens costi industriali IND'!E36+'Mens costi industriali IND'!E51</f>
        <v>17905.249664405455</v>
      </c>
      <c r="F26" s="679">
        <f>+'Mens costi industriali IND'!F36+'Mens costi industriali IND'!F51</f>
        <v>14535.452310235461</v>
      </c>
      <c r="G26" s="679">
        <f>+'Mens costi industriali IND'!G36+'Mens costi industriali IND'!G51</f>
        <v>18613.553830131375</v>
      </c>
      <c r="H26" s="679">
        <f>+'Mens costi industriali IND'!H36+'Mens costi industriali IND'!H51</f>
        <v>14123.282137588512</v>
      </c>
      <c r="I26" s="679">
        <f>+'Mens costi industriali IND'!I36+'Mens costi industriali IND'!I51</f>
        <v>25910.54463955907</v>
      </c>
      <c r="J26" s="679">
        <f>+'Mens costi industriali IND'!J36+'Mens costi industriali IND'!J51</f>
        <v>5991.1510824934703</v>
      </c>
      <c r="K26" s="679">
        <f>+'Mens costi industriali IND'!K36+'Mens costi industriali IND'!K51</f>
        <v>23616.552107952954</v>
      </c>
      <c r="L26" s="679">
        <f>+'Mens costi industriali IND'!L36+'Mens costi industriali IND'!L51</f>
        <v>23881.27674674767</v>
      </c>
      <c r="M26" s="679">
        <f>+'Mens costi industriali IND'!M36+'Mens costi industriali IND'!M51</f>
        <v>25097.331534049619</v>
      </c>
      <c r="N26" s="679">
        <f>+'Mens costi industriali IND'!N36+'Mens costi industriali IND'!N51</f>
        <v>5991.1510824934703</v>
      </c>
      <c r="O26" s="324">
        <f>SUM(C26:N26)</f>
        <v>199546.18364002329</v>
      </c>
      <c r="Q26" s="753"/>
    </row>
    <row r="27" spans="2:17" x14ac:dyDescent="0.15">
      <c r="B27" s="232"/>
      <c r="C27" s="748"/>
      <c r="D27" s="748"/>
      <c r="E27" s="748"/>
      <c r="F27" s="91"/>
      <c r="H27" s="91"/>
      <c r="O27" s="252"/>
    </row>
    <row r="28" spans="2:17" x14ac:dyDescent="0.15">
      <c r="B28" s="761" t="s">
        <v>1043</v>
      </c>
      <c r="C28" s="754">
        <f>+C23-C25-C26</f>
        <v>4298048.560735018</v>
      </c>
      <c r="D28" s="754">
        <f t="shared" ref="D28:O28" si="7">+D23-D25-D26</f>
        <v>4773898.0736157792</v>
      </c>
      <c r="E28" s="754">
        <f t="shared" si="7"/>
        <v>5478757.4012937183</v>
      </c>
      <c r="F28" s="754">
        <f t="shared" si="7"/>
        <v>5009428.0227186102</v>
      </c>
      <c r="G28" s="754">
        <f t="shared" si="7"/>
        <v>4993106.6687929416</v>
      </c>
      <c r="H28" s="754">
        <f t="shared" si="7"/>
        <v>5252648.8596604336</v>
      </c>
      <c r="I28" s="754">
        <f t="shared" si="7"/>
        <v>5199433.4422555463</v>
      </c>
      <c r="J28" s="754">
        <f t="shared" si="7"/>
        <v>2869482.7077539349</v>
      </c>
      <c r="K28" s="754">
        <f t="shared" si="7"/>
        <v>5211666.1044064648</v>
      </c>
      <c r="L28" s="754">
        <f t="shared" si="7"/>
        <v>4965765.8069122322</v>
      </c>
      <c r="M28" s="754">
        <f t="shared" si="7"/>
        <v>4961116.8270648979</v>
      </c>
      <c r="N28" s="754">
        <f t="shared" si="7"/>
        <v>2869482.7077539349</v>
      </c>
      <c r="O28" s="762">
        <f t="shared" si="7"/>
        <v>55882835.182963513</v>
      </c>
      <c r="Q28" s="753">
        <f>+O28-CE_3!G23</f>
        <v>0</v>
      </c>
    </row>
    <row r="29" spans="2:17" x14ac:dyDescent="0.15">
      <c r="B29" s="230"/>
      <c r="D29" s="91"/>
      <c r="F29" s="91"/>
      <c r="H29" s="91"/>
      <c r="O29" s="252"/>
    </row>
    <row r="30" spans="2:17" x14ac:dyDescent="0.2">
      <c r="B30" s="230" t="s">
        <v>1036</v>
      </c>
      <c r="C30" s="753">
        <f>+'Tab. 22'!C18</f>
        <v>4036854.3726830254</v>
      </c>
      <c r="D30" s="753">
        <f>+'Tab. 22'!D18</f>
        <v>4199573.0066848425</v>
      </c>
      <c r="E30" s="753">
        <f>+'Tab. 22'!E18</f>
        <v>4443635.9576875698</v>
      </c>
      <c r="F30" s="753">
        <f>+'Tab. 22'!F18</f>
        <v>4280927.3236857522</v>
      </c>
      <c r="G30" s="753">
        <f>+'Tab. 22'!G18</f>
        <v>4280927.3236857522</v>
      </c>
      <c r="H30" s="753">
        <f>+'Tab. 22'!H18</f>
        <v>4362281.6406866601</v>
      </c>
      <c r="I30" s="753">
        <f>+'Tab. 22'!I18</f>
        <v>4362281.6406866601</v>
      </c>
      <c r="J30" s="753">
        <f>+'Tab. 22'!J18</f>
        <v>3548728.4706775723</v>
      </c>
      <c r="K30" s="753">
        <f>+'Tab. 22'!K18</f>
        <v>4362281.6406866601</v>
      </c>
      <c r="L30" s="753">
        <f>+'Tab. 22'!L18</f>
        <v>4280927.3236857522</v>
      </c>
      <c r="M30" s="753">
        <f>+'Tab. 22'!M18</f>
        <v>4280927.3236857522</v>
      </c>
      <c r="N30" s="753">
        <f>+'Tab. 22'!N18</f>
        <v>3548728.4706775723</v>
      </c>
      <c r="O30" s="324">
        <f t="shared" ref="O30:O31" si="8">SUM(C30:N30)</f>
        <v>49988074.495213561</v>
      </c>
    </row>
    <row r="31" spans="2:17" x14ac:dyDescent="0.2">
      <c r="B31" s="230" t="s">
        <v>1051</v>
      </c>
      <c r="C31" s="753">
        <f>+'Tab. 22'!C38</f>
        <v>289941.38720443845</v>
      </c>
      <c r="D31" s="753">
        <f>+'Tab. 22'!D38</f>
        <v>293881.46336555539</v>
      </c>
      <c r="E31" s="753">
        <f>+'Tab. 22'!E38</f>
        <v>302764.00770967366</v>
      </c>
      <c r="F31" s="753">
        <f>+'Tab. 22'!F38</f>
        <v>298565.45936573565</v>
      </c>
      <c r="G31" s="753">
        <f>+'Tab. 22'!G38</f>
        <v>298565.45936573565</v>
      </c>
      <c r="H31" s="753">
        <f>+'Tab. 22'!H38</f>
        <v>300664.73353770468</v>
      </c>
      <c r="I31" s="753">
        <f>+'Tab. 22'!I38</f>
        <v>300664.73353770468</v>
      </c>
      <c r="J31" s="753">
        <f>+'Tab. 22'!J38</f>
        <v>279671.9918180143</v>
      </c>
      <c r="K31" s="753">
        <f>+'Tab. 22'!K38</f>
        <v>300664.73353770468</v>
      </c>
      <c r="L31" s="753">
        <f>+'Tab. 22'!L38</f>
        <v>298565.45936573565</v>
      </c>
      <c r="M31" s="753">
        <f>+'Tab. 22'!M38</f>
        <v>298565.45936573565</v>
      </c>
      <c r="N31" s="753">
        <f>+'Tab. 22'!N38</f>
        <v>279671.9918180143</v>
      </c>
      <c r="O31" s="324">
        <f t="shared" si="8"/>
        <v>3542186.879991753</v>
      </c>
    </row>
    <row r="32" spans="2:17" x14ac:dyDescent="0.15">
      <c r="B32" s="230"/>
      <c r="D32" s="91"/>
      <c r="F32" s="91"/>
      <c r="H32" s="91"/>
      <c r="O32" s="252"/>
    </row>
    <row r="33" spans="2:17" ht="17" thickBot="1" x14ac:dyDescent="0.2">
      <c r="B33" s="769" t="s">
        <v>53</v>
      </c>
      <c r="C33" s="770">
        <f>+C28-C30-C31</f>
        <v>-28747.199152445886</v>
      </c>
      <c r="D33" s="770">
        <f t="shared" ref="D33:O33" si="9">+D28-D30-D31</f>
        <v>280443.60356538126</v>
      </c>
      <c r="E33" s="770">
        <f t="shared" si="9"/>
        <v>732357.43589647487</v>
      </c>
      <c r="F33" s="770">
        <f t="shared" si="9"/>
        <v>429935.23966712237</v>
      </c>
      <c r="G33" s="770">
        <f t="shared" si="9"/>
        <v>413613.88574145373</v>
      </c>
      <c r="H33" s="770">
        <f t="shared" si="9"/>
        <v>589702.48543606885</v>
      </c>
      <c r="I33" s="770">
        <f t="shared" si="9"/>
        <v>536487.06803118158</v>
      </c>
      <c r="J33" s="770">
        <f t="shared" si="9"/>
        <v>-958917.7547416517</v>
      </c>
      <c r="K33" s="770">
        <f t="shared" si="9"/>
        <v>548719.73018210009</v>
      </c>
      <c r="L33" s="770">
        <f t="shared" si="9"/>
        <v>386273.02386074432</v>
      </c>
      <c r="M33" s="770">
        <f t="shared" si="9"/>
        <v>381624.04401340999</v>
      </c>
      <c r="N33" s="770">
        <f t="shared" si="9"/>
        <v>-958917.7547416517</v>
      </c>
      <c r="O33" s="254">
        <f t="shared" si="9"/>
        <v>2352573.8077581991</v>
      </c>
      <c r="Q33" s="753">
        <f>+O33-CE_3!G28</f>
        <v>-7.4505805969238281E-9</v>
      </c>
    </row>
    <row r="34" spans="2:17" x14ac:dyDescent="0.15">
      <c r="B34" s="230"/>
      <c r="D34" s="91"/>
      <c r="F34" s="91"/>
      <c r="H34" s="91"/>
      <c r="O34" s="252"/>
    </row>
    <row r="35" spans="2:17" x14ac:dyDescent="0.2">
      <c r="B35" s="230" t="s">
        <v>1309</v>
      </c>
      <c r="C35" s="753">
        <f>'37. Budget dei fin. diretti'!C16+'37. Budget dei fin. diretti'!C38</f>
        <v>92210.216282562702</v>
      </c>
      <c r="D35" s="753">
        <f>'37. Budget dei fin. diretti'!D16+'37. Budget dei fin. diretti'!D38</f>
        <v>81381.540487616265</v>
      </c>
      <c r="E35" s="753">
        <f>'37. Budget dei fin. diretti'!E16+'37. Budget dei fin. diretti'!E38</f>
        <v>89077.449560497262</v>
      </c>
      <c r="F35" s="753">
        <f>'37. Budget dei fin. diretti'!F16+'37. Budget dei fin. diretti'!F38</f>
        <v>94671.90082040077</v>
      </c>
      <c r="G35" s="753">
        <f>'37. Budget dei fin. diretti'!G16+'37. Budget dei fin. diretti'!G38</f>
        <v>74226.932738167816</v>
      </c>
      <c r="H35" s="753">
        <f>'37. Budget dei fin. diretti'!H16+'37. Budget dei fin. diretti'!H38</f>
        <v>80865.557188108563</v>
      </c>
      <c r="I35" s="753">
        <f>'37. Budget dei fin. diretti'!I16+'37. Budget dei fin. diretti'!I38</f>
        <v>87451.421758547309</v>
      </c>
      <c r="J35" s="753">
        <f>'37. Budget dei fin. diretti'!J16+'37. Budget dei fin. diretti'!J38</f>
        <v>67025.905350844318</v>
      </c>
      <c r="K35" s="753">
        <f>'37. Budget dei fin. diretti'!K16+'37. Budget dei fin. diretti'!K38</f>
        <v>76056.47282697956</v>
      </c>
      <c r="L35" s="753">
        <f>'37. Budget dei fin. diretti'!L16+'37. Budget dei fin. diretti'!L38</f>
        <v>83543.493041243171</v>
      </c>
      <c r="M35" s="753">
        <f>'37. Budget dei fin. diretti'!M16+'37. Budget dei fin. diretti'!M38</f>
        <v>60963.679550895962</v>
      </c>
      <c r="N35" s="753">
        <f>'37. Budget dei fin. diretti'!N16+'37. Budget dei fin. diretti'!N38</f>
        <v>62844.492494354068</v>
      </c>
      <c r="O35" s="324">
        <f t="shared" ref="O35" si="10">SUM(C35:N35)</f>
        <v>950319.06210021768</v>
      </c>
    </row>
    <row r="36" spans="2:17" x14ac:dyDescent="0.15">
      <c r="B36" s="230"/>
      <c r="D36" s="91"/>
      <c r="F36" s="91"/>
      <c r="H36" s="91"/>
      <c r="O36" s="252"/>
    </row>
    <row r="37" spans="2:17" ht="17" thickBot="1" x14ac:dyDescent="0.2">
      <c r="B37" s="769" t="s">
        <v>1310</v>
      </c>
      <c r="C37" s="770">
        <f>C33-C35</f>
        <v>-120957.41543500859</v>
      </c>
      <c r="D37" s="770">
        <f t="shared" ref="D37:O37" si="11">D33-D35</f>
        <v>199062.06307776499</v>
      </c>
      <c r="E37" s="770">
        <f t="shared" si="11"/>
        <v>643279.98633597756</v>
      </c>
      <c r="F37" s="770">
        <f t="shared" si="11"/>
        <v>335263.33884672157</v>
      </c>
      <c r="G37" s="770">
        <f t="shared" si="11"/>
        <v>339386.95300328592</v>
      </c>
      <c r="H37" s="770">
        <f t="shared" si="11"/>
        <v>508836.92824796028</v>
      </c>
      <c r="I37" s="770">
        <f t="shared" si="11"/>
        <v>449035.64627263427</v>
      </c>
      <c r="J37" s="770">
        <f t="shared" si="11"/>
        <v>-1025943.6600924961</v>
      </c>
      <c r="K37" s="770">
        <f t="shared" si="11"/>
        <v>472663.2573551205</v>
      </c>
      <c r="L37" s="770">
        <f t="shared" si="11"/>
        <v>302729.53081950115</v>
      </c>
      <c r="M37" s="770">
        <f t="shared" si="11"/>
        <v>320660.36446251406</v>
      </c>
      <c r="N37" s="770">
        <f t="shared" si="11"/>
        <v>-1021762.2472360057</v>
      </c>
      <c r="O37" s="254">
        <f t="shared" si="11"/>
        <v>1402254.7456579814</v>
      </c>
      <c r="Q37" s="753"/>
    </row>
    <row r="40" spans="2:17" x14ac:dyDescent="0.15">
      <c r="C40" s="753"/>
      <c r="D40" s="753"/>
    </row>
    <row r="42" spans="2:17" x14ac:dyDescent="0.15">
      <c r="B42" s="91" t="s">
        <v>37</v>
      </c>
      <c r="C42" s="744">
        <f>'Tab. 4'!C9</f>
        <v>11015187.875085792</v>
      </c>
      <c r="D42" s="744">
        <f>'Tab. 4'!D9</f>
        <v>12239097.638984215</v>
      </c>
      <c r="E42" s="744">
        <f>'Tab. 4'!E9</f>
        <v>14074962.284831846</v>
      </c>
      <c r="F42" s="744">
        <f>'Tab. 4'!F9</f>
        <v>12851052.520933423</v>
      </c>
      <c r="G42" s="744">
        <f>'Tab. 4'!G9</f>
        <v>12851052.520933423</v>
      </c>
      <c r="H42" s="744">
        <f>'Tab. 4'!H9</f>
        <v>13463007.402882634</v>
      </c>
      <c r="I42" s="744">
        <f>'Tab. 4'!I9</f>
        <v>13463007.402882634</v>
      </c>
      <c r="J42" s="744">
        <f>'Tab. 4'!J9</f>
        <v>7343458.5833905274</v>
      </c>
      <c r="K42" s="744">
        <f>'Tab. 4'!K9</f>
        <v>13463007.402882634</v>
      </c>
      <c r="L42" s="744">
        <f>'Tab. 4'!L9</f>
        <v>12851052.520933423</v>
      </c>
      <c r="M42" s="744">
        <f>'Tab. 4'!M9</f>
        <v>12851052.520933423</v>
      </c>
      <c r="N42" s="744">
        <f>'Tab. 4'!N9</f>
        <v>7343458.5833905274</v>
      </c>
    </row>
    <row r="43" spans="2:17" x14ac:dyDescent="0.15">
      <c r="B43" s="743" t="s">
        <v>1284</v>
      </c>
      <c r="C43" s="744">
        <f>-C9</f>
        <v>-22030.375750171585</v>
      </c>
      <c r="D43" s="744">
        <f>-D9</f>
        <v>-24478.195277968429</v>
      </c>
      <c r="E43" s="744">
        <f t="shared" ref="E43:N43" si="12">-E9</f>
        <v>-28149.924569663694</v>
      </c>
      <c r="F43" s="744">
        <f t="shared" si="12"/>
        <v>-25702.105041866846</v>
      </c>
      <c r="G43" s="744">
        <f t="shared" si="12"/>
        <v>-25702.105041866846</v>
      </c>
      <c r="H43" s="744">
        <f t="shared" si="12"/>
        <v>-26926.01480576527</v>
      </c>
      <c r="I43" s="744">
        <f t="shared" si="12"/>
        <v>-26926.01480576527</v>
      </c>
      <c r="J43" s="744">
        <f t="shared" si="12"/>
        <v>-14686.917166781055</v>
      </c>
      <c r="K43" s="744">
        <f t="shared" si="12"/>
        <v>-26926.01480576527</v>
      </c>
      <c r="L43" s="744">
        <f t="shared" si="12"/>
        <v>-25702.105041866846</v>
      </c>
      <c r="M43" s="744">
        <f t="shared" si="12"/>
        <v>-25702.105041866846</v>
      </c>
      <c r="N43" s="744">
        <f t="shared" si="12"/>
        <v>-14686.917166781055</v>
      </c>
    </row>
    <row r="44" spans="2:17" x14ac:dyDescent="0.15">
      <c r="B44" s="743" t="s">
        <v>1326</v>
      </c>
      <c r="C44" s="744">
        <f>'Tab. 23'!C68-'Tab. 23'!C65</f>
        <v>172605.10608088225</v>
      </c>
      <c r="D44" s="744">
        <f>'Tab. 23'!D68-'Tab. 23'!D65</f>
        <v>268163.94806911051</v>
      </c>
      <c r="E44" s="744">
        <f>'Tab. 23'!E68-'Tab. 23'!E65</f>
        <v>32638.071192912757</v>
      </c>
      <c r="F44" s="744">
        <f>'Tab. 23'!F68-'Tab. 23'!F65</f>
        <v>142929.78386130929</v>
      </c>
      <c r="G44" s="744">
        <f>'Tab. 23'!G68-'Tab. 23'!G65</f>
        <v>-141969.93902419135</v>
      </c>
      <c r="H44" s="744">
        <f>'Tab. 23'!H68-'Tab. 23'!H65</f>
        <v>239418.79927979782</v>
      </c>
      <c r="I44" s="744">
        <f>'Tab. 23'!I68-'Tab. 23'!I65</f>
        <v>-773910.36063793302</v>
      </c>
      <c r="J44" s="744">
        <f>'Tab. 23'!J68-'Tab. 23'!J65</f>
        <v>130592.07233444043</v>
      </c>
      <c r="K44" s="744">
        <f>'Tab. 23'!K68-'Tab. 23'!K65</f>
        <v>-517732.53371257894</v>
      </c>
      <c r="L44" s="744">
        <f>'Tab. 23'!L68-'Tab. 23'!L65</f>
        <v>-706687.49584336765</v>
      </c>
      <c r="M44" s="744">
        <f>'Tab. 23'!M68-'Tab. 23'!M65</f>
        <v>-784793.03333247267</v>
      </c>
      <c r="N44" s="744">
        <f>'Tab. 23'!N68-'Tab. 23'!N65</f>
        <v>130592.07233444043</v>
      </c>
    </row>
    <row r="45" spans="2:17" x14ac:dyDescent="0.15">
      <c r="B45" s="946" t="s">
        <v>1327</v>
      </c>
      <c r="C45" s="746">
        <f>SUM(C42:C44)</f>
        <v>11165762.605416503</v>
      </c>
      <c r="D45" s="746">
        <f>SUM(D42:D44)</f>
        <v>12482783.391775357</v>
      </c>
      <c r="E45" s="746">
        <f t="shared" ref="E45:N45" si="13">SUM(E42:E44)</f>
        <v>14079450.431455094</v>
      </c>
      <c r="F45" s="746">
        <f t="shared" si="13"/>
        <v>12968280.199752865</v>
      </c>
      <c r="G45" s="746">
        <f t="shared" si="13"/>
        <v>12683380.476867365</v>
      </c>
      <c r="H45" s="746">
        <f t="shared" si="13"/>
        <v>13675500.187356666</v>
      </c>
      <c r="I45" s="746">
        <f t="shared" si="13"/>
        <v>12662171.027438935</v>
      </c>
      <c r="J45" s="746">
        <f t="shared" si="13"/>
        <v>7459363.7385581871</v>
      </c>
      <c r="K45" s="746">
        <f t="shared" si="13"/>
        <v>12918348.854364289</v>
      </c>
      <c r="L45" s="746">
        <f t="shared" si="13"/>
        <v>12118662.920048188</v>
      </c>
      <c r="M45" s="746">
        <f t="shared" si="13"/>
        <v>12040557.382559083</v>
      </c>
      <c r="N45" s="746">
        <f t="shared" si="13"/>
        <v>7459363.7385581871</v>
      </c>
    </row>
    <row r="46" spans="2:17" x14ac:dyDescent="0.15">
      <c r="C46" s="744"/>
      <c r="D46" s="744"/>
      <c r="E46" s="744"/>
      <c r="F46" s="744"/>
      <c r="G46" s="744"/>
      <c r="H46" s="744"/>
      <c r="I46" s="744"/>
      <c r="J46" s="744"/>
      <c r="K46" s="744"/>
      <c r="L46" s="744"/>
      <c r="M46" s="744"/>
      <c r="N46" s="744"/>
    </row>
    <row r="47" spans="2:17" s="955" customFormat="1" x14ac:dyDescent="0.15">
      <c r="B47" s="955" t="s">
        <v>1069</v>
      </c>
      <c r="C47" s="953">
        <f>'Tab. 8'!C59</f>
        <v>6454972.9892648738</v>
      </c>
      <c r="D47" s="953">
        <f>'Tab. 8'!D59</f>
        <v>7244619.5196617711</v>
      </c>
      <c r="E47" s="953">
        <f>'Tab. 8'!E59</f>
        <v>8071259.9803096764</v>
      </c>
      <c r="F47" s="953">
        <f>'Tab. 8'!F59</f>
        <v>7475906.930317061</v>
      </c>
      <c r="G47" s="953">
        <f>'Tab. 8'!G59</f>
        <v>7208302.9070385201</v>
      </c>
      <c r="H47" s="953">
        <f>'Tab. 8'!H59</f>
        <v>7916140.8658246743</v>
      </c>
      <c r="I47" s="953">
        <f>'Tab. 8'!I59</f>
        <v>6959593.6098246844</v>
      </c>
      <c r="J47" s="953">
        <f>'Tab. 8'!J59</f>
        <v>4317895.0177225536</v>
      </c>
      <c r="K47" s="953">
        <f>'Tab. 8'!K59</f>
        <v>7202611.6612173384</v>
      </c>
      <c r="L47" s="953">
        <f>'Tab. 8'!L59</f>
        <v>6672962.1062278468</v>
      </c>
      <c r="M47" s="953">
        <f>'Tab. 8'!M59</f>
        <v>6599769.0250144675</v>
      </c>
      <c r="N47" s="953">
        <f>'Tab. 8'!N59</f>
        <v>4317895.0177225536</v>
      </c>
    </row>
    <row r="48" spans="2:17" x14ac:dyDescent="0.15">
      <c r="B48" s="91" t="s">
        <v>1331</v>
      </c>
      <c r="C48" s="744">
        <f>'BUDGET FINANZIARIO'!C87</f>
        <v>4144697.5302521707</v>
      </c>
      <c r="D48" s="744">
        <f>'BUDGET FINANZIARIO'!D87</f>
        <v>4305475.2660706649</v>
      </c>
      <c r="E48" s="744">
        <f>'BUDGET FINANZIARIO'!E87</f>
        <v>4545289.2760538543</v>
      </c>
      <c r="F48" s="744">
        <f>'BUDGET FINANZIARIO'!F87</f>
        <v>4385245.5723727113</v>
      </c>
      <c r="G48" s="744">
        <f>'BUDGET FINANZIARIO'!G87</f>
        <v>4384271.2266914193</v>
      </c>
      <c r="H48" s="744">
        <f>'BUDGET FINANZIARIO'!H87</f>
        <v>4465788.7378003933</v>
      </c>
      <c r="I48" s="744">
        <f>'BUDGET FINANZIARIO'!I87</f>
        <v>4462222.2512875395</v>
      </c>
      <c r="J48" s="744">
        <f>'BUDGET FINANZIARIO'!J87</f>
        <v>3663274.7862773454</v>
      </c>
      <c r="K48" s="744">
        <f>'BUDGET FINANZIARIO'!K87</f>
        <v>4463149.3646693211</v>
      </c>
      <c r="L48" s="744">
        <f>'BUDGET FINANZIARIO'!L87</f>
        <v>4382235.3325636256</v>
      </c>
      <c r="M48" s="744">
        <f>'BUDGET FINANZIARIO'!M87</f>
        <v>4381971.8561352352</v>
      </c>
      <c r="N48" s="744">
        <f>'BUDGET FINANZIARIO'!N87</f>
        <v>3663274.7862773454</v>
      </c>
    </row>
    <row r="49" spans="2:15" x14ac:dyDescent="0.15">
      <c r="B49" s="91" t="s">
        <v>1328</v>
      </c>
      <c r="C49" s="744">
        <f>'BUDGET FINANZIARIO'!C96</f>
        <v>379057.25964084273</v>
      </c>
      <c r="D49" s="744">
        <f>'BUDGET FINANZIARIO'!D96</f>
        <v>425685.12534702866</v>
      </c>
      <c r="E49" s="744">
        <f>'BUDGET FINANZIARIO'!E96</f>
        <v>487323.37297685299</v>
      </c>
      <c r="F49" s="744">
        <f>'BUDGET FINANZIARIO'!F96</f>
        <v>444947.42750060488</v>
      </c>
      <c r="G49" s="744">
        <f>'BUDGET FINANZIARIO'!G96</f>
        <v>444947.42750060488</v>
      </c>
      <c r="H49" s="744">
        <f>'BUDGET FINANZIARIO'!H96</f>
        <v>466135.40023872897</v>
      </c>
      <c r="I49" s="744">
        <f>'BUDGET FINANZIARIO'!I96</f>
        <v>466135.40023872897</v>
      </c>
      <c r="J49" s="744">
        <f>'BUDGET FINANZIARIO'!J96</f>
        <v>254255.67285748851</v>
      </c>
      <c r="K49" s="744">
        <f>'BUDGET FINANZIARIO'!K96</f>
        <v>466135.40023872897</v>
      </c>
      <c r="L49" s="744">
        <f>'BUDGET FINANZIARIO'!L96</f>
        <v>444947.42750060488</v>
      </c>
      <c r="M49" s="744">
        <f>'BUDGET FINANZIARIO'!M96</f>
        <v>444947.42750060488</v>
      </c>
      <c r="N49" s="744">
        <f>'BUDGET FINANZIARIO'!N96</f>
        <v>254255.67285748851</v>
      </c>
    </row>
    <row r="50" spans="2:15" s="955" customFormat="1" x14ac:dyDescent="0.15">
      <c r="B50" s="955" t="s">
        <v>89</v>
      </c>
      <c r="C50" s="953">
        <f>-'BUDGET FINANZIARIO'!C103</f>
        <v>215782.02541106124</v>
      </c>
      <c r="D50" s="953">
        <f>-'BUDGET FINANZIARIO'!D103</f>
        <v>226757.36173393123</v>
      </c>
      <c r="E50" s="953">
        <f>-'BUDGET FINANZIARIO'!E103</f>
        <v>243220.36621823616</v>
      </c>
      <c r="F50" s="953">
        <f>-'BUDGET FINANZIARIO'!F103</f>
        <v>232245.0298953662</v>
      </c>
      <c r="G50" s="953">
        <f>-'BUDGET FINANZIARIO'!G103</f>
        <v>232245.0298953662</v>
      </c>
      <c r="H50" s="953">
        <f>-'BUDGET FINANZIARIO'!H103</f>
        <v>237732.69805680116</v>
      </c>
      <c r="I50" s="953">
        <f>-'BUDGET FINANZIARIO'!I103</f>
        <v>237732.69805680116</v>
      </c>
      <c r="J50" s="953">
        <f>-'BUDGET FINANZIARIO'!J103</f>
        <v>182856.01644245139</v>
      </c>
      <c r="K50" s="953">
        <f>-'BUDGET FINANZIARIO'!K103</f>
        <v>237732.69805680116</v>
      </c>
      <c r="L50" s="953">
        <f>-'BUDGET FINANZIARIO'!L103</f>
        <v>232245.0298953662</v>
      </c>
      <c r="M50" s="953">
        <f>-'BUDGET FINANZIARIO'!M103</f>
        <v>232245.0298953662</v>
      </c>
      <c r="N50" s="953">
        <f>-'BUDGET FINANZIARIO'!N103</f>
        <v>182856.01644245139</v>
      </c>
    </row>
    <row r="51" spans="2:15" x14ac:dyDescent="0.15">
      <c r="C51" s="744">
        <f>SUM(C47:C50)</f>
        <v>11194509.80456895</v>
      </c>
      <c r="D51" s="744">
        <f t="shared" ref="D51:N51" si="14">SUM(D47:D50)</f>
        <v>12202537.272813398</v>
      </c>
      <c r="E51" s="744">
        <f t="shared" si="14"/>
        <v>13347092.995558618</v>
      </c>
      <c r="F51" s="744">
        <f t="shared" si="14"/>
        <v>12538344.960085744</v>
      </c>
      <c r="G51" s="744">
        <f t="shared" si="14"/>
        <v>12269766.591125911</v>
      </c>
      <c r="H51" s="744">
        <f t="shared" si="14"/>
        <v>13085797.701920595</v>
      </c>
      <c r="I51" s="744">
        <f t="shared" si="14"/>
        <v>12125683.959407752</v>
      </c>
      <c r="J51" s="744">
        <f t="shared" si="14"/>
        <v>8418281.4932998382</v>
      </c>
      <c r="K51" s="744">
        <f t="shared" si="14"/>
        <v>12369629.124182187</v>
      </c>
      <c r="L51" s="744">
        <f t="shared" si="14"/>
        <v>11732389.896187445</v>
      </c>
      <c r="M51" s="744">
        <f t="shared" si="14"/>
        <v>11658933.338545674</v>
      </c>
      <c r="N51" s="744">
        <f t="shared" si="14"/>
        <v>8418281.4932998382</v>
      </c>
    </row>
    <row r="52" spans="2:15" x14ac:dyDescent="0.15">
      <c r="C52" s="744"/>
      <c r="D52" s="744"/>
      <c r="E52" s="744"/>
      <c r="F52" s="744"/>
      <c r="G52" s="744"/>
      <c r="H52" s="744"/>
      <c r="I52" s="744"/>
      <c r="J52" s="744"/>
      <c r="K52" s="744"/>
      <c r="L52" s="744"/>
      <c r="M52" s="744"/>
      <c r="N52" s="744"/>
    </row>
    <row r="53" spans="2:15" x14ac:dyDescent="0.15">
      <c r="B53" s="200" t="s">
        <v>105</v>
      </c>
      <c r="C53" s="746">
        <f>C45-C47-C48-C49-C50</f>
        <v>-28747.199152445712</v>
      </c>
      <c r="D53" s="746">
        <f>D45-D47-D48-D49-D50</f>
        <v>280246.11896196072</v>
      </c>
      <c r="E53" s="746">
        <f t="shared" ref="E53:N53" si="15">E45-E47-E48-E49-E50</f>
        <v>732357.43589647452</v>
      </c>
      <c r="F53" s="746">
        <f t="shared" si="15"/>
        <v>429935.23966712202</v>
      </c>
      <c r="G53" s="746">
        <f t="shared" si="15"/>
        <v>413613.88574145432</v>
      </c>
      <c r="H53" s="746">
        <f t="shared" si="15"/>
        <v>589702.48543606815</v>
      </c>
      <c r="I53" s="746">
        <f t="shared" si="15"/>
        <v>536487.06803118088</v>
      </c>
      <c r="J53" s="746">
        <f t="shared" si="15"/>
        <v>-958917.7547416517</v>
      </c>
      <c r="K53" s="746">
        <f t="shared" si="15"/>
        <v>548719.73018209939</v>
      </c>
      <c r="L53" s="746">
        <f t="shared" si="15"/>
        <v>386273.0238607449</v>
      </c>
      <c r="M53" s="746">
        <f t="shared" si="15"/>
        <v>381624.04401340964</v>
      </c>
      <c r="N53" s="746">
        <f t="shared" si="15"/>
        <v>-958917.7547416517</v>
      </c>
      <c r="O53" s="748">
        <f>SUM(C53:N53)</f>
        <v>2352376.3231547652</v>
      </c>
    </row>
    <row r="54" spans="2:15" x14ac:dyDescent="0.15">
      <c r="B54" s="200"/>
      <c r="C54" s="753">
        <f>+C53-C124</f>
        <v>1.7462298274040222E-10</v>
      </c>
      <c r="D54" s="753">
        <f>+D53-D124</f>
        <v>-197.48460342054022</v>
      </c>
      <c r="E54" s="753">
        <f t="shared" ref="E54:N54" si="16">+E53-E124</f>
        <v>0</v>
      </c>
      <c r="F54" s="753">
        <f t="shared" si="16"/>
        <v>0</v>
      </c>
      <c r="G54" s="753">
        <f t="shared" si="16"/>
        <v>5.8207660913467407E-10</v>
      </c>
      <c r="H54" s="753">
        <f t="shared" si="16"/>
        <v>0</v>
      </c>
      <c r="I54" s="753">
        <f t="shared" si="16"/>
        <v>0</v>
      </c>
      <c r="J54" s="753">
        <f t="shared" si="16"/>
        <v>0</v>
      </c>
      <c r="K54" s="753">
        <f t="shared" si="16"/>
        <v>0</v>
      </c>
      <c r="L54" s="753">
        <f t="shared" si="16"/>
        <v>5.8207660913467407E-10</v>
      </c>
      <c r="M54" s="753">
        <f t="shared" si="16"/>
        <v>0</v>
      </c>
      <c r="N54" s="753">
        <f t="shared" si="16"/>
        <v>0</v>
      </c>
    </row>
    <row r="55" spans="2:15" ht="17" customHeight="1" x14ac:dyDescent="0.15">
      <c r="B55" s="200"/>
      <c r="C55" s="746"/>
    </row>
    <row r="56" spans="2:15" x14ac:dyDescent="0.15">
      <c r="B56" s="200"/>
      <c r="C56" s="744">
        <f>+C19+C25+C26+C30+C31</f>
        <v>11194509.804568948</v>
      </c>
      <c r="D56" s="744">
        <f t="shared" ref="D56:N56" si="17">+D19+D25+D26+D30+D31</f>
        <v>12202339.788209975</v>
      </c>
      <c r="E56" s="744">
        <f t="shared" si="17"/>
        <v>13347092.995558619</v>
      </c>
      <c r="F56" s="744">
        <f t="shared" si="17"/>
        <v>12538344.960085742</v>
      </c>
      <c r="G56" s="744">
        <f t="shared" si="17"/>
        <v>12269766.591125911</v>
      </c>
      <c r="H56" s="744">
        <f t="shared" si="17"/>
        <v>13085797.701920595</v>
      </c>
      <c r="I56" s="744">
        <f t="shared" si="17"/>
        <v>12125683.959407754</v>
      </c>
      <c r="J56" s="744">
        <f t="shared" si="17"/>
        <v>8418281.4932998382</v>
      </c>
      <c r="K56" s="744">
        <f t="shared" si="17"/>
        <v>12369629.124182187</v>
      </c>
      <c r="L56" s="744">
        <f t="shared" si="17"/>
        <v>11732389.896187443</v>
      </c>
      <c r="M56" s="744">
        <f t="shared" si="17"/>
        <v>11658933.338545673</v>
      </c>
      <c r="N56" s="744">
        <f t="shared" si="17"/>
        <v>8418281.4932998382</v>
      </c>
    </row>
    <row r="57" spans="2:15" x14ac:dyDescent="0.15">
      <c r="B57" s="200"/>
      <c r="C57" s="744">
        <f>+C51-C56</f>
        <v>0</v>
      </c>
      <c r="D57" s="744">
        <f t="shared" ref="D57:N57" si="18">+D51-D56</f>
        <v>197.48460342362523</v>
      </c>
      <c r="E57" s="744">
        <f t="shared" si="18"/>
        <v>0</v>
      </c>
      <c r="F57" s="744">
        <f t="shared" si="18"/>
        <v>0</v>
      </c>
      <c r="G57" s="744">
        <f t="shared" si="18"/>
        <v>0</v>
      </c>
      <c r="H57" s="744">
        <f t="shared" si="18"/>
        <v>0</v>
      </c>
      <c r="I57" s="744">
        <f t="shared" si="18"/>
        <v>0</v>
      </c>
      <c r="J57" s="744">
        <f t="shared" si="18"/>
        <v>0</v>
      </c>
      <c r="K57" s="744">
        <f t="shared" si="18"/>
        <v>0</v>
      </c>
      <c r="L57" s="744">
        <f t="shared" si="18"/>
        <v>0</v>
      </c>
      <c r="M57" s="744">
        <f t="shared" si="18"/>
        <v>0</v>
      </c>
      <c r="N57" s="744">
        <f t="shared" si="18"/>
        <v>0</v>
      </c>
    </row>
    <row r="58" spans="2:15" x14ac:dyDescent="0.15">
      <c r="C58" s="744"/>
      <c r="D58" s="744"/>
      <c r="E58" s="744"/>
      <c r="F58" s="744"/>
      <c r="G58" s="744"/>
      <c r="H58" s="744"/>
      <c r="I58" s="744"/>
      <c r="J58" s="744"/>
      <c r="K58" s="744"/>
      <c r="L58" s="744"/>
      <c r="M58" s="744"/>
      <c r="N58" s="744"/>
    </row>
    <row r="59" spans="2:15" x14ac:dyDescent="0.15">
      <c r="C59" s="744"/>
      <c r="D59" s="744"/>
      <c r="E59" s="744"/>
      <c r="F59" s="744"/>
      <c r="G59" s="744"/>
      <c r="H59" s="744"/>
      <c r="I59" s="744"/>
      <c r="J59" s="744"/>
      <c r="K59" s="744"/>
      <c r="L59" s="744"/>
      <c r="M59" s="744"/>
      <c r="N59" s="744"/>
    </row>
    <row r="60" spans="2:15" x14ac:dyDescent="0.15">
      <c r="B60" s="957" t="s">
        <v>1336</v>
      </c>
      <c r="C60" s="744"/>
      <c r="D60" s="744"/>
      <c r="E60" s="744"/>
      <c r="F60" s="744"/>
      <c r="G60" s="744"/>
      <c r="H60" s="744"/>
      <c r="I60" s="744"/>
      <c r="J60" s="744"/>
      <c r="K60" s="744"/>
      <c r="L60" s="744"/>
      <c r="M60" s="744"/>
      <c r="N60" s="744"/>
    </row>
    <row r="61" spans="2:15" x14ac:dyDescent="0.15">
      <c r="B61" s="91" t="s">
        <v>700</v>
      </c>
      <c r="C61" s="744">
        <f>+'32. Uscite altro'!D18+'32. Uscite altro'!D11</f>
        <v>27728.473712715797</v>
      </c>
      <c r="D61" s="744">
        <f>+'32. Uscite altro'!E18+'32. Uscite altro'!E11</f>
        <v>31109.124480876391</v>
      </c>
      <c r="E61" s="744">
        <f>+'32. Uscite altro'!F18+'32. Uscite altro'!F11</f>
        <v>34842.506888567128</v>
      </c>
      <c r="F61" s="744">
        <f>+'32. Uscite altro'!G18+'32. Uscite altro'!G11</f>
        <v>32185.88825775604</v>
      </c>
      <c r="G61" s="744">
        <f>+'32. Uscite altro'!H18+'32. Uscite altro'!H11</f>
        <v>31211.542576464533</v>
      </c>
      <c r="H61" s="744">
        <f>+'32. Uscite altro'!I18+'32. Uscite altro'!I11</f>
        <v>34035.511160272174</v>
      </c>
      <c r="I61" s="744">
        <f>+'32. Uscite altro'!J18+'32. Uscite altro'!J11</f>
        <v>30469.024647418653</v>
      </c>
      <c r="J61" s="744">
        <f>+'32. Uscite altro'!K18+'32. Uscite altro'!K11</f>
        <v>18466.98488888879</v>
      </c>
      <c r="K61" s="744">
        <f>+'32. Uscite altro'!L18+'32. Uscite altro'!L11</f>
        <v>31396.138029200622</v>
      </c>
      <c r="L61" s="744">
        <f>+'32. Uscite altro'!M18+'32. Uscite altro'!M11</f>
        <v>29175.648448670738</v>
      </c>
      <c r="M61" s="744">
        <f>+'32. Uscite altro'!N18+'32. Uscite altro'!N11</f>
        <v>28912.172020280301</v>
      </c>
      <c r="N61" s="744">
        <f>+'32. Uscite altro'!O18+'32. Uscite altro'!O11</f>
        <v>18466.98488888879</v>
      </c>
    </row>
    <row r="62" spans="2:15" x14ac:dyDescent="0.15">
      <c r="B62" s="91" t="s">
        <v>1036</v>
      </c>
      <c r="C62" s="744">
        <f>'32. Uscite altro'!D7+'32. Uscite altro'!D8+'32. Uscite altro'!D13+'32. Uscite altro'!D23+'32. Uscite altro'!D28</f>
        <v>3889751.5932884933</v>
      </c>
      <c r="D62" s="744">
        <f>'32. Uscite altro'!E7+'32. Uscite altro'!E8+'32. Uscite altro'!E13+'32. Uscite altro'!E23+'32. Uscite altro'!E28</f>
        <v>4036125.4740242516</v>
      </c>
      <c r="E62" s="744">
        <f>'32. Uscite altro'!F7+'32. Uscite altro'!F8+'32. Uscite altro'!F13+'32. Uscite altro'!F23+'32. Uscite altro'!F28</f>
        <v>4255671.2951278891</v>
      </c>
      <c r="F62" s="744">
        <f>'32. Uscite altro'!G7+'32. Uscite altro'!G8+'32. Uscite altro'!G13+'32. Uscite altro'!G23+'32. Uscite altro'!G28</f>
        <v>4109307.4143921309</v>
      </c>
      <c r="G62" s="744">
        <f>'32. Uscite altro'!H7+'32. Uscite altro'!H8+'32. Uscite altro'!H13+'32. Uscite altro'!H23+'32. Uscite altro'!H28</f>
        <v>4109307.4143921309</v>
      </c>
      <c r="H62" s="744">
        <f>'32. Uscite altro'!I7+'32. Uscite altro'!I8+'32. Uscite altro'!I13+'32. Uscite altro'!I23+'32. Uscite altro'!I28</f>
        <v>4182489.3547600098</v>
      </c>
      <c r="I62" s="744">
        <f>'32. Uscite altro'!J7+'32. Uscite altro'!J8+'32. Uscite altro'!J13+'32. Uscite altro'!J23+'32. Uscite altro'!J28</f>
        <v>4182489.3547600098</v>
      </c>
      <c r="J62" s="744">
        <f>'32. Uscite altro'!K7+'32. Uscite altro'!K8+'32. Uscite altro'!K13+'32. Uscite altro'!K23+'32. Uscite altro'!K28</f>
        <v>3450659.9510812177</v>
      </c>
      <c r="K62" s="744">
        <f>'32. Uscite altro'!L7+'32. Uscite altro'!L8+'32. Uscite altro'!L13+'32. Uscite altro'!L23+'32. Uscite altro'!L28</f>
        <v>4182489.3547600098</v>
      </c>
      <c r="L62" s="744">
        <f>'32. Uscite altro'!M7+'32. Uscite altro'!M8+'32. Uscite altro'!M13+'32. Uscite altro'!M23+'32. Uscite altro'!M28</f>
        <v>4109307.4143921309</v>
      </c>
      <c r="M62" s="744">
        <f>'32. Uscite altro'!N7+'32. Uscite altro'!N8+'32. Uscite altro'!N13+'32. Uscite altro'!N23+'32. Uscite altro'!N28</f>
        <v>4109307.4143921309</v>
      </c>
      <c r="N62" s="744">
        <f>'32. Uscite altro'!O7+'32. Uscite altro'!O8+'32. Uscite altro'!O13+'32. Uscite altro'!O23+'32. Uscite altro'!O28</f>
        <v>3450659.9510812177</v>
      </c>
    </row>
    <row r="63" spans="2:15" x14ac:dyDescent="0.15">
      <c r="B63" s="91" t="s">
        <v>1337</v>
      </c>
      <c r="C63" s="744">
        <f>'32. Uscite altro'!D12+'32. Uscite altro'!D14+'32. Uscite altro'!D15+'32. Uscite altro'!D16+'32. Uscite altro'!D17+'32. Uscite altro'!D24+'32. Uscite altro'!D29+'33. Uscite amministratori'!D8</f>
        <v>97125</v>
      </c>
      <c r="D63" s="744">
        <f>'32. Uscite altro'!E12+'32. Uscite altro'!E14+'32. Uscite altro'!E15+'32. Uscite altro'!E16+'32. Uscite altro'!E17+'32. Uscite altro'!E24+'32. Uscite altro'!E29+'33. Uscite amministratori'!E8</f>
        <v>97125</v>
      </c>
      <c r="E63" s="744">
        <f>'32. Uscite altro'!F12+'32. Uscite altro'!F14+'32. Uscite altro'!F15+'32. Uscite altro'!F16+'32. Uscite altro'!F17+'32. Uscite altro'!F24+'32. Uscite altro'!F29+'33. Uscite amministratori'!F8</f>
        <v>97125</v>
      </c>
      <c r="F63" s="744">
        <f>'32. Uscite altro'!G12+'32. Uscite altro'!G14+'32. Uscite altro'!G15+'32. Uscite altro'!G16+'32. Uscite altro'!G17+'32. Uscite altro'!G24+'32. Uscite altro'!G29+'33. Uscite amministratori'!G8</f>
        <v>97125</v>
      </c>
      <c r="G63" s="744">
        <f>'32. Uscite altro'!H12+'32. Uscite altro'!H14+'32. Uscite altro'!H15+'32. Uscite altro'!H16+'32. Uscite altro'!H17+'32. Uscite altro'!H24+'32. Uscite altro'!H29+'33. Uscite amministratori'!H8</f>
        <v>97125</v>
      </c>
      <c r="H63" s="744">
        <f>'32. Uscite altro'!I12+'32. Uscite altro'!I14+'32. Uscite altro'!I15+'32. Uscite altro'!I16+'32. Uscite altro'!I17+'32. Uscite altro'!I24+'32. Uscite altro'!I29+'33. Uscite amministratori'!I8</f>
        <v>97125</v>
      </c>
      <c r="I63" s="744">
        <f>'32. Uscite altro'!J12+'32. Uscite altro'!J14+'32. Uscite altro'!J15+'32. Uscite altro'!J16+'32. Uscite altro'!J17+'32. Uscite altro'!J24+'32. Uscite altro'!J29+'33. Uscite amministratori'!J8</f>
        <v>97125</v>
      </c>
      <c r="J63" s="744">
        <f>'32. Uscite altro'!K12+'32. Uscite altro'!K14+'32. Uscite altro'!K15+'32. Uscite altro'!K16+'32. Uscite altro'!K17+'32. Uscite altro'!K24+'32. Uscite altro'!K29+'33. Uscite amministratori'!K8</f>
        <v>97125</v>
      </c>
      <c r="K63" s="744">
        <f>'32. Uscite altro'!L12+'32. Uscite altro'!L14+'32. Uscite altro'!L15+'32. Uscite altro'!L16+'32. Uscite altro'!L17+'32. Uscite altro'!L24+'32. Uscite altro'!L29+'33. Uscite amministratori'!L8</f>
        <v>97125</v>
      </c>
      <c r="L63" s="744">
        <f>'32. Uscite altro'!M12+'32. Uscite altro'!M14+'32. Uscite altro'!M15+'32. Uscite altro'!M16+'32. Uscite altro'!M17+'32. Uscite altro'!M24+'32. Uscite altro'!M29+'33. Uscite amministratori'!M8</f>
        <v>97125</v>
      </c>
      <c r="M63" s="744">
        <f>'32. Uscite altro'!N12+'32. Uscite altro'!N14+'32. Uscite altro'!N15+'32. Uscite altro'!N16+'32. Uscite altro'!N17+'32. Uscite altro'!N24+'32. Uscite altro'!N29+'33. Uscite amministratori'!N8</f>
        <v>97125</v>
      </c>
      <c r="N63" s="744">
        <f>'32. Uscite altro'!O12+'32. Uscite altro'!O14+'32. Uscite altro'!O15+'32. Uscite altro'!O16+'32. Uscite altro'!O17+'32. Uscite altro'!O24+'32. Uscite altro'!O29+'33. Uscite amministratori'!O8</f>
        <v>97125</v>
      </c>
    </row>
    <row r="64" spans="2:15" x14ac:dyDescent="0.15">
      <c r="B64" s="91" t="s">
        <v>1338</v>
      </c>
      <c r="C64" s="744">
        <f>'32. Uscite altro'!D10+'32. Uscite altro'!D20+'32. Uscite altro'!D22+'32. Uscite altro'!D27</f>
        <v>34864.035087719298</v>
      </c>
      <c r="D64" s="744">
        <f>'32. Uscite altro'!E10+'32. Uscite altro'!E20+'32. Uscite altro'!E22+'32. Uscite altro'!E27</f>
        <v>34864.035087719298</v>
      </c>
      <c r="E64" s="744">
        <f>'32. Uscite altro'!F10+'32. Uscite altro'!F20+'32. Uscite altro'!F22+'32. Uscite altro'!F27</f>
        <v>34864.035087719298</v>
      </c>
      <c r="F64" s="744">
        <f>'32. Uscite altro'!G10+'32. Uscite altro'!G20+'32. Uscite altro'!G22+'32. Uscite altro'!G27</f>
        <v>34864.035087719298</v>
      </c>
      <c r="G64" s="744">
        <f>'32. Uscite altro'!H10+'32. Uscite altro'!H20+'32. Uscite altro'!H22+'32. Uscite altro'!H27</f>
        <v>34864.035087719298</v>
      </c>
      <c r="H64" s="744">
        <f>'32. Uscite altro'!I10+'32. Uscite altro'!I20+'32. Uscite altro'!I22+'32. Uscite altro'!I27</f>
        <v>34864.035087719298</v>
      </c>
      <c r="I64" s="744">
        <f>'32. Uscite altro'!J10+'32. Uscite altro'!J20+'32. Uscite altro'!J22+'32. Uscite altro'!J27</f>
        <v>34864.035087719298</v>
      </c>
      <c r="J64" s="744">
        <f>'32. Uscite altro'!K10+'32. Uscite altro'!K20+'32. Uscite altro'!K22+'32. Uscite altro'!K27</f>
        <v>34864.035087719298</v>
      </c>
      <c r="K64" s="744">
        <f>'32. Uscite altro'!L10+'32. Uscite altro'!L20+'32. Uscite altro'!L22+'32. Uscite altro'!L27</f>
        <v>34864.035087719298</v>
      </c>
      <c r="L64" s="744">
        <f>'32. Uscite altro'!M10+'32. Uscite altro'!M20+'32. Uscite altro'!M22+'32. Uscite altro'!M27</f>
        <v>34864.035087719298</v>
      </c>
      <c r="M64" s="744">
        <f>'32. Uscite altro'!N10+'32. Uscite altro'!N20+'32. Uscite altro'!N22+'32. Uscite altro'!N27</f>
        <v>34864.035087719298</v>
      </c>
      <c r="N64" s="744">
        <f>'32. Uscite altro'!O10+'32. Uscite altro'!O20+'32. Uscite altro'!O22+'32. Uscite altro'!O27</f>
        <v>34864.035087719298</v>
      </c>
    </row>
    <row r="65" spans="2:14" x14ac:dyDescent="0.15">
      <c r="C65" s="744">
        <f>SUM(C61:C64)</f>
        <v>4049469.1020889282</v>
      </c>
      <c r="D65" s="744">
        <f t="shared" ref="D65:N65" si="19">SUM(D61:D64)</f>
        <v>4199223.6335928477</v>
      </c>
      <c r="E65" s="744">
        <f t="shared" si="19"/>
        <v>4422502.8371041762</v>
      </c>
      <c r="F65" s="744">
        <f t="shared" si="19"/>
        <v>4273482.3377376068</v>
      </c>
      <c r="G65" s="744">
        <f t="shared" si="19"/>
        <v>4272507.9920563148</v>
      </c>
      <c r="H65" s="744">
        <f t="shared" si="19"/>
        <v>4348513.9010080015</v>
      </c>
      <c r="I65" s="744">
        <f t="shared" si="19"/>
        <v>4344947.4144951478</v>
      </c>
      <c r="J65" s="744">
        <f t="shared" si="19"/>
        <v>3601115.9710578257</v>
      </c>
      <c r="K65" s="744">
        <f t="shared" si="19"/>
        <v>4345874.5278769303</v>
      </c>
      <c r="L65" s="744">
        <f t="shared" si="19"/>
        <v>4270472.0979285212</v>
      </c>
      <c r="M65" s="744">
        <f t="shared" si="19"/>
        <v>4270208.6215001307</v>
      </c>
      <c r="N65" s="744">
        <f t="shared" si="19"/>
        <v>3601115.9710578257</v>
      </c>
    </row>
    <row r="66" spans="2:14" x14ac:dyDescent="0.15">
      <c r="C66" s="744"/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4"/>
    </row>
    <row r="67" spans="2:14" x14ac:dyDescent="0.15">
      <c r="B67" s="91" t="s">
        <v>1339</v>
      </c>
      <c r="C67" s="744">
        <f>('Tab. 15'!$G$23+'Tab. 15'!$H$23+'Tab. 15'!$G$21+'Tab. 15'!$H$21+'Tab. 15'!$G$22+'Tab. 15'!$H$22+'Tab. 15'!$G$26)/12+('Tab. 15'!$E$26+'Tab. 15'!$F$26)/12</f>
        <v>73969.298245614016</v>
      </c>
      <c r="D67" s="744">
        <f>('Tab. 15'!$G$23+'Tab. 15'!$H$23+'Tab. 15'!$G$21+'Tab. 15'!$H$21+'Tab. 15'!$G$22+'Tab. 15'!$H$22+'Tab. 15'!$G$26)/12+('Tab. 15'!$E$26+'Tab. 15'!$F$26)/12</f>
        <v>73969.298245614016</v>
      </c>
      <c r="E67" s="744">
        <f>('Tab. 15'!$G$23+'Tab. 15'!$H$23+'Tab. 15'!$G$21+'Tab. 15'!$H$21+'Tab. 15'!$G$22+'Tab. 15'!$H$22+'Tab. 15'!$G$26)/12+('Tab. 15'!$E$26+'Tab. 15'!$F$26)/12</f>
        <v>73969.298245614016</v>
      </c>
      <c r="F67" s="744">
        <f>('Tab. 15'!$G$23+'Tab. 15'!$H$23+'Tab. 15'!$G$21+'Tab. 15'!$H$21+'Tab. 15'!$G$22+'Tab. 15'!$H$22+'Tab. 15'!$G$26)/12+('Tab. 15'!$E$26+'Tab. 15'!$F$26)/12</f>
        <v>73969.298245614016</v>
      </c>
      <c r="G67" s="744">
        <f>('Tab. 15'!$G$23+'Tab. 15'!$H$23+'Tab. 15'!$G$21+'Tab. 15'!$H$21+'Tab. 15'!$G$22+'Tab. 15'!$H$22+'Tab. 15'!$G$26)/12+('Tab. 15'!$E$26+'Tab. 15'!$F$26)/12</f>
        <v>73969.298245614016</v>
      </c>
      <c r="H67" s="744">
        <f>('Tab. 15'!$G$23+'Tab. 15'!$H$23+'Tab. 15'!$G$21+'Tab. 15'!$H$21+'Tab. 15'!$G$22+'Tab. 15'!$H$22+'Tab. 15'!$G$26)/12+('Tab. 15'!$E$26+'Tab. 15'!$F$26)/12</f>
        <v>73969.298245614016</v>
      </c>
      <c r="I67" s="744">
        <f>('Tab. 15'!$G$23+'Tab. 15'!$H$23+'Tab. 15'!$G$21+'Tab. 15'!$H$21+'Tab. 15'!$G$22+'Tab. 15'!$H$22+'Tab. 15'!$G$26)/12+('Tab. 15'!$E$26+'Tab. 15'!$F$26)/12</f>
        <v>73969.298245614016</v>
      </c>
      <c r="J67" s="744">
        <f>('Tab. 15'!$G$23+'Tab. 15'!$H$23+'Tab. 15'!$G$21+'Tab. 15'!$H$21+'Tab. 15'!$G$22+'Tab. 15'!$H$22+'Tab. 15'!$G$26)/12+('Tab. 15'!$E$26+'Tab. 15'!$F$26)/12</f>
        <v>73969.298245614016</v>
      </c>
      <c r="K67" s="744">
        <f>('Tab. 15'!$G$23+'Tab. 15'!$H$23+'Tab. 15'!$G$21+'Tab. 15'!$H$21+'Tab. 15'!$G$22+'Tab. 15'!$H$22+'Tab. 15'!$G$26)/12+('Tab. 15'!$E$26+'Tab. 15'!$F$26)/12</f>
        <v>73969.298245614016</v>
      </c>
      <c r="L67" s="744">
        <f>('Tab. 15'!$G$23+'Tab. 15'!$H$23+'Tab. 15'!$G$21+'Tab. 15'!$H$21+'Tab. 15'!$G$22+'Tab. 15'!$H$22+'Tab. 15'!$G$26)/12+('Tab. 15'!$E$26+'Tab. 15'!$F$26)/12</f>
        <v>73969.298245614016</v>
      </c>
      <c r="M67" s="744">
        <f>('Tab. 15'!$G$23+'Tab. 15'!$H$23+'Tab. 15'!$G$21+'Tab. 15'!$H$21+'Tab. 15'!$G$22+'Tab. 15'!$H$22+'Tab. 15'!$G$26)/12+('Tab. 15'!$E$26+'Tab. 15'!$F$26)/12</f>
        <v>73969.298245614016</v>
      </c>
      <c r="N67" s="744">
        <f>('Tab. 15'!$G$23+'Tab. 15'!$H$23+'Tab. 15'!$G$21+'Tab. 15'!$H$21+'Tab. 15'!$G$22+'Tab. 15'!$H$22+'Tab. 15'!$G$26)/12+('Tab. 15'!$E$26+'Tab. 15'!$F$26)/12</f>
        <v>73969.298245614016</v>
      </c>
    </row>
    <row r="68" spans="2:14" x14ac:dyDescent="0.15">
      <c r="B68" s="91" t="s">
        <v>1340</v>
      </c>
      <c r="C68" s="744">
        <f>'Tab. 15'!$J$26/'Tab. 4'!$O$9*'Tab. 4'!C9</f>
        <v>27561.446808510638</v>
      </c>
      <c r="D68" s="744">
        <f>'Tab. 15'!$J$26/'Tab. 4'!$O$9*'Tab. 4'!D9</f>
        <v>30623.829787234044</v>
      </c>
      <c r="E68" s="744">
        <f>'Tab. 15'!$J$26/'Tab. 4'!$O$9*'Tab. 4'!E9</f>
        <v>35217.404255319154</v>
      </c>
      <c r="F68" s="744">
        <f>'Tab. 15'!$J$26/'Tab. 4'!$O$9*'Tab. 4'!F9</f>
        <v>32155.021276595744</v>
      </c>
      <c r="G68" s="744">
        <f>'Tab. 15'!$J$26/'Tab. 4'!$O$9*'Tab. 4'!G9</f>
        <v>32155.021276595744</v>
      </c>
      <c r="H68" s="744">
        <f>'Tab. 15'!$J$26/'Tab. 4'!$O$9*'Tab. 4'!H9</f>
        <v>33686.212765957447</v>
      </c>
      <c r="I68" s="744">
        <f>'Tab. 15'!$J$26/'Tab. 4'!$O$9*'Tab. 4'!I9</f>
        <v>33686.212765957447</v>
      </c>
      <c r="J68" s="744">
        <f>'Tab. 15'!$J$26/'Tab. 4'!$O$9*'Tab. 4'!J9</f>
        <v>18374.297872340423</v>
      </c>
      <c r="K68" s="744">
        <f>'Tab. 15'!$J$26/'Tab. 4'!$O$9*'Tab. 4'!K9</f>
        <v>33686.212765957447</v>
      </c>
      <c r="L68" s="744">
        <f>'Tab. 15'!$J$26/'Tab. 4'!$O$9*'Tab. 4'!L9</f>
        <v>32155.021276595744</v>
      </c>
      <c r="M68" s="744">
        <f>'Tab. 15'!$J$26/'Tab. 4'!$O$9*'Tab. 4'!M9</f>
        <v>32155.021276595744</v>
      </c>
      <c r="N68" s="744">
        <f>'Tab. 15'!$J$26/'Tab. 4'!$O$9*'Tab. 4'!N9</f>
        <v>18374.297872340423</v>
      </c>
    </row>
    <row r="69" spans="2:14" x14ac:dyDescent="0.15">
      <c r="B69" s="91" t="s">
        <v>1341</v>
      </c>
      <c r="C69" s="744">
        <f>('Tab. 15'!$K$23+'Tab. 15'!$K$21+'Tab. 15'!$K$22+'Tab. 15'!$K$26)/12+('All. 6'!$C$45-'All. 6'!$C$10)/12</f>
        <v>34864.035087719298</v>
      </c>
      <c r="D69" s="744">
        <f>('Tab. 15'!$K$23+'Tab. 15'!$K$21+'Tab. 15'!$K$22+'Tab. 15'!$K$26)/12+('All. 6'!$C$45-'All. 6'!$C$10)/12</f>
        <v>34864.035087719298</v>
      </c>
      <c r="E69" s="744">
        <f>('Tab. 15'!$K$23+'Tab. 15'!$K$21+'Tab. 15'!$K$22+'Tab. 15'!$K$26)/12+('All. 6'!$C$45-'All. 6'!$C$10)/12</f>
        <v>34864.035087719298</v>
      </c>
      <c r="F69" s="744">
        <f>('Tab. 15'!$K$23+'Tab. 15'!$K$21+'Tab. 15'!$K$22+'Tab. 15'!$K$26)/12+('All. 6'!$C$45-'All. 6'!$C$10)/12</f>
        <v>34864.035087719298</v>
      </c>
      <c r="G69" s="744">
        <f>('Tab. 15'!$K$23+'Tab. 15'!$K$21+'Tab. 15'!$K$22+'Tab. 15'!$K$26)/12+('All. 6'!$C$45-'All. 6'!$C$10)/12</f>
        <v>34864.035087719298</v>
      </c>
      <c r="H69" s="744">
        <f>('Tab. 15'!$K$23+'Tab. 15'!$K$21+'Tab. 15'!$K$22+'Tab. 15'!$K$26)/12+('All. 6'!$C$45-'All. 6'!$C$10)/12</f>
        <v>34864.035087719298</v>
      </c>
      <c r="I69" s="744">
        <f>('Tab. 15'!$K$23+'Tab. 15'!$K$21+'Tab. 15'!$K$22+'Tab. 15'!$K$26)/12+('All. 6'!$C$45-'All. 6'!$C$10)/12</f>
        <v>34864.035087719298</v>
      </c>
      <c r="J69" s="744">
        <f>('Tab. 15'!$K$23+'Tab. 15'!$K$21+'Tab. 15'!$K$22+'Tab. 15'!$K$26)/12+('All. 6'!$C$45-'All. 6'!$C$10)/12</f>
        <v>34864.035087719298</v>
      </c>
      <c r="K69" s="744">
        <f>('Tab. 15'!$K$23+'Tab. 15'!$K$21+'Tab. 15'!$K$22+'Tab. 15'!$K$26)/12+('All. 6'!$C$45-'All. 6'!$C$10)/12</f>
        <v>34864.035087719298</v>
      </c>
      <c r="L69" s="744">
        <f>('Tab. 15'!$K$23+'Tab. 15'!$K$21+'Tab. 15'!$K$22+'Tab. 15'!$K$26)/12+('All. 6'!$C$45-'All. 6'!$C$10)/12</f>
        <v>34864.035087719298</v>
      </c>
      <c r="M69" s="744">
        <f>('Tab. 15'!$K$23+'Tab. 15'!$K$21+'Tab. 15'!$K$22+'Tab. 15'!$K$26)/12+('All. 6'!$C$45-'All. 6'!$C$10)/12</f>
        <v>34864.035087719298</v>
      </c>
      <c r="N69" s="744">
        <f>('Tab. 15'!$K$23+'Tab. 15'!$K$21+'Tab. 15'!$K$22+'Tab. 15'!$K$26)/12+('All. 6'!$C$45-'All. 6'!$C$10)/12</f>
        <v>34864.035087719298</v>
      </c>
    </row>
    <row r="70" spans="2:14" x14ac:dyDescent="0.15">
      <c r="C70" s="744"/>
      <c r="D70" s="744"/>
      <c r="E70" s="744"/>
      <c r="F70" s="744"/>
      <c r="G70" s="744"/>
      <c r="H70" s="744"/>
      <c r="I70" s="744"/>
      <c r="J70" s="744"/>
      <c r="K70" s="744"/>
      <c r="L70" s="744"/>
      <c r="M70" s="744"/>
      <c r="N70" s="744"/>
    </row>
    <row r="71" spans="2:14" x14ac:dyDescent="0.15">
      <c r="C71" s="744">
        <f>SUM(C67:C70)</f>
        <v>136394.78014184395</v>
      </c>
      <c r="D71" s="744">
        <f t="shared" ref="D71:N71" si="20">SUM(D67:D70)</f>
        <v>139457.16312056736</v>
      </c>
      <c r="E71" s="744">
        <f t="shared" si="20"/>
        <v>144050.73758865247</v>
      </c>
      <c r="F71" s="744">
        <f t="shared" si="20"/>
        <v>140988.35460992905</v>
      </c>
      <c r="G71" s="744">
        <f t="shared" si="20"/>
        <v>140988.35460992905</v>
      </c>
      <c r="H71" s="744">
        <f t="shared" si="20"/>
        <v>142519.54609929078</v>
      </c>
      <c r="I71" s="744">
        <f t="shared" si="20"/>
        <v>142519.54609929078</v>
      </c>
      <c r="J71" s="744">
        <f t="shared" si="20"/>
        <v>127207.63120567374</v>
      </c>
      <c r="K71" s="744">
        <f t="shared" si="20"/>
        <v>142519.54609929078</v>
      </c>
      <c r="L71" s="744">
        <f t="shared" si="20"/>
        <v>140988.35460992905</v>
      </c>
      <c r="M71" s="744">
        <f t="shared" si="20"/>
        <v>140988.35460992905</v>
      </c>
      <c r="N71" s="744">
        <f t="shared" si="20"/>
        <v>127207.63120567374</v>
      </c>
    </row>
    <row r="72" spans="2:14" x14ac:dyDescent="0.15">
      <c r="C72" s="744"/>
      <c r="D72" s="744"/>
      <c r="E72" s="744"/>
      <c r="F72" s="744"/>
      <c r="G72" s="744"/>
      <c r="H72" s="744"/>
      <c r="I72" s="744"/>
      <c r="J72" s="744"/>
      <c r="K72" s="744"/>
      <c r="L72" s="744"/>
      <c r="M72" s="744"/>
      <c r="N72" s="744"/>
    </row>
    <row r="73" spans="2:14" x14ac:dyDescent="0.15">
      <c r="B73" s="956" t="s">
        <v>700</v>
      </c>
      <c r="C73" s="958">
        <f>+C61+C67</f>
        <v>101697.77195832982</v>
      </c>
      <c r="D73" s="958">
        <f t="shared" ref="D73:N73" si="21">+D61+D67</f>
        <v>105078.4227264904</v>
      </c>
      <c r="E73" s="958">
        <f t="shared" si="21"/>
        <v>108811.80513418114</v>
      </c>
      <c r="F73" s="958">
        <f t="shared" si="21"/>
        <v>106155.18650337006</v>
      </c>
      <c r="G73" s="958">
        <f t="shared" si="21"/>
        <v>105180.84082207855</v>
      </c>
      <c r="H73" s="958">
        <f t="shared" si="21"/>
        <v>108004.80940588619</v>
      </c>
      <c r="I73" s="958">
        <f t="shared" si="21"/>
        <v>104438.32289303267</v>
      </c>
      <c r="J73" s="958">
        <f t="shared" si="21"/>
        <v>92436.28313450281</v>
      </c>
      <c r="K73" s="958">
        <f t="shared" si="21"/>
        <v>105365.43627481464</v>
      </c>
      <c r="L73" s="958">
        <f t="shared" si="21"/>
        <v>103144.94669428475</v>
      </c>
      <c r="M73" s="958">
        <f t="shared" si="21"/>
        <v>102881.47026589431</v>
      </c>
      <c r="N73" s="958">
        <f t="shared" si="21"/>
        <v>92436.28313450281</v>
      </c>
    </row>
    <row r="74" spans="2:14" x14ac:dyDescent="0.15">
      <c r="B74" s="956" t="s">
        <v>1036</v>
      </c>
      <c r="C74" s="958">
        <f t="shared" ref="C74:N75" si="22">+C62+C68</f>
        <v>3917313.0400970038</v>
      </c>
      <c r="D74" s="958">
        <f t="shared" si="22"/>
        <v>4066749.3038114854</v>
      </c>
      <c r="E74" s="958">
        <f t="shared" si="22"/>
        <v>4290888.6993832085</v>
      </c>
      <c r="F74" s="958">
        <f t="shared" si="22"/>
        <v>4141462.4356687265</v>
      </c>
      <c r="G74" s="958">
        <f t="shared" si="22"/>
        <v>4141462.4356687265</v>
      </c>
      <c r="H74" s="958">
        <f t="shared" si="22"/>
        <v>4216175.567525967</v>
      </c>
      <c r="I74" s="958">
        <f t="shared" si="22"/>
        <v>4216175.567525967</v>
      </c>
      <c r="J74" s="958">
        <f t="shared" si="22"/>
        <v>3469034.248953558</v>
      </c>
      <c r="K74" s="958">
        <f t="shared" si="22"/>
        <v>4216175.567525967</v>
      </c>
      <c r="L74" s="958">
        <f t="shared" si="22"/>
        <v>4141462.4356687265</v>
      </c>
      <c r="M74" s="958">
        <f t="shared" si="22"/>
        <v>4141462.4356687265</v>
      </c>
      <c r="N74" s="958">
        <f t="shared" si="22"/>
        <v>3469034.248953558</v>
      </c>
    </row>
    <row r="75" spans="2:14" x14ac:dyDescent="0.15">
      <c r="B75" s="956" t="s">
        <v>1337</v>
      </c>
      <c r="C75" s="958">
        <f t="shared" si="22"/>
        <v>131989.0350877193</v>
      </c>
      <c r="D75" s="958">
        <f t="shared" si="22"/>
        <v>131989.0350877193</v>
      </c>
      <c r="E75" s="958">
        <f t="shared" si="22"/>
        <v>131989.0350877193</v>
      </c>
      <c r="F75" s="958">
        <f t="shared" si="22"/>
        <v>131989.0350877193</v>
      </c>
      <c r="G75" s="958">
        <f t="shared" si="22"/>
        <v>131989.0350877193</v>
      </c>
      <c r="H75" s="958">
        <f t="shared" si="22"/>
        <v>131989.0350877193</v>
      </c>
      <c r="I75" s="958">
        <f t="shared" si="22"/>
        <v>131989.0350877193</v>
      </c>
      <c r="J75" s="958">
        <f t="shared" si="22"/>
        <v>131989.0350877193</v>
      </c>
      <c r="K75" s="958">
        <f t="shared" si="22"/>
        <v>131989.0350877193</v>
      </c>
      <c r="L75" s="958">
        <f t="shared" si="22"/>
        <v>131989.0350877193</v>
      </c>
      <c r="M75" s="958">
        <f t="shared" si="22"/>
        <v>131989.0350877193</v>
      </c>
      <c r="N75" s="958">
        <f t="shared" si="22"/>
        <v>131989.0350877193</v>
      </c>
    </row>
    <row r="76" spans="2:14" x14ac:dyDescent="0.15">
      <c r="C76" s="958">
        <f>SUM(C73:C75)</f>
        <v>4150999.8471430526</v>
      </c>
      <c r="D76" s="958">
        <f t="shared" ref="D76:N76" si="23">SUM(D73:D75)</f>
        <v>4303816.761625695</v>
      </c>
      <c r="E76" s="958">
        <f t="shared" si="23"/>
        <v>4531689.539605109</v>
      </c>
      <c r="F76" s="958">
        <f t="shared" si="23"/>
        <v>4379606.6572598163</v>
      </c>
      <c r="G76" s="958">
        <f t="shared" si="23"/>
        <v>4378632.3115785243</v>
      </c>
      <c r="H76" s="958">
        <f t="shared" si="23"/>
        <v>4456169.4120195732</v>
      </c>
      <c r="I76" s="958">
        <f t="shared" si="23"/>
        <v>4452602.9255067194</v>
      </c>
      <c r="J76" s="958">
        <f t="shared" si="23"/>
        <v>3693459.56717578</v>
      </c>
      <c r="K76" s="958">
        <f t="shared" si="23"/>
        <v>4453530.038888501</v>
      </c>
      <c r="L76" s="958">
        <f t="shared" si="23"/>
        <v>4376596.4174507307</v>
      </c>
      <c r="M76" s="958">
        <f t="shared" si="23"/>
        <v>4376332.9410223402</v>
      </c>
      <c r="N76" s="958">
        <f t="shared" si="23"/>
        <v>3693459.56717578</v>
      </c>
    </row>
    <row r="77" spans="2:14" x14ac:dyDescent="0.15">
      <c r="C77" s="744">
        <f>+C76-C48</f>
        <v>6302.3168908818625</v>
      </c>
      <c r="D77" s="744">
        <f t="shared" ref="D77:N77" si="24">+D76-D48</f>
        <v>-1658.504444969818</v>
      </c>
      <c r="E77" s="744">
        <f t="shared" si="24"/>
        <v>-13599.736448745243</v>
      </c>
      <c r="F77" s="744">
        <f t="shared" si="24"/>
        <v>-5638.9151128949597</v>
      </c>
      <c r="G77" s="744">
        <f t="shared" si="24"/>
        <v>-5638.9151128949597</v>
      </c>
      <c r="H77" s="744">
        <f t="shared" si="24"/>
        <v>-9619.3257808201015</v>
      </c>
      <c r="I77" s="744">
        <f t="shared" si="24"/>
        <v>-9619.3257808201015</v>
      </c>
      <c r="J77" s="744">
        <f t="shared" si="24"/>
        <v>30184.780898434576</v>
      </c>
      <c r="K77" s="744">
        <f t="shared" si="24"/>
        <v>-9619.3257808201015</v>
      </c>
      <c r="L77" s="744">
        <f t="shared" si="24"/>
        <v>-5638.9151128949597</v>
      </c>
      <c r="M77" s="744">
        <f t="shared" si="24"/>
        <v>-5638.9151128949597</v>
      </c>
      <c r="N77" s="744">
        <f t="shared" si="24"/>
        <v>30184.780898434576</v>
      </c>
    </row>
    <row r="78" spans="2:14" x14ac:dyDescent="0.15">
      <c r="B78" s="957" t="s">
        <v>1342</v>
      </c>
      <c r="C78" s="744"/>
      <c r="D78" s="744"/>
      <c r="E78" s="744"/>
      <c r="F78" s="744"/>
      <c r="G78" s="744"/>
      <c r="H78" s="744"/>
      <c r="I78" s="744"/>
      <c r="J78" s="744"/>
      <c r="K78" s="744"/>
      <c r="L78" s="744"/>
      <c r="M78" s="744"/>
      <c r="N78" s="744"/>
    </row>
    <row r="79" spans="2:14" hidden="1" x14ac:dyDescent="0.15">
      <c r="B79" s="91" t="s">
        <v>700</v>
      </c>
      <c r="C79" s="744">
        <f>'Tab. 11'!C38</f>
        <v>197418.41023146547</v>
      </c>
      <c r="D79" s="744">
        <f>'Tab. 11'!D38</f>
        <v>219353.78914607267</v>
      </c>
      <c r="E79" s="744">
        <f>'Tab. 11'!E38</f>
        <v>252256.85751798365</v>
      </c>
      <c r="F79" s="744">
        <f>'Tab. 11'!F38</f>
        <v>230321.4786033764</v>
      </c>
      <c r="G79" s="744">
        <f>'Tab. 11'!G38</f>
        <v>230321.4786033764</v>
      </c>
      <c r="H79" s="744">
        <f>'Tab. 11'!H38</f>
        <v>241289.16806067998</v>
      </c>
      <c r="I79" s="744">
        <f>'Tab. 11'!I38</f>
        <v>241289.16806067998</v>
      </c>
      <c r="J79" s="744">
        <f>'Tab. 11'!J38</f>
        <v>131612.27348764363</v>
      </c>
      <c r="K79" s="744">
        <f>'Tab. 11'!K38</f>
        <v>241289.16806067998</v>
      </c>
      <c r="L79" s="744">
        <f>'Tab. 11'!L38</f>
        <v>230321.4786033764</v>
      </c>
      <c r="M79" s="744">
        <f>'Tab. 11'!M38</f>
        <v>230321.4786033764</v>
      </c>
      <c r="N79" s="744">
        <f>'Tab. 11'!N38</f>
        <v>131612.27348764363</v>
      </c>
    </row>
    <row r="80" spans="2:14" hidden="1" x14ac:dyDescent="0.15">
      <c r="B80" s="91" t="s">
        <v>1036</v>
      </c>
      <c r="C80" s="744">
        <f>'Tab. 22'!C13+'Tab. 22'!C14</f>
        <v>90837.018712319114</v>
      </c>
      <c r="D80" s="744">
        <f>'Tab. 22'!D13+'Tab. 22'!D14</f>
        <v>100930.02079146569</v>
      </c>
      <c r="E80" s="744">
        <f>'Tab. 22'!E13+'Tab. 22'!E14</f>
        <v>116069.52391018551</v>
      </c>
      <c r="F80" s="744">
        <f>'Tab. 22'!F13+'Tab. 22'!F14</f>
        <v>105976.52183103896</v>
      </c>
      <c r="G80" s="744">
        <f>'Tab. 22'!G13+'Tab. 22'!G14</f>
        <v>105976.52183103896</v>
      </c>
      <c r="H80" s="744">
        <f>'Tab. 22'!H13+'Tab. 22'!H14</f>
        <v>111023.02287061224</v>
      </c>
      <c r="I80" s="744">
        <f>'Tab. 22'!I13+'Tab. 22'!I14</f>
        <v>111023.02287061224</v>
      </c>
      <c r="J80" s="744">
        <f>'Tab. 22'!J13+'Tab. 22'!J14</f>
        <v>60558.012474879404</v>
      </c>
      <c r="K80" s="744">
        <f>'Tab. 22'!K13+'Tab. 22'!K14</f>
        <v>111023.02287061224</v>
      </c>
      <c r="L80" s="744">
        <f>'Tab. 22'!L13+'Tab. 22'!L14</f>
        <v>105976.52183103896</v>
      </c>
      <c r="M80" s="744">
        <f>'Tab. 22'!M13+'Tab. 22'!M14</f>
        <v>105976.52183103896</v>
      </c>
      <c r="N80" s="744">
        <f>'Tab. 22'!N13+'Tab. 22'!N14</f>
        <v>60558.012474879404</v>
      </c>
    </row>
    <row r="81" spans="2:14" hidden="1" x14ac:dyDescent="0.15">
      <c r="B81" s="91" t="s">
        <v>1337</v>
      </c>
      <c r="C81" s="744">
        <f>'Tab. 22'!C24</f>
        <v>35460.685450052479</v>
      </c>
      <c r="D81" s="744">
        <f>'Tab. 22'!D24</f>
        <v>39400.761611169422</v>
      </c>
      <c r="E81" s="744">
        <f>'Tab. 22'!E24</f>
        <v>48283.305955287702</v>
      </c>
      <c r="F81" s="744">
        <f>'Tab. 22'!F24</f>
        <v>44084.75761134964</v>
      </c>
      <c r="G81" s="744">
        <f>'Tab. 22'!G24</f>
        <v>44084.75761134964</v>
      </c>
      <c r="H81" s="744">
        <f>'Tab. 22'!H24</f>
        <v>46184.031783318685</v>
      </c>
      <c r="I81" s="744">
        <f>'Tab. 22'!I24</f>
        <v>46184.031783318685</v>
      </c>
      <c r="J81" s="744">
        <f>'Tab. 22'!J24</f>
        <v>25191.29006362837</v>
      </c>
      <c r="K81" s="744">
        <f>'Tab. 22'!K24</f>
        <v>46184.031783318685</v>
      </c>
      <c r="L81" s="744">
        <f>'Tab. 22'!L24</f>
        <v>44084.75761134964</v>
      </c>
      <c r="M81" s="744">
        <f>'Tab. 22'!M24</f>
        <v>44084.75761134964</v>
      </c>
      <c r="N81" s="744">
        <f>'Tab. 22'!N24</f>
        <v>25191.29006362837</v>
      </c>
    </row>
    <row r="82" spans="2:14" hidden="1" x14ac:dyDescent="0.15">
      <c r="B82" s="91" t="s">
        <v>1338</v>
      </c>
      <c r="C82" s="744">
        <f>'Tab. 15'!$C$19/'Tab. 11'!$O$10*'Tab. 11'!C10</f>
        <v>55341.145247005676</v>
      </c>
      <c r="D82" s="744">
        <f>'Tab. 15'!$C$19/'Tab. 11'!$O$10*'Tab. 11'!D10</f>
        <v>61490.161385561863</v>
      </c>
      <c r="E82" s="744">
        <f>'Tab. 15'!$C$19/'Tab. 11'!$O$10*'Tab. 11'!E10</f>
        <v>70713.685593396149</v>
      </c>
      <c r="F82" s="744">
        <f>'Tab. 15'!$C$19/'Tab. 11'!$O$10*'Tab. 11'!F10</f>
        <v>64564.669454839954</v>
      </c>
      <c r="G82" s="744">
        <f>'Tab. 15'!$C$19/'Tab. 11'!$O$10*'Tab. 11'!G10</f>
        <v>64564.669454839954</v>
      </c>
      <c r="H82" s="744">
        <f>'Tab. 15'!$C$19/'Tab. 11'!$O$10*'Tab. 11'!H10</f>
        <v>67639.177524118044</v>
      </c>
      <c r="I82" s="744">
        <f>'Tab. 15'!$C$19/'Tab. 11'!$O$10*'Tab. 11'!I10</f>
        <v>67639.177524118044</v>
      </c>
      <c r="J82" s="744">
        <f>'Tab. 15'!$C$19/'Tab. 11'!$O$10*'Tab. 11'!J10</f>
        <v>36894.09683133712</v>
      </c>
      <c r="K82" s="744">
        <f>'Tab. 15'!$C$19/'Tab. 11'!$O$10*'Tab. 11'!K10</f>
        <v>67639.177524118044</v>
      </c>
      <c r="L82" s="744">
        <f>'Tab. 15'!$C$19/'Tab. 11'!$O$10*'Tab. 11'!L10</f>
        <v>64564.669454839954</v>
      </c>
      <c r="M82" s="744">
        <f>'Tab. 15'!$C$19/'Tab. 11'!$O$10*'Tab. 11'!M10</f>
        <v>64564.669454839954</v>
      </c>
      <c r="N82" s="744">
        <f>'Tab. 15'!$C$19/'Tab. 11'!$O$10*'Tab. 11'!N10</f>
        <v>36894.09683133712</v>
      </c>
    </row>
    <row r="83" spans="2:14" hidden="1" x14ac:dyDescent="0.15">
      <c r="C83" s="744">
        <f>SUM(C79:C82)</f>
        <v>379057.25964084273</v>
      </c>
      <c r="D83" s="744">
        <f t="shared" ref="D83:N83" si="25">SUM(D79:D82)</f>
        <v>421174.73293426965</v>
      </c>
      <c r="E83" s="744">
        <f t="shared" si="25"/>
        <v>487323.37297685299</v>
      </c>
      <c r="F83" s="744">
        <f t="shared" si="25"/>
        <v>444947.42750060494</v>
      </c>
      <c r="G83" s="744">
        <f t="shared" si="25"/>
        <v>444947.42750060494</v>
      </c>
      <c r="H83" s="744">
        <f t="shared" si="25"/>
        <v>466135.40023872897</v>
      </c>
      <c r="I83" s="744">
        <f t="shared" si="25"/>
        <v>466135.40023872897</v>
      </c>
      <c r="J83" s="744">
        <f t="shared" si="25"/>
        <v>254255.67285748851</v>
      </c>
      <c r="K83" s="744">
        <f t="shared" si="25"/>
        <v>466135.40023872897</v>
      </c>
      <c r="L83" s="744">
        <f t="shared" si="25"/>
        <v>444947.42750060494</v>
      </c>
      <c r="M83" s="744">
        <f t="shared" si="25"/>
        <v>444947.42750060494</v>
      </c>
      <c r="N83" s="744">
        <f t="shared" si="25"/>
        <v>254255.67285748851</v>
      </c>
    </row>
    <row r="84" spans="2:14" hidden="1" x14ac:dyDescent="0.15">
      <c r="C84" s="744"/>
      <c r="D84" s="744"/>
      <c r="E84" s="744"/>
      <c r="F84" s="744"/>
      <c r="G84" s="744"/>
      <c r="H84" s="744"/>
      <c r="I84" s="744"/>
      <c r="J84" s="744"/>
      <c r="K84" s="744"/>
      <c r="L84" s="744"/>
      <c r="M84" s="744"/>
      <c r="N84" s="744"/>
    </row>
    <row r="85" spans="2:14" hidden="1" x14ac:dyDescent="0.15">
      <c r="B85" s="91" t="s">
        <v>1339</v>
      </c>
      <c r="C85" s="744">
        <f>('Tab. 15'!$G$19+'Tab. 15'!$H$19)/'Tab. 11'!$O$10*'Tab. 11'!C10</f>
        <v>26636.831373303263</v>
      </c>
      <c r="D85" s="744">
        <f>('Tab. 15'!$G$19+'Tab. 15'!$H$19)/'Tab. 11'!$O$10*'Tab. 11'!D10</f>
        <v>29596.47930367029</v>
      </c>
      <c r="E85" s="744">
        <f>('Tab. 15'!$G$19+'Tab. 15'!$H$19)/'Tab. 11'!$O$10*'Tab. 11'!E10</f>
        <v>34035.951199220835</v>
      </c>
      <c r="F85" s="744">
        <f>('Tab. 15'!$G$19+'Tab. 15'!$H$19)/'Tab. 11'!$O$10*'Tab. 11'!F10</f>
        <v>31076.303268853804</v>
      </c>
      <c r="G85" s="744">
        <f>('Tab. 15'!$G$19+'Tab. 15'!$H$19)/'Tab. 11'!$O$10*'Tab. 11'!G10</f>
        <v>31076.303268853804</v>
      </c>
      <c r="H85" s="744">
        <f>('Tab. 15'!$G$19+'Tab. 15'!$H$19)/'Tab. 11'!$O$10*'Tab. 11'!H10</f>
        <v>32556.127234037322</v>
      </c>
      <c r="I85" s="744">
        <f>('Tab. 15'!$G$19+'Tab. 15'!$H$19)/'Tab. 11'!$O$10*'Tab. 11'!I10</f>
        <v>32556.127234037322</v>
      </c>
      <c r="J85" s="744">
        <f>('Tab. 15'!$G$19+'Tab. 15'!$H$19)/'Tab. 11'!$O$10*'Tab. 11'!J10</f>
        <v>17757.887582202176</v>
      </c>
      <c r="K85" s="744">
        <f>('Tab. 15'!$G$19+'Tab. 15'!$H$19)/'Tab. 11'!$O$10*'Tab. 11'!K10</f>
        <v>32556.127234037322</v>
      </c>
      <c r="L85" s="744">
        <f>('Tab. 15'!$G$19+'Tab. 15'!$H$19)/'Tab. 11'!$O$10*'Tab. 11'!L10</f>
        <v>31076.303268853804</v>
      </c>
      <c r="M85" s="744">
        <f>('Tab. 15'!$G$19+'Tab. 15'!$H$19)/'Tab. 11'!$O$10*'Tab. 11'!M10</f>
        <v>31076.303268853804</v>
      </c>
      <c r="N85" s="744">
        <f>('Tab. 15'!$G$19+'Tab. 15'!$H$19)/'Tab. 11'!$O$10*'Tab. 11'!N10</f>
        <v>17757.887582202176</v>
      </c>
    </row>
    <row r="86" spans="2:14" hidden="1" x14ac:dyDescent="0.15">
      <c r="B86" s="91" t="s">
        <v>1340</v>
      </c>
      <c r="C86" s="744">
        <f>'Tab. 22'!C12</f>
        <v>28704.313873702409</v>
      </c>
      <c r="D86" s="744">
        <f>'Tab. 22'!D12</f>
        <v>31893.682081891566</v>
      </c>
      <c r="E86" s="744">
        <f>'Tab. 22'!E12</f>
        <v>36677.734394175306</v>
      </c>
      <c r="F86" s="744">
        <f>'Tab. 22'!F12</f>
        <v>33488.366185986146</v>
      </c>
      <c r="G86" s="744">
        <f>'Tab. 22'!G12</f>
        <v>33488.366185986146</v>
      </c>
      <c r="H86" s="744">
        <f>'Tab. 22'!H12</f>
        <v>35083.050290080726</v>
      </c>
      <c r="I86" s="744">
        <f>'Tab. 22'!I12</f>
        <v>35083.050290080726</v>
      </c>
      <c r="J86" s="744">
        <f>'Tab. 22'!J12</f>
        <v>19136.209249134939</v>
      </c>
      <c r="K86" s="744">
        <f>'Tab. 22'!K12</f>
        <v>35083.050290080726</v>
      </c>
      <c r="L86" s="744">
        <f>'Tab. 22'!L12</f>
        <v>33488.366185986146</v>
      </c>
      <c r="M86" s="744">
        <f>'Tab. 22'!M12</f>
        <v>33488.366185986146</v>
      </c>
      <c r="N86" s="744">
        <f>'Tab. 22'!N12</f>
        <v>19136.209249134939</v>
      </c>
    </row>
    <row r="87" spans="2:14" hidden="1" x14ac:dyDescent="0.15">
      <c r="B87" s="91" t="s">
        <v>1341</v>
      </c>
      <c r="C87" s="744">
        <v>0</v>
      </c>
      <c r="D87" s="744">
        <v>0</v>
      </c>
      <c r="E87" s="744">
        <v>0</v>
      </c>
      <c r="F87" s="744">
        <v>0</v>
      </c>
      <c r="G87" s="744">
        <v>0</v>
      </c>
      <c r="H87" s="744">
        <v>0</v>
      </c>
      <c r="I87" s="744">
        <v>0</v>
      </c>
      <c r="J87" s="744">
        <v>0</v>
      </c>
      <c r="K87" s="744">
        <v>0</v>
      </c>
      <c r="L87" s="744">
        <v>0</v>
      </c>
      <c r="M87" s="744">
        <v>0</v>
      </c>
      <c r="N87" s="744">
        <v>0</v>
      </c>
    </row>
    <row r="88" spans="2:14" hidden="1" x14ac:dyDescent="0.15">
      <c r="C88" s="744"/>
      <c r="D88" s="744"/>
      <c r="E88" s="744"/>
      <c r="F88" s="744"/>
      <c r="G88" s="744"/>
      <c r="H88" s="744"/>
      <c r="I88" s="744"/>
      <c r="J88" s="744"/>
      <c r="K88" s="744"/>
      <c r="L88" s="744"/>
      <c r="M88" s="744"/>
      <c r="N88" s="744"/>
    </row>
    <row r="89" spans="2:14" hidden="1" x14ac:dyDescent="0.15">
      <c r="C89" s="744">
        <f>SUM(C85:C88)</f>
        <v>55341.145247005668</v>
      </c>
      <c r="D89" s="744">
        <f t="shared" ref="D89:N89" si="26">SUM(D85:D88)</f>
        <v>61490.161385561856</v>
      </c>
      <c r="E89" s="744">
        <f t="shared" si="26"/>
        <v>70713.685593396134</v>
      </c>
      <c r="F89" s="744">
        <f t="shared" si="26"/>
        <v>64564.669454839954</v>
      </c>
      <c r="G89" s="744">
        <f t="shared" si="26"/>
        <v>64564.669454839954</v>
      </c>
      <c r="H89" s="744">
        <f t="shared" si="26"/>
        <v>67639.177524118044</v>
      </c>
      <c r="I89" s="744">
        <f t="shared" si="26"/>
        <v>67639.177524118044</v>
      </c>
      <c r="J89" s="744">
        <f t="shared" si="26"/>
        <v>36894.096831337112</v>
      </c>
      <c r="K89" s="744">
        <f t="shared" si="26"/>
        <v>67639.177524118044</v>
      </c>
      <c r="L89" s="744">
        <f t="shared" si="26"/>
        <v>64564.669454839954</v>
      </c>
      <c r="M89" s="744">
        <f t="shared" si="26"/>
        <v>64564.669454839954</v>
      </c>
      <c r="N89" s="744">
        <f t="shared" si="26"/>
        <v>36894.096831337112</v>
      </c>
    </row>
    <row r="90" spans="2:14" hidden="1" x14ac:dyDescent="0.15">
      <c r="C90" s="744"/>
      <c r="D90" s="744"/>
      <c r="E90" s="744"/>
      <c r="F90" s="744"/>
      <c r="G90" s="744"/>
      <c r="H90" s="744"/>
      <c r="I90" s="744"/>
      <c r="J90" s="744"/>
      <c r="K90" s="744"/>
      <c r="L90" s="744"/>
      <c r="M90" s="744"/>
      <c r="N90" s="744"/>
    </row>
    <row r="91" spans="2:14" x14ac:dyDescent="0.15">
      <c r="B91" s="956" t="s">
        <v>700</v>
      </c>
      <c r="C91" s="958">
        <f>+C79+C85</f>
        <v>224055.24160476873</v>
      </c>
      <c r="D91" s="958">
        <f t="shared" ref="D91:N91" si="27">+D79+D85</f>
        <v>248950.26844974296</v>
      </c>
      <c r="E91" s="958">
        <f t="shared" si="27"/>
        <v>286292.80871720449</v>
      </c>
      <c r="F91" s="958">
        <f t="shared" si="27"/>
        <v>261397.7818722302</v>
      </c>
      <c r="G91" s="958">
        <f t="shared" si="27"/>
        <v>261397.7818722302</v>
      </c>
      <c r="H91" s="958">
        <f t="shared" si="27"/>
        <v>273845.2952947173</v>
      </c>
      <c r="I91" s="958">
        <f t="shared" si="27"/>
        <v>273845.2952947173</v>
      </c>
      <c r="J91" s="958">
        <f t="shared" si="27"/>
        <v>149370.16106984581</v>
      </c>
      <c r="K91" s="958">
        <f t="shared" si="27"/>
        <v>273845.2952947173</v>
      </c>
      <c r="L91" s="958">
        <f t="shared" si="27"/>
        <v>261397.7818722302</v>
      </c>
      <c r="M91" s="958">
        <f t="shared" si="27"/>
        <v>261397.7818722302</v>
      </c>
      <c r="N91" s="958">
        <f t="shared" si="27"/>
        <v>149370.16106984581</v>
      </c>
    </row>
    <row r="92" spans="2:14" x14ac:dyDescent="0.15">
      <c r="B92" s="956" t="s">
        <v>1036</v>
      </c>
      <c r="C92" s="958">
        <f t="shared" ref="C92:N93" si="28">+C80+C86</f>
        <v>119541.33258602153</v>
      </c>
      <c r="D92" s="958">
        <f t="shared" si="28"/>
        <v>132823.70287335725</v>
      </c>
      <c r="E92" s="958">
        <f t="shared" si="28"/>
        <v>152747.25830436082</v>
      </c>
      <c r="F92" s="958">
        <f t="shared" si="28"/>
        <v>139464.88801702511</v>
      </c>
      <c r="G92" s="958">
        <f t="shared" si="28"/>
        <v>139464.88801702511</v>
      </c>
      <c r="H92" s="958">
        <f t="shared" si="28"/>
        <v>146106.07316069296</v>
      </c>
      <c r="I92" s="958">
        <f t="shared" si="28"/>
        <v>146106.07316069296</v>
      </c>
      <c r="J92" s="958">
        <f t="shared" si="28"/>
        <v>79694.221724014351</v>
      </c>
      <c r="K92" s="958">
        <f t="shared" si="28"/>
        <v>146106.07316069296</v>
      </c>
      <c r="L92" s="958">
        <f t="shared" si="28"/>
        <v>139464.88801702511</v>
      </c>
      <c r="M92" s="958">
        <f t="shared" si="28"/>
        <v>139464.88801702511</v>
      </c>
      <c r="N92" s="958">
        <f t="shared" si="28"/>
        <v>79694.221724014351</v>
      </c>
    </row>
    <row r="93" spans="2:14" x14ac:dyDescent="0.15">
      <c r="B93" s="956" t="s">
        <v>1337</v>
      </c>
      <c r="C93" s="958">
        <f t="shared" si="28"/>
        <v>35460.685450052479</v>
      </c>
      <c r="D93" s="958">
        <f t="shared" si="28"/>
        <v>39400.761611169422</v>
      </c>
      <c r="E93" s="958">
        <f t="shared" si="28"/>
        <v>48283.305955287702</v>
      </c>
      <c r="F93" s="958">
        <f t="shared" si="28"/>
        <v>44084.75761134964</v>
      </c>
      <c r="G93" s="958">
        <f t="shared" si="28"/>
        <v>44084.75761134964</v>
      </c>
      <c r="H93" s="958">
        <f t="shared" si="28"/>
        <v>46184.031783318685</v>
      </c>
      <c r="I93" s="958">
        <f t="shared" si="28"/>
        <v>46184.031783318685</v>
      </c>
      <c r="J93" s="958">
        <f t="shared" si="28"/>
        <v>25191.29006362837</v>
      </c>
      <c r="K93" s="958">
        <f t="shared" si="28"/>
        <v>46184.031783318685</v>
      </c>
      <c r="L93" s="958">
        <f t="shared" si="28"/>
        <v>44084.75761134964</v>
      </c>
      <c r="M93" s="958">
        <f t="shared" si="28"/>
        <v>44084.75761134964</v>
      </c>
      <c r="N93" s="958">
        <f t="shared" si="28"/>
        <v>25191.29006362837</v>
      </c>
    </row>
    <row r="94" spans="2:14" x14ac:dyDescent="0.15">
      <c r="C94" s="958">
        <f>SUM(C91:C93)</f>
        <v>379057.25964084273</v>
      </c>
      <c r="D94" s="958">
        <f t="shared" ref="D94:N94" si="29">SUM(D91:D93)</f>
        <v>421174.73293426965</v>
      </c>
      <c r="E94" s="958">
        <f t="shared" si="29"/>
        <v>487323.37297685299</v>
      </c>
      <c r="F94" s="958">
        <f t="shared" si="29"/>
        <v>444947.42750060494</v>
      </c>
      <c r="G94" s="958">
        <f t="shared" si="29"/>
        <v>444947.42750060494</v>
      </c>
      <c r="H94" s="958">
        <f t="shared" si="29"/>
        <v>466135.40023872891</v>
      </c>
      <c r="I94" s="958">
        <f t="shared" si="29"/>
        <v>466135.40023872891</v>
      </c>
      <c r="J94" s="958">
        <f t="shared" si="29"/>
        <v>254255.67285748853</v>
      </c>
      <c r="K94" s="958">
        <f t="shared" si="29"/>
        <v>466135.40023872891</v>
      </c>
      <c r="L94" s="958">
        <f t="shared" si="29"/>
        <v>444947.42750060494</v>
      </c>
      <c r="M94" s="958">
        <f t="shared" si="29"/>
        <v>444947.42750060494</v>
      </c>
      <c r="N94" s="958">
        <f t="shared" si="29"/>
        <v>254255.67285748853</v>
      </c>
    </row>
    <row r="95" spans="2:14" x14ac:dyDescent="0.15">
      <c r="C95" s="744">
        <f>+C94-C49</f>
        <v>0</v>
      </c>
      <c r="D95" s="744">
        <f t="shared" ref="D95:N95" si="30">+D94-D49</f>
        <v>-4510.3924127590144</v>
      </c>
      <c r="E95" s="744">
        <f t="shared" si="30"/>
        <v>0</v>
      </c>
      <c r="F95" s="744">
        <f t="shared" si="30"/>
        <v>0</v>
      </c>
      <c r="G95" s="744">
        <f t="shared" si="30"/>
        <v>0</v>
      </c>
      <c r="H95" s="744">
        <f t="shared" si="30"/>
        <v>0</v>
      </c>
      <c r="I95" s="744">
        <f t="shared" si="30"/>
        <v>0</v>
      </c>
      <c r="J95" s="744">
        <f t="shared" si="30"/>
        <v>0</v>
      </c>
      <c r="K95" s="744">
        <f t="shared" si="30"/>
        <v>0</v>
      </c>
      <c r="L95" s="744">
        <f t="shared" si="30"/>
        <v>0</v>
      </c>
      <c r="M95" s="744">
        <f t="shared" si="30"/>
        <v>0</v>
      </c>
      <c r="N95" s="744">
        <f t="shared" si="30"/>
        <v>0</v>
      </c>
    </row>
    <row r="96" spans="2:14" x14ac:dyDescent="0.15">
      <c r="B96" s="957" t="s">
        <v>1343</v>
      </c>
      <c r="C96" s="744"/>
      <c r="D96" s="744"/>
      <c r="E96" s="744"/>
      <c r="F96" s="744"/>
      <c r="G96" s="744"/>
      <c r="H96" s="744"/>
      <c r="I96" s="744"/>
      <c r="J96" s="744"/>
      <c r="K96" s="744"/>
      <c r="L96" s="744"/>
      <c r="M96" s="744"/>
      <c r="N96" s="744"/>
    </row>
    <row r="97" spans="2:14" x14ac:dyDescent="0.15">
      <c r="B97" s="91" t="s">
        <v>700</v>
      </c>
      <c r="C97" s="744">
        <f>('Tab. 15'!$E$24+'Tab. 15'!$F$24+'Tab. 15'!$G$25)/12</f>
        <v>101979.16666666667</v>
      </c>
      <c r="D97" s="744">
        <f>('Tab. 15'!$E$24+'Tab. 15'!$F$24+'Tab. 15'!$G$25)/12</f>
        <v>101979.16666666667</v>
      </c>
      <c r="E97" s="744">
        <f>('Tab. 15'!$E$24+'Tab. 15'!$F$24+'Tab. 15'!$G$25)/12</f>
        <v>101979.16666666667</v>
      </c>
      <c r="F97" s="744">
        <f>('Tab. 15'!$E$24+'Tab. 15'!$F$24+'Tab. 15'!$G$25)/12</f>
        <v>101979.16666666667</v>
      </c>
      <c r="G97" s="744">
        <f>('Tab. 15'!$E$24+'Tab. 15'!$F$24+'Tab. 15'!$G$25)/12</f>
        <v>101979.16666666667</v>
      </c>
      <c r="H97" s="744">
        <f>('Tab. 15'!$E$24+'Tab. 15'!$F$24+'Tab. 15'!$G$25)/12</f>
        <v>101979.16666666667</v>
      </c>
      <c r="I97" s="744">
        <f>('Tab. 15'!$E$24+'Tab. 15'!$F$24+'Tab. 15'!$G$25)/12</f>
        <v>101979.16666666667</v>
      </c>
      <c r="J97" s="744">
        <f>('Tab. 15'!$E$24+'Tab. 15'!$F$24+'Tab. 15'!$G$25)/12</f>
        <v>101979.16666666667</v>
      </c>
      <c r="K97" s="744">
        <f>('Tab. 15'!$E$24+'Tab. 15'!$F$24+'Tab. 15'!$G$25)/12</f>
        <v>101979.16666666667</v>
      </c>
      <c r="L97" s="744">
        <f>('Tab. 15'!$E$24+'Tab. 15'!$F$24+'Tab. 15'!$G$25)/12</f>
        <v>101979.16666666667</v>
      </c>
      <c r="M97" s="744">
        <f>('Tab. 15'!$E$24+'Tab. 15'!$F$24+'Tab. 15'!$G$25)/12</f>
        <v>101979.16666666667</v>
      </c>
      <c r="N97" s="744">
        <f>('Tab. 15'!$E$24+'Tab. 15'!$F$24+'Tab. 15'!$G$25)/12</f>
        <v>101979.16666666667</v>
      </c>
    </row>
    <row r="98" spans="2:14" x14ac:dyDescent="0.15">
      <c r="B98" s="91" t="s">
        <v>1036</v>
      </c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</row>
    <row r="99" spans="2:14" x14ac:dyDescent="0.15">
      <c r="B99" s="91" t="s">
        <v>1337</v>
      </c>
      <c r="C99" s="744">
        <f>'Tab. 22'!C25</f>
        <v>122491.66666666667</v>
      </c>
      <c r="D99" s="744">
        <f>'Tab. 22'!D25</f>
        <v>122491.66666666667</v>
      </c>
      <c r="E99" s="744">
        <f>'Tab. 22'!E25</f>
        <v>122491.66666666667</v>
      </c>
      <c r="F99" s="744">
        <f>'Tab. 22'!F25</f>
        <v>122491.66666666667</v>
      </c>
      <c r="G99" s="744">
        <f>'Tab. 22'!G25</f>
        <v>122491.66666666667</v>
      </c>
      <c r="H99" s="744">
        <f>'Tab. 22'!H25</f>
        <v>122491.66666666667</v>
      </c>
      <c r="I99" s="744">
        <f>'Tab. 22'!I25</f>
        <v>122491.66666666667</v>
      </c>
      <c r="J99" s="744">
        <f>'Tab. 22'!J25</f>
        <v>122491.66666666667</v>
      </c>
      <c r="K99" s="744">
        <f>'Tab. 22'!K25</f>
        <v>122491.66666666667</v>
      </c>
      <c r="L99" s="744">
        <f>'Tab. 22'!L25</f>
        <v>122491.66666666667</v>
      </c>
      <c r="M99" s="744">
        <f>'Tab. 22'!M25</f>
        <v>122491.66666666667</v>
      </c>
      <c r="N99" s="744">
        <f>'Tab. 22'!N25</f>
        <v>122491.66666666667</v>
      </c>
    </row>
    <row r="100" spans="2:14" x14ac:dyDescent="0.15">
      <c r="B100" s="91" t="s">
        <v>1338</v>
      </c>
      <c r="C100" s="744"/>
      <c r="D100" s="744"/>
      <c r="E100" s="744"/>
      <c r="F100" s="744"/>
      <c r="G100" s="744"/>
      <c r="H100" s="744"/>
      <c r="I100" s="744"/>
      <c r="J100" s="744"/>
      <c r="K100" s="744"/>
      <c r="L100" s="744"/>
      <c r="M100" s="744"/>
      <c r="N100" s="744"/>
    </row>
    <row r="101" spans="2:14" x14ac:dyDescent="0.15">
      <c r="C101" s="744">
        <f>SUM(C97:C100)</f>
        <v>224470.83333333334</v>
      </c>
      <c r="D101" s="744">
        <f t="shared" ref="D101:N101" si="31">SUM(D97:D100)</f>
        <v>224470.83333333334</v>
      </c>
      <c r="E101" s="744">
        <f t="shared" si="31"/>
        <v>224470.83333333334</v>
      </c>
      <c r="F101" s="744">
        <f t="shared" si="31"/>
        <v>224470.83333333334</v>
      </c>
      <c r="G101" s="744">
        <f t="shared" si="31"/>
        <v>224470.83333333334</v>
      </c>
      <c r="H101" s="744">
        <f t="shared" si="31"/>
        <v>224470.83333333334</v>
      </c>
      <c r="I101" s="744">
        <f t="shared" si="31"/>
        <v>224470.83333333334</v>
      </c>
      <c r="J101" s="744">
        <f t="shared" si="31"/>
        <v>224470.83333333334</v>
      </c>
      <c r="K101" s="744">
        <f t="shared" si="31"/>
        <v>224470.83333333334</v>
      </c>
      <c r="L101" s="744">
        <f t="shared" si="31"/>
        <v>224470.83333333334</v>
      </c>
      <c r="M101" s="744">
        <f t="shared" si="31"/>
        <v>224470.83333333334</v>
      </c>
      <c r="N101" s="744">
        <f t="shared" si="31"/>
        <v>224470.83333333334</v>
      </c>
    </row>
    <row r="102" spans="2:14" x14ac:dyDescent="0.15">
      <c r="C102" s="744"/>
      <c r="D102" s="744"/>
      <c r="E102" s="744"/>
      <c r="F102" s="744"/>
      <c r="G102" s="744"/>
      <c r="H102" s="744"/>
      <c r="I102" s="744"/>
      <c r="J102" s="744"/>
      <c r="K102" s="744"/>
      <c r="L102" s="744"/>
      <c r="M102" s="744"/>
      <c r="N102" s="744"/>
    </row>
    <row r="103" spans="2:14" x14ac:dyDescent="0.15">
      <c r="B103" s="91" t="s">
        <v>1339</v>
      </c>
      <c r="C103" s="744"/>
      <c r="D103" s="744"/>
      <c r="E103" s="744"/>
      <c r="F103" s="744"/>
      <c r="G103" s="744"/>
      <c r="H103" s="744"/>
      <c r="I103" s="744"/>
      <c r="J103" s="744"/>
      <c r="K103" s="744"/>
      <c r="L103" s="744"/>
      <c r="M103" s="744"/>
      <c r="N103" s="744"/>
    </row>
    <row r="104" spans="2:14" x14ac:dyDescent="0.15">
      <c r="B104" s="91" t="s">
        <v>1340</v>
      </c>
      <c r="C104" s="744"/>
      <c r="D104" s="744"/>
      <c r="E104" s="744"/>
      <c r="F104" s="744"/>
      <c r="G104" s="744"/>
      <c r="H104" s="744"/>
      <c r="I104" s="744"/>
      <c r="J104" s="744"/>
      <c r="K104" s="744"/>
      <c r="L104" s="744"/>
      <c r="M104" s="744"/>
      <c r="N104" s="744"/>
    </row>
    <row r="105" spans="2:14" x14ac:dyDescent="0.15">
      <c r="B105" s="91" t="s">
        <v>1341</v>
      </c>
      <c r="C105" s="744"/>
      <c r="D105" s="744"/>
      <c r="E105" s="744"/>
      <c r="F105" s="744"/>
      <c r="G105" s="744"/>
      <c r="H105" s="744"/>
      <c r="I105" s="744"/>
      <c r="J105" s="744"/>
      <c r="K105" s="744"/>
      <c r="L105" s="744"/>
      <c r="M105" s="744"/>
      <c r="N105" s="744"/>
    </row>
    <row r="106" spans="2:14" x14ac:dyDescent="0.15">
      <c r="C106" s="744"/>
      <c r="D106" s="744"/>
      <c r="E106" s="744"/>
      <c r="F106" s="744"/>
      <c r="G106" s="744"/>
      <c r="H106" s="744"/>
      <c r="I106" s="744"/>
      <c r="J106" s="744"/>
      <c r="K106" s="744"/>
      <c r="L106" s="744"/>
      <c r="M106" s="744"/>
      <c r="N106" s="744"/>
    </row>
    <row r="107" spans="2:14" x14ac:dyDescent="0.15">
      <c r="C107" s="744"/>
      <c r="D107" s="744"/>
      <c r="E107" s="744"/>
      <c r="F107" s="744"/>
      <c r="G107" s="744"/>
      <c r="H107" s="744"/>
      <c r="I107" s="744"/>
      <c r="J107" s="744"/>
      <c r="K107" s="744"/>
      <c r="L107" s="744"/>
      <c r="M107" s="744"/>
      <c r="N107" s="744"/>
    </row>
    <row r="108" spans="2:14" x14ac:dyDescent="0.15">
      <c r="C108" s="744"/>
      <c r="D108" s="744"/>
      <c r="E108" s="744"/>
      <c r="F108" s="744"/>
      <c r="G108" s="744"/>
      <c r="H108" s="744"/>
      <c r="I108" s="744"/>
      <c r="J108" s="744"/>
      <c r="K108" s="744"/>
      <c r="L108" s="744"/>
      <c r="M108" s="744"/>
      <c r="N108" s="744"/>
    </row>
    <row r="109" spans="2:14" x14ac:dyDescent="0.15">
      <c r="B109" s="956" t="s">
        <v>700</v>
      </c>
      <c r="C109" s="958">
        <f>+C97+C103</f>
        <v>101979.16666666667</v>
      </c>
      <c r="D109" s="958">
        <f t="shared" ref="D109:N109" si="32">+D97+D103</f>
        <v>101979.16666666667</v>
      </c>
      <c r="E109" s="958">
        <f t="shared" si="32"/>
        <v>101979.16666666667</v>
      </c>
      <c r="F109" s="958">
        <f t="shared" si="32"/>
        <v>101979.16666666667</v>
      </c>
      <c r="G109" s="958">
        <f t="shared" si="32"/>
        <v>101979.16666666667</v>
      </c>
      <c r="H109" s="958">
        <f t="shared" si="32"/>
        <v>101979.16666666667</v>
      </c>
      <c r="I109" s="958">
        <f t="shared" si="32"/>
        <v>101979.16666666667</v>
      </c>
      <c r="J109" s="958">
        <f t="shared" si="32"/>
        <v>101979.16666666667</v>
      </c>
      <c r="K109" s="958">
        <f t="shared" si="32"/>
        <v>101979.16666666667</v>
      </c>
      <c r="L109" s="958">
        <f t="shared" si="32"/>
        <v>101979.16666666667</v>
      </c>
      <c r="M109" s="958">
        <f t="shared" si="32"/>
        <v>101979.16666666667</v>
      </c>
      <c r="N109" s="958">
        <f t="shared" si="32"/>
        <v>101979.16666666667</v>
      </c>
    </row>
    <row r="110" spans="2:14" x14ac:dyDescent="0.15">
      <c r="B110" s="956" t="s">
        <v>1036</v>
      </c>
      <c r="C110" s="958">
        <f t="shared" ref="C110:N111" si="33">+C98+C104</f>
        <v>0</v>
      </c>
      <c r="D110" s="958">
        <f t="shared" si="33"/>
        <v>0</v>
      </c>
      <c r="E110" s="958">
        <f t="shared" si="33"/>
        <v>0</v>
      </c>
      <c r="F110" s="958">
        <f t="shared" si="33"/>
        <v>0</v>
      </c>
      <c r="G110" s="958">
        <f t="shared" si="33"/>
        <v>0</v>
      </c>
      <c r="H110" s="958">
        <f t="shared" si="33"/>
        <v>0</v>
      </c>
      <c r="I110" s="958">
        <f t="shared" si="33"/>
        <v>0</v>
      </c>
      <c r="J110" s="958">
        <f t="shared" si="33"/>
        <v>0</v>
      </c>
      <c r="K110" s="958">
        <f t="shared" si="33"/>
        <v>0</v>
      </c>
      <c r="L110" s="958">
        <f t="shared" si="33"/>
        <v>0</v>
      </c>
      <c r="M110" s="958">
        <f t="shared" si="33"/>
        <v>0</v>
      </c>
      <c r="N110" s="958">
        <f t="shared" si="33"/>
        <v>0</v>
      </c>
    </row>
    <row r="111" spans="2:14" x14ac:dyDescent="0.15">
      <c r="B111" s="956" t="s">
        <v>1337</v>
      </c>
      <c r="C111" s="958">
        <f t="shared" si="33"/>
        <v>122491.66666666667</v>
      </c>
      <c r="D111" s="958">
        <f t="shared" si="33"/>
        <v>122491.66666666667</v>
      </c>
      <c r="E111" s="958">
        <f t="shared" si="33"/>
        <v>122491.66666666667</v>
      </c>
      <c r="F111" s="958">
        <f t="shared" si="33"/>
        <v>122491.66666666667</v>
      </c>
      <c r="G111" s="958">
        <f t="shared" si="33"/>
        <v>122491.66666666667</v>
      </c>
      <c r="H111" s="958">
        <f t="shared" si="33"/>
        <v>122491.66666666667</v>
      </c>
      <c r="I111" s="958">
        <f t="shared" si="33"/>
        <v>122491.66666666667</v>
      </c>
      <c r="J111" s="958">
        <f t="shared" si="33"/>
        <v>122491.66666666667</v>
      </c>
      <c r="K111" s="958">
        <f t="shared" si="33"/>
        <v>122491.66666666667</v>
      </c>
      <c r="L111" s="958">
        <f t="shared" si="33"/>
        <v>122491.66666666667</v>
      </c>
      <c r="M111" s="958">
        <f t="shared" si="33"/>
        <v>122491.66666666667</v>
      </c>
      <c r="N111" s="958">
        <f t="shared" si="33"/>
        <v>122491.66666666667</v>
      </c>
    </row>
    <row r="112" spans="2:14" x14ac:dyDescent="0.15">
      <c r="C112" s="958">
        <f>SUM(C109:C111)</f>
        <v>224470.83333333334</v>
      </c>
      <c r="D112" s="958">
        <f t="shared" ref="D112:N112" si="34">SUM(D109:D111)</f>
        <v>224470.83333333334</v>
      </c>
      <c r="E112" s="958">
        <f t="shared" si="34"/>
        <v>224470.83333333334</v>
      </c>
      <c r="F112" s="958">
        <f t="shared" si="34"/>
        <v>224470.83333333334</v>
      </c>
      <c r="G112" s="958">
        <f t="shared" si="34"/>
        <v>224470.83333333334</v>
      </c>
      <c r="H112" s="958">
        <f t="shared" si="34"/>
        <v>224470.83333333334</v>
      </c>
      <c r="I112" s="958">
        <f t="shared" si="34"/>
        <v>224470.83333333334</v>
      </c>
      <c r="J112" s="958">
        <f t="shared" si="34"/>
        <v>224470.83333333334</v>
      </c>
      <c r="K112" s="958">
        <f t="shared" si="34"/>
        <v>224470.83333333334</v>
      </c>
      <c r="L112" s="958">
        <f t="shared" si="34"/>
        <v>224470.83333333334</v>
      </c>
      <c r="M112" s="958">
        <f t="shared" si="34"/>
        <v>224470.83333333334</v>
      </c>
      <c r="N112" s="958">
        <f t="shared" si="34"/>
        <v>224470.83333333334</v>
      </c>
    </row>
    <row r="113" spans="2:15" x14ac:dyDescent="0.15">
      <c r="C113" s="744">
        <f>+C112-C50</f>
        <v>8688.8079222720989</v>
      </c>
      <c r="D113" s="744">
        <f t="shared" ref="D113:N113" si="35">+D112-D50</f>
        <v>-2286.5284005978901</v>
      </c>
      <c r="E113" s="744">
        <f t="shared" si="35"/>
        <v>-18749.532884902816</v>
      </c>
      <c r="F113" s="744">
        <f t="shared" si="35"/>
        <v>-7774.1965620328556</v>
      </c>
      <c r="G113" s="744">
        <f t="shared" si="35"/>
        <v>-7774.1965620328556</v>
      </c>
      <c r="H113" s="744">
        <f t="shared" si="35"/>
        <v>-13261.864723467821</v>
      </c>
      <c r="I113" s="744">
        <f t="shared" si="35"/>
        <v>-13261.864723467821</v>
      </c>
      <c r="J113" s="744">
        <f t="shared" si="35"/>
        <v>41614.81689088195</v>
      </c>
      <c r="K113" s="744">
        <f t="shared" si="35"/>
        <v>-13261.864723467821</v>
      </c>
      <c r="L113" s="744">
        <f t="shared" si="35"/>
        <v>-7774.1965620328556</v>
      </c>
      <c r="M113" s="744">
        <f t="shared" si="35"/>
        <v>-7774.1965620328556</v>
      </c>
      <c r="N113" s="744">
        <f t="shared" si="35"/>
        <v>41614.81689088195</v>
      </c>
    </row>
    <row r="114" spans="2:15" x14ac:dyDescent="0.15">
      <c r="C114" s="958"/>
    </row>
    <row r="115" spans="2:15" x14ac:dyDescent="0.15">
      <c r="B115" s="91" t="s">
        <v>1345</v>
      </c>
      <c r="C115" s="958">
        <f>C15+C73+C91+C109</f>
        <v>6882705.1694946392</v>
      </c>
      <c r="D115" s="958">
        <f t="shared" ref="D115:N115" si="36">D15+D73+D91+D109</f>
        <v>7700627.3775046719</v>
      </c>
      <c r="E115" s="958">
        <f t="shared" si="36"/>
        <v>8568343.7608277276</v>
      </c>
      <c r="F115" s="958">
        <f t="shared" si="36"/>
        <v>7945439.0653593289</v>
      </c>
      <c r="G115" s="958">
        <f t="shared" si="36"/>
        <v>7676860.6963994959</v>
      </c>
      <c r="H115" s="958">
        <f t="shared" si="36"/>
        <v>8399970.1371919438</v>
      </c>
      <c r="I115" s="958">
        <f t="shared" si="36"/>
        <v>7439856.3946791012</v>
      </c>
      <c r="J115" s="958">
        <f t="shared" si="36"/>
        <v>4661680.6285935687</v>
      </c>
      <c r="K115" s="958">
        <f t="shared" si="36"/>
        <v>7683801.5594535368</v>
      </c>
      <c r="L115" s="958">
        <f t="shared" si="36"/>
        <v>7139484.0014610291</v>
      </c>
      <c r="M115" s="958">
        <f t="shared" si="36"/>
        <v>7066027.4438192593</v>
      </c>
      <c r="N115" s="958">
        <f t="shared" si="36"/>
        <v>4661680.6285935687</v>
      </c>
    </row>
    <row r="116" spans="2:15" x14ac:dyDescent="0.15">
      <c r="C116" s="960">
        <f>+C115-C19-C25-C26</f>
        <v>14991.124813154207</v>
      </c>
      <c r="D116" s="960">
        <f t="shared" ref="D116:N116" si="37">+D115-D19-D25-D26</f>
        <v>-8257.9406549062187</v>
      </c>
      <c r="E116" s="960">
        <f t="shared" si="37"/>
        <v>-32349.269333648153</v>
      </c>
      <c r="F116" s="960">
        <f t="shared" si="37"/>
        <v>-13413.111674926426</v>
      </c>
      <c r="G116" s="960">
        <f t="shared" si="37"/>
        <v>-13413.111674927128</v>
      </c>
      <c r="H116" s="960">
        <f t="shared" si="37"/>
        <v>-22881.190504288235</v>
      </c>
      <c r="I116" s="960">
        <f t="shared" si="37"/>
        <v>-22881.190504287057</v>
      </c>
      <c r="J116" s="960">
        <f t="shared" si="37"/>
        <v>71799.597789316118</v>
      </c>
      <c r="K116" s="960">
        <f t="shared" si="37"/>
        <v>-22881.190504287366</v>
      </c>
      <c r="L116" s="960">
        <f t="shared" si="37"/>
        <v>-13413.111674926364</v>
      </c>
      <c r="M116" s="960">
        <f t="shared" si="37"/>
        <v>-13413.111674926593</v>
      </c>
      <c r="N116" s="960">
        <f t="shared" si="37"/>
        <v>71799.597789316118</v>
      </c>
    </row>
    <row r="117" spans="2:15" x14ac:dyDescent="0.15">
      <c r="C117" s="958"/>
      <c r="D117" s="958"/>
      <c r="E117" s="958"/>
      <c r="F117" s="958"/>
      <c r="G117" s="958"/>
      <c r="H117" s="958"/>
      <c r="I117" s="958"/>
      <c r="J117" s="958"/>
      <c r="K117" s="958"/>
      <c r="L117" s="958"/>
      <c r="M117" s="958"/>
      <c r="N117" s="958"/>
    </row>
    <row r="118" spans="2:15" x14ac:dyDescent="0.15">
      <c r="B118" s="91" t="s">
        <v>1344</v>
      </c>
      <c r="C118" s="958">
        <f>C74+C92+C110</f>
        <v>4036854.3726830254</v>
      </c>
      <c r="D118" s="958">
        <f t="shared" ref="D118:N118" si="38">D74+D92+D110</f>
        <v>4199573.0066848425</v>
      </c>
      <c r="E118" s="958">
        <f t="shared" si="38"/>
        <v>4443635.9576875698</v>
      </c>
      <c r="F118" s="958">
        <f t="shared" si="38"/>
        <v>4280927.3236857513</v>
      </c>
      <c r="G118" s="958">
        <f t="shared" si="38"/>
        <v>4280927.3236857513</v>
      </c>
      <c r="H118" s="958">
        <f t="shared" si="38"/>
        <v>4362281.6406866601</v>
      </c>
      <c r="I118" s="958">
        <f t="shared" si="38"/>
        <v>4362281.6406866601</v>
      </c>
      <c r="J118" s="958">
        <f t="shared" si="38"/>
        <v>3548728.4706775723</v>
      </c>
      <c r="K118" s="958">
        <f t="shared" si="38"/>
        <v>4362281.6406866601</v>
      </c>
      <c r="L118" s="958">
        <f t="shared" si="38"/>
        <v>4280927.3236857513</v>
      </c>
      <c r="M118" s="958">
        <f t="shared" si="38"/>
        <v>4280927.3236857513</v>
      </c>
      <c r="N118" s="958">
        <f t="shared" si="38"/>
        <v>3548728.4706775723</v>
      </c>
    </row>
    <row r="119" spans="2:15" x14ac:dyDescent="0.15">
      <c r="C119" s="960">
        <f>+C118-C30</f>
        <v>0</v>
      </c>
      <c r="D119" s="960">
        <f t="shared" ref="D119:N119" si="39">+D118-D30</f>
        <v>0</v>
      </c>
      <c r="E119" s="960">
        <f t="shared" si="39"/>
        <v>0</v>
      </c>
      <c r="F119" s="960">
        <f t="shared" si="39"/>
        <v>0</v>
      </c>
      <c r="G119" s="960">
        <f t="shared" si="39"/>
        <v>0</v>
      </c>
      <c r="H119" s="960">
        <f t="shared" si="39"/>
        <v>0</v>
      </c>
      <c r="I119" s="960">
        <f t="shared" si="39"/>
        <v>0</v>
      </c>
      <c r="J119" s="960">
        <f t="shared" si="39"/>
        <v>0</v>
      </c>
      <c r="K119" s="960">
        <f t="shared" si="39"/>
        <v>0</v>
      </c>
      <c r="L119" s="960">
        <f t="shared" si="39"/>
        <v>0</v>
      </c>
      <c r="M119" s="960">
        <f t="shared" si="39"/>
        <v>0</v>
      </c>
      <c r="N119" s="960">
        <f t="shared" si="39"/>
        <v>0</v>
      </c>
    </row>
    <row r="120" spans="2:15" x14ac:dyDescent="0.15">
      <c r="C120" s="958"/>
      <c r="D120" s="958"/>
      <c r="E120" s="958"/>
      <c r="F120" s="958"/>
      <c r="G120" s="958"/>
      <c r="H120" s="958"/>
      <c r="I120" s="958"/>
      <c r="J120" s="958"/>
      <c r="K120" s="958"/>
      <c r="L120" s="958"/>
      <c r="M120" s="958"/>
      <c r="N120" s="958"/>
    </row>
    <row r="121" spans="2:15" x14ac:dyDescent="0.15">
      <c r="B121" s="91" t="s">
        <v>1052</v>
      </c>
      <c r="C121" s="958">
        <f>C75+C93+C111</f>
        <v>289941.38720443845</v>
      </c>
      <c r="D121" s="958">
        <f t="shared" ref="D121:N121" si="40">D75+D93+D111</f>
        <v>293881.46336555539</v>
      </c>
      <c r="E121" s="958">
        <f t="shared" si="40"/>
        <v>302764.00770967366</v>
      </c>
      <c r="F121" s="958">
        <f t="shared" si="40"/>
        <v>298565.45936573559</v>
      </c>
      <c r="G121" s="958">
        <f t="shared" si="40"/>
        <v>298565.45936573559</v>
      </c>
      <c r="H121" s="958">
        <f t="shared" si="40"/>
        <v>300664.73353770468</v>
      </c>
      <c r="I121" s="958">
        <f t="shared" si="40"/>
        <v>300664.73353770468</v>
      </c>
      <c r="J121" s="958">
        <f t="shared" si="40"/>
        <v>279671.99181801436</v>
      </c>
      <c r="K121" s="958">
        <f t="shared" si="40"/>
        <v>300664.73353770468</v>
      </c>
      <c r="L121" s="958">
        <f t="shared" si="40"/>
        <v>298565.45936573559</v>
      </c>
      <c r="M121" s="958">
        <f t="shared" si="40"/>
        <v>298565.45936573559</v>
      </c>
      <c r="N121" s="958">
        <f t="shared" si="40"/>
        <v>279671.99181801436</v>
      </c>
    </row>
    <row r="122" spans="2:15" x14ac:dyDescent="0.15">
      <c r="C122" s="960">
        <f>+C121-C31</f>
        <v>0</v>
      </c>
      <c r="D122" s="960">
        <f t="shared" ref="D122:N122" si="41">+D121-D31</f>
        <v>0</v>
      </c>
      <c r="E122" s="960">
        <f t="shared" si="41"/>
        <v>0</v>
      </c>
      <c r="F122" s="960">
        <f t="shared" si="41"/>
        <v>0</v>
      </c>
      <c r="G122" s="960">
        <f t="shared" si="41"/>
        <v>0</v>
      </c>
      <c r="H122" s="960">
        <f t="shared" si="41"/>
        <v>0</v>
      </c>
      <c r="I122" s="960">
        <f t="shared" si="41"/>
        <v>0</v>
      </c>
      <c r="J122" s="960">
        <f t="shared" si="41"/>
        <v>0</v>
      </c>
      <c r="K122" s="960">
        <f t="shared" si="41"/>
        <v>0</v>
      </c>
      <c r="L122" s="960">
        <f t="shared" si="41"/>
        <v>0</v>
      </c>
      <c r="M122" s="960">
        <f t="shared" si="41"/>
        <v>0</v>
      </c>
      <c r="N122" s="960">
        <f t="shared" si="41"/>
        <v>0</v>
      </c>
    </row>
    <row r="123" spans="2:15" x14ac:dyDescent="0.15">
      <c r="C123" s="958"/>
    </row>
    <row r="124" spans="2:15" x14ac:dyDescent="0.15">
      <c r="B124" s="91" t="s">
        <v>105</v>
      </c>
      <c r="C124" s="744">
        <f>C33</f>
        <v>-28747.199152445886</v>
      </c>
      <c r="D124" s="744">
        <f t="shared" ref="D124:G124" si="42">D33</f>
        <v>280443.60356538126</v>
      </c>
      <c r="E124" s="744">
        <f t="shared" si="42"/>
        <v>732357.43589647487</v>
      </c>
      <c r="F124" s="744">
        <f t="shared" si="42"/>
        <v>429935.23966712237</v>
      </c>
      <c r="G124" s="744">
        <f t="shared" si="42"/>
        <v>413613.88574145373</v>
      </c>
      <c r="H124" s="744">
        <f t="shared" ref="H124:L124" si="43">H33</f>
        <v>589702.48543606885</v>
      </c>
      <c r="I124" s="744">
        <f t="shared" si="43"/>
        <v>536487.06803118158</v>
      </c>
      <c r="J124" s="744">
        <f t="shared" si="43"/>
        <v>-958917.7547416517</v>
      </c>
      <c r="K124" s="744">
        <f t="shared" si="43"/>
        <v>548719.73018210009</v>
      </c>
      <c r="L124" s="744">
        <f t="shared" si="43"/>
        <v>386273.02386074432</v>
      </c>
      <c r="M124" s="744">
        <f>M33</f>
        <v>381624.04401340999</v>
      </c>
      <c r="N124" s="744">
        <f>N33</f>
        <v>-958917.7547416517</v>
      </c>
      <c r="O124" s="748">
        <f>SUM(C124:N124)</f>
        <v>2352573.8077581869</v>
      </c>
    </row>
    <row r="125" spans="2:15" x14ac:dyDescent="0.15">
      <c r="B125" s="743" t="s">
        <v>1312</v>
      </c>
      <c r="C125" s="744">
        <f>'All. 7'!$I$36/12</f>
        <v>224470.83333333334</v>
      </c>
      <c r="D125" s="744">
        <f>'All. 7'!$I$36/12</f>
        <v>224470.83333333334</v>
      </c>
      <c r="E125" s="744">
        <f>'All. 7'!$I$36/12</f>
        <v>224470.83333333334</v>
      </c>
      <c r="F125" s="744">
        <f>'All. 7'!$I$36/12</f>
        <v>224470.83333333334</v>
      </c>
      <c r="G125" s="744">
        <f>'All. 7'!$I$36/12</f>
        <v>224470.83333333334</v>
      </c>
      <c r="H125" s="744">
        <f>'All. 7'!$I$36/12</f>
        <v>224470.83333333334</v>
      </c>
      <c r="I125" s="744">
        <f>'All. 7'!$I$36/12</f>
        <v>224470.83333333334</v>
      </c>
      <c r="J125" s="744">
        <f>'All. 7'!$I$36/12</f>
        <v>224470.83333333334</v>
      </c>
      <c r="K125" s="744">
        <f>'All. 7'!$I$36/12</f>
        <v>224470.83333333334</v>
      </c>
      <c r="L125" s="744">
        <f>'All. 7'!$I$36/12</f>
        <v>224470.83333333334</v>
      </c>
      <c r="M125" s="744">
        <f>'All. 7'!$I$36/12</f>
        <v>224470.83333333334</v>
      </c>
      <c r="N125" s="744">
        <f>'All. 7'!$I$36/12</f>
        <v>224470.83333333334</v>
      </c>
    </row>
    <row r="126" spans="2:15" x14ac:dyDescent="0.15">
      <c r="B126" s="200" t="s">
        <v>1313</v>
      </c>
      <c r="C126" s="746">
        <f>C124+C125</f>
        <v>195723.63418088746</v>
      </c>
      <c r="D126" s="746">
        <f t="shared" ref="D126:G126" si="44">D124+D125</f>
        <v>504914.43689871463</v>
      </c>
      <c r="E126" s="746">
        <f t="shared" si="44"/>
        <v>956828.26922980824</v>
      </c>
      <c r="F126" s="746">
        <f t="shared" si="44"/>
        <v>654406.07300045574</v>
      </c>
      <c r="G126" s="746">
        <f t="shared" si="44"/>
        <v>638084.71907478711</v>
      </c>
      <c r="H126" s="746">
        <f t="shared" ref="H126" si="45">H124+H125</f>
        <v>814173.31876940222</v>
      </c>
      <c r="I126" s="746">
        <f t="shared" ref="I126" si="46">I124+I125</f>
        <v>760957.90136451495</v>
      </c>
      <c r="J126" s="746">
        <f t="shared" ref="J126:K126" si="47">J124+J125</f>
        <v>-734446.92140831833</v>
      </c>
      <c r="K126" s="746">
        <f t="shared" si="47"/>
        <v>773190.56351543346</v>
      </c>
      <c r="L126" s="746">
        <f t="shared" ref="L126" si="48">L124+L125</f>
        <v>610743.85719407769</v>
      </c>
      <c r="M126" s="746">
        <f>M124+M125</f>
        <v>606094.87734674336</v>
      </c>
      <c r="N126" s="746">
        <f t="shared" ref="N126" si="49">N124+N125</f>
        <v>-734446.92140831833</v>
      </c>
    </row>
    <row r="127" spans="2:15" x14ac:dyDescent="0.15">
      <c r="B127" s="743" t="s">
        <v>1315</v>
      </c>
      <c r="C127" s="744">
        <f>-('BUDGET PATRIMONIALE'!D21-'BUDGET PATRIMONIALE'!C21)</f>
        <v>-8869539.0523800813</v>
      </c>
      <c r="D127" s="744">
        <f>-('BUDGET PATRIMONIALE'!E21-'BUDGET PATRIMONIALE'!D21)</f>
        <v>2440324.7767715789</v>
      </c>
      <c r="E127" s="744">
        <f>-('BUDGET PATRIMONIALE'!F21-'BUDGET PATRIMONIALE'!E21)</f>
        <v>-1691306.0955160409</v>
      </c>
      <c r="F127" s="744">
        <f>-('BUDGET PATRIMONIALE'!G21-'BUDGET PATRIMONIALE'!F21)</f>
        <v>-6000351.7807778716</v>
      </c>
      <c r="G127" s="744">
        <f>-('BUDGET PATRIMONIALE'!H21-'BUDGET PATRIMONIALE'!G21)</f>
        <v>2462207.4484246299</v>
      </c>
      <c r="H127" s="744">
        <f>-('BUDGET PATRIMONIALE'!I21-'BUDGET PATRIMONIALE'!H21)</f>
        <v>2155234.9927979931</v>
      </c>
      <c r="I127" s="744">
        <f>-('BUDGET PATRIMONIALE'!J21-'BUDGET PATRIMONIALE'!I21)</f>
        <v>-6060496.2522340268</v>
      </c>
      <c r="J127" s="744">
        <f>-('BUDGET PATRIMONIALE'!K21-'BUDGET PATRIMONIALE'!J21)</f>
        <v>10266656.653319418</v>
      </c>
      <c r="K127" s="744">
        <f>-('BUDGET PATRIMONIALE'!L21-'BUDGET PATRIMONIALE'!K21)</f>
        <v>-1378527.9879295975</v>
      </c>
      <c r="L127" s="744">
        <f>-('BUDGET PATRIMONIALE'!M21-'BUDGET PATRIMONIALE'!L21)</f>
        <v>-5050783.0688457862</v>
      </c>
      <c r="M127" s="744">
        <f>-('BUDGET PATRIMONIALE'!N21-'BUDGET PATRIMONIALE'!M21)</f>
        <v>883741.73062294722</v>
      </c>
      <c r="N127" s="744">
        <f>-('BUDGET PATRIMONIALE'!O21-'BUDGET PATRIMONIALE'!N21)</f>
        <v>9624671.5375996344</v>
      </c>
    </row>
    <row r="128" spans="2:15" x14ac:dyDescent="0.15">
      <c r="B128" s="743" t="s">
        <v>1316</v>
      </c>
      <c r="C128" s="744">
        <f>-('BUDGET PATRIMONIALE'!D29-'BUDGET PATRIMONIALE'!C29)</f>
        <v>-172331.69904774427</v>
      </c>
      <c r="D128" s="744">
        <f>-('BUDGET PATRIMONIALE'!E29-'BUDGET PATRIMONIALE'!D29)</f>
        <v>-309759.89864967763</v>
      </c>
      <c r="E128" s="744">
        <f>-('BUDGET PATRIMONIALE'!F29-'BUDGET PATRIMONIALE'!E29)</f>
        <v>-12108.589604027569</v>
      </c>
      <c r="F128" s="744">
        <f>-('BUDGET PATRIMONIALE'!G29-'BUDGET PATRIMONIALE'!F29)</f>
        <v>-109384.2412644662</v>
      </c>
      <c r="G128" s="744">
        <f>-('BUDGET PATRIMONIALE'!H29-'BUDGET PATRIMONIALE'!G29)</f>
        <v>46777.798811428249</v>
      </c>
      <c r="H128" s="744">
        <f>-('BUDGET PATRIMONIALE'!I29-'BUDGET PATRIMONIALE'!H29)</f>
        <v>-177111.90566277876</v>
      </c>
      <c r="I128" s="744">
        <f>-('BUDGET PATRIMONIALE'!J29-'BUDGET PATRIMONIALE'!I29)</f>
        <v>814043.09659538046</v>
      </c>
      <c r="J128" s="744">
        <f>-('BUDGET PATRIMONIALE'!K29-'BUDGET PATRIMONIALE'!J29)</f>
        <v>-134351.82522951439</v>
      </c>
      <c r="K128" s="744">
        <f>-('BUDGET PATRIMONIALE'!L29-'BUDGET PATRIMONIALE'!K29)</f>
        <v>453911.04001191258</v>
      </c>
      <c r="L128" s="744">
        <f>-('BUDGET PATRIMONIALE'!M29-'BUDGET PATRIMONIALE'!L29)</f>
        <v>750687.49584336579</v>
      </c>
      <c r="M128" s="744">
        <f>-('BUDGET PATRIMONIALE'!N29-'BUDGET PATRIMONIALE'!M29)</f>
        <v>808374.27992821857</v>
      </c>
      <c r="N128" s="744">
        <f>-('BUDGET PATRIMONIALE'!O29-'BUDGET PATRIMONIALE'!N29)</f>
        <v>-188234.69448423758</v>
      </c>
    </row>
    <row r="129" spans="2:14" x14ac:dyDescent="0.15">
      <c r="B129" s="743" t="s">
        <v>1317</v>
      </c>
      <c r="C129" s="744">
        <f>'BUDGET PATRIMONIALE'!D47-'BUDGET PATRIMONIALE'!C47</f>
        <v>9263046.0724232011</v>
      </c>
      <c r="D129" s="744">
        <f>'BUDGET PATRIMONIALE'!E47-'BUDGET PATRIMONIALE'!D47</f>
        <v>1383208.1962703317</v>
      </c>
      <c r="E129" s="744">
        <f>'BUDGET PATRIMONIALE'!F47-'BUDGET PATRIMONIALE'!E47</f>
        <v>-6267894.1641526185</v>
      </c>
      <c r="F129" s="744">
        <f>'BUDGET PATRIMONIALE'!G47-'BUDGET PATRIMONIALE'!F47</f>
        <v>10345002.919552457</v>
      </c>
      <c r="G129" s="744">
        <f>'BUDGET PATRIMONIALE'!H47-'BUDGET PATRIMONIALE'!G47</f>
        <v>264479.76751518995</v>
      </c>
      <c r="H129" s="744">
        <f>'BUDGET PATRIMONIALE'!I47-'BUDGET PATRIMONIALE'!H47</f>
        <v>-8778863.6482462958</v>
      </c>
      <c r="I129" s="744">
        <f>'BUDGET PATRIMONIALE'!J47-'BUDGET PATRIMONIALE'!I47</f>
        <v>7911942.9563465193</v>
      </c>
      <c r="J129" s="744">
        <f>'BUDGET PATRIMONIALE'!K47-'BUDGET PATRIMONIALE'!J47</f>
        <v>-4525717.1862205714</v>
      </c>
      <c r="K129" s="744">
        <f>'BUDGET PATRIMONIALE'!L47-'BUDGET PATRIMONIALE'!K47</f>
        <v>-8293034.6193977036</v>
      </c>
      <c r="L129" s="744">
        <f>'BUDGET PATRIMONIALE'!M47-'BUDGET PATRIMONIALE'!L47</f>
        <v>9187296.4189511426</v>
      </c>
      <c r="M129" s="744">
        <f>'BUDGET PATRIMONIALE'!N47-'BUDGET PATRIMONIALE'!M47</f>
        <v>1289429.0807266012</v>
      </c>
      <c r="N129" s="744">
        <f>'BUDGET PATRIMONIALE'!O47-'BUDGET PATRIMONIALE'!N47</f>
        <v>-12939027.256658725</v>
      </c>
    </row>
    <row r="130" spans="2:14" x14ac:dyDescent="0.15">
      <c r="B130" s="743"/>
      <c r="C130" s="744">
        <f>-C136</f>
        <v>6600</v>
      </c>
      <c r="D130" s="744">
        <f t="shared" ref="D130:N130" si="50">-D136</f>
        <v>0</v>
      </c>
      <c r="E130" s="744">
        <f t="shared" si="50"/>
        <v>0</v>
      </c>
      <c r="F130" s="744">
        <f t="shared" si="50"/>
        <v>0</v>
      </c>
      <c r="G130" s="744">
        <f t="shared" si="50"/>
        <v>0</v>
      </c>
      <c r="H130" s="744">
        <f t="shared" si="50"/>
        <v>0</v>
      </c>
      <c r="I130" s="744">
        <f t="shared" si="50"/>
        <v>0</v>
      </c>
      <c r="J130" s="744">
        <f t="shared" si="50"/>
        <v>0</v>
      </c>
      <c r="K130" s="744">
        <f t="shared" si="50"/>
        <v>0</v>
      </c>
      <c r="L130" s="744">
        <f t="shared" si="50"/>
        <v>0</v>
      </c>
      <c r="M130" s="744">
        <f t="shared" si="50"/>
        <v>0</v>
      </c>
      <c r="N130" s="744">
        <f t="shared" si="50"/>
        <v>0</v>
      </c>
    </row>
    <row r="131" spans="2:14" x14ac:dyDescent="0.15">
      <c r="B131" s="200" t="s">
        <v>1314</v>
      </c>
      <c r="C131" s="746">
        <f>SUM(C126:C130)</f>
        <v>423498.95517626218</v>
      </c>
      <c r="D131" s="746">
        <f t="shared" ref="D131:N131" si="51">SUM(D126:D130)</f>
        <v>4018687.5112909479</v>
      </c>
      <c r="E131" s="746">
        <f t="shared" si="51"/>
        <v>-7014480.5800428791</v>
      </c>
      <c r="F131" s="746">
        <f t="shared" si="51"/>
        <v>4889672.9705105741</v>
      </c>
      <c r="G131" s="746">
        <f t="shared" si="51"/>
        <v>3411549.7338260352</v>
      </c>
      <c r="H131" s="746">
        <f t="shared" si="51"/>
        <v>-5986567.2423416786</v>
      </c>
      <c r="I131" s="746">
        <f t="shared" si="51"/>
        <v>3426447.7020723876</v>
      </c>
      <c r="J131" s="746">
        <f t="shared" si="51"/>
        <v>4872140.7204610147</v>
      </c>
      <c r="K131" s="746">
        <f t="shared" si="51"/>
        <v>-8444461.0037999544</v>
      </c>
      <c r="L131" s="746">
        <f t="shared" si="51"/>
        <v>5497944.7031427994</v>
      </c>
      <c r="M131" s="746">
        <f t="shared" si="51"/>
        <v>3587639.9686245103</v>
      </c>
      <c r="N131" s="746">
        <f t="shared" si="51"/>
        <v>-4237037.3349516466</v>
      </c>
    </row>
    <row r="132" spans="2:14" hidden="1" x14ac:dyDescent="0.15">
      <c r="C132" s="744"/>
      <c r="D132" s="744"/>
      <c r="E132" s="744"/>
      <c r="F132" s="744"/>
      <c r="G132" s="744"/>
      <c r="H132" s="744"/>
      <c r="I132" s="744"/>
      <c r="J132" s="744"/>
      <c r="K132" s="744"/>
      <c r="L132" s="744"/>
      <c r="M132" s="744"/>
      <c r="N132" s="744"/>
    </row>
    <row r="133" spans="2:14" hidden="1" x14ac:dyDescent="0.15">
      <c r="B133" s="91" t="s">
        <v>1318</v>
      </c>
      <c r="C133" s="744">
        <f>-C125</f>
        <v>-224470.83333333334</v>
      </c>
      <c r="D133" s="744">
        <f t="shared" ref="D133:G133" si="52">-D125</f>
        <v>-224470.83333333334</v>
      </c>
      <c r="E133" s="744">
        <f t="shared" si="52"/>
        <v>-224470.83333333334</v>
      </c>
      <c r="F133" s="744">
        <f t="shared" si="52"/>
        <v>-224470.83333333334</v>
      </c>
      <c r="G133" s="744">
        <f t="shared" si="52"/>
        <v>-224470.83333333334</v>
      </c>
      <c r="H133" s="744">
        <f t="shared" ref="H133:L133" si="53">-H125</f>
        <v>-224470.83333333334</v>
      </c>
      <c r="I133" s="744">
        <f t="shared" si="53"/>
        <v>-224470.83333333334</v>
      </c>
      <c r="J133" s="744">
        <f t="shared" si="53"/>
        <v>-224470.83333333334</v>
      </c>
      <c r="K133" s="744">
        <f t="shared" si="53"/>
        <v>-224470.83333333334</v>
      </c>
      <c r="L133" s="744">
        <f t="shared" si="53"/>
        <v>-224470.83333333334</v>
      </c>
      <c r="M133" s="744">
        <f>-M125</f>
        <v>-224470.83333333334</v>
      </c>
      <c r="N133" s="744">
        <f>-N125</f>
        <v>-224470.83333333334</v>
      </c>
    </row>
    <row r="134" spans="2:14" hidden="1" x14ac:dyDescent="0.15">
      <c r="B134" s="743" t="s">
        <v>1319</v>
      </c>
      <c r="C134" s="744">
        <f>-('BUDGET PATRIMONIALE'!D7-'BUDGET PATRIMONIALE'!C7)</f>
        <v>185782.02541106194</v>
      </c>
      <c r="D134" s="744">
        <f>-('BUDGET PATRIMONIALE'!E7-'BUDGET PATRIMONIALE'!D7)</f>
        <v>226757.36173393205</v>
      </c>
      <c r="E134" s="744">
        <f>-('BUDGET PATRIMONIALE'!F7-'BUDGET PATRIMONIALE'!E7)</f>
        <v>243220.36621823534</v>
      </c>
      <c r="F134" s="744">
        <f>-('BUDGET PATRIMONIALE'!G7-'BUDGET PATRIMONIALE'!F7)</f>
        <v>232245.02989536524</v>
      </c>
      <c r="G134" s="744">
        <f>-('BUDGET PATRIMONIALE'!H7-'BUDGET PATRIMONIALE'!G7)</f>
        <v>232245.0298953671</v>
      </c>
      <c r="H134" s="744">
        <f>-('BUDGET PATRIMONIALE'!I7-'BUDGET PATRIMONIALE'!H7)</f>
        <v>237732.69805680029</v>
      </c>
      <c r="I134" s="744">
        <f>-('BUDGET PATRIMONIALE'!J7-'BUDGET PATRIMONIALE'!I7)</f>
        <v>237732.69805680215</v>
      </c>
      <c r="J134" s="744">
        <f>-('BUDGET PATRIMONIALE'!K7-'BUDGET PATRIMONIALE'!J7)</f>
        <v>182856.01644245163</v>
      </c>
      <c r="K134" s="744">
        <f>-('BUDGET PATRIMONIALE'!L7-'BUDGET PATRIMONIALE'!K7)</f>
        <v>237732.69805680215</v>
      </c>
      <c r="L134" s="744">
        <f>-('BUDGET PATRIMONIALE'!M7-'BUDGET PATRIMONIALE'!L7)</f>
        <v>232245.02989536524</v>
      </c>
      <c r="M134" s="744">
        <f>-('BUDGET PATRIMONIALE'!N7-'BUDGET PATRIMONIALE'!M7)</f>
        <v>232245.02989536524</v>
      </c>
      <c r="N134" s="744">
        <f>-('BUDGET PATRIMONIALE'!O7-'BUDGET PATRIMONIALE'!N7)</f>
        <v>182856.01644245163</v>
      </c>
    </row>
    <row r="135" spans="2:14" hidden="1" x14ac:dyDescent="0.15">
      <c r="B135" s="743" t="s">
        <v>1320</v>
      </c>
      <c r="C135" s="744">
        <f>'BUDGET PATRIMONIALE'!D9-'BUDGET PATRIMONIALE'!C9</f>
        <v>36600</v>
      </c>
      <c r="D135" s="744">
        <f>'BUDGET PATRIMONIALE'!E9-'BUDGET PATRIMONIALE'!D9</f>
        <v>0</v>
      </c>
      <c r="E135" s="744">
        <f>'BUDGET PATRIMONIALE'!F9-'BUDGET PATRIMONIALE'!E9</f>
        <v>0</v>
      </c>
      <c r="F135" s="744">
        <f>'BUDGET PATRIMONIALE'!G9-'BUDGET PATRIMONIALE'!F9</f>
        <v>-36600</v>
      </c>
      <c r="G135" s="744">
        <f>'BUDGET PATRIMONIALE'!H9-'BUDGET PATRIMONIALE'!G9</f>
        <v>0</v>
      </c>
      <c r="H135" s="744">
        <f>'BUDGET PATRIMONIALE'!I9-'BUDGET PATRIMONIALE'!H9</f>
        <v>0</v>
      </c>
      <c r="I135" s="744">
        <f>'BUDGET PATRIMONIALE'!J9-'BUDGET PATRIMONIALE'!I9</f>
        <v>0</v>
      </c>
      <c r="J135" s="744">
        <f>'BUDGET PATRIMONIALE'!K9-'BUDGET PATRIMONIALE'!J9</f>
        <v>0</v>
      </c>
      <c r="K135" s="744">
        <f>'BUDGET PATRIMONIALE'!L9-'BUDGET PATRIMONIALE'!K9</f>
        <v>0</v>
      </c>
      <c r="L135" s="744">
        <f>'BUDGET PATRIMONIALE'!M9-'BUDGET PATRIMONIALE'!L9</f>
        <v>0</v>
      </c>
      <c r="M135" s="744">
        <f>'BUDGET PATRIMONIALE'!N9-'BUDGET PATRIMONIALE'!M9</f>
        <v>0</v>
      </c>
      <c r="N135" s="744">
        <f>'BUDGET PATRIMONIALE'!O9-'BUDGET PATRIMONIALE'!N9</f>
        <v>0</v>
      </c>
    </row>
    <row r="136" spans="2:14" hidden="1" x14ac:dyDescent="0.15">
      <c r="B136" s="743" t="s">
        <v>1332</v>
      </c>
      <c r="C136" s="744">
        <f>-'36. IVA'!C13</f>
        <v>-6600</v>
      </c>
      <c r="D136" s="744">
        <f>-'36. IVA'!D13</f>
        <v>0</v>
      </c>
      <c r="E136" s="744">
        <f>-'36. IVA'!E13</f>
        <v>0</v>
      </c>
      <c r="F136" s="744">
        <f>-'36. IVA'!F13</f>
        <v>0</v>
      </c>
      <c r="G136" s="744">
        <f>-'36. IVA'!G13</f>
        <v>0</v>
      </c>
      <c r="H136" s="744">
        <f>-'36. IVA'!H13</f>
        <v>0</v>
      </c>
      <c r="I136" s="744">
        <f>-'36. IVA'!I13</f>
        <v>0</v>
      </c>
      <c r="J136" s="744">
        <f>-'36. IVA'!J13</f>
        <v>0</v>
      </c>
      <c r="K136" s="744">
        <f>-'36. IVA'!K13</f>
        <v>0</v>
      </c>
      <c r="L136" s="744">
        <f>-'36. IVA'!L13</f>
        <v>0</v>
      </c>
      <c r="M136" s="744">
        <f>-'36. IVA'!M13</f>
        <v>0</v>
      </c>
      <c r="N136" s="744">
        <f>-'36. IVA'!N13</f>
        <v>0</v>
      </c>
    </row>
    <row r="137" spans="2:14" hidden="1" x14ac:dyDescent="0.15">
      <c r="B137" s="946" t="s">
        <v>1321</v>
      </c>
      <c r="C137" s="746">
        <f>SUM(C133:C136)</f>
        <v>-8688.8079222714005</v>
      </c>
      <c r="D137" s="746">
        <f t="shared" ref="D137:G137" si="54">SUM(D133:D136)</f>
        <v>2286.528400598705</v>
      </c>
      <c r="E137" s="746">
        <f t="shared" si="54"/>
        <v>18749.532884902001</v>
      </c>
      <c r="F137" s="746">
        <f t="shared" si="54"/>
        <v>-28825.803437968105</v>
      </c>
      <c r="G137" s="746">
        <f t="shared" si="54"/>
        <v>7774.1965620337578</v>
      </c>
      <c r="H137" s="746">
        <f t="shared" ref="H137" si="55">SUM(H133:H136)</f>
        <v>13261.864723466948</v>
      </c>
      <c r="I137" s="746">
        <f t="shared" ref="I137" si="56">SUM(I133:I136)</f>
        <v>13261.864723468811</v>
      </c>
      <c r="J137" s="746">
        <f t="shared" ref="J137:K137" si="57">SUM(J133:J136)</f>
        <v>-41614.816890881717</v>
      </c>
      <c r="K137" s="746">
        <f t="shared" si="57"/>
        <v>13261.864723468811</v>
      </c>
      <c r="L137" s="746">
        <f t="shared" ref="L137" si="58">SUM(L133:L136)</f>
        <v>7774.1965620318952</v>
      </c>
      <c r="M137" s="746">
        <f t="shared" ref="M137" si="59">SUM(M133:M136)</f>
        <v>7774.1965620318952</v>
      </c>
      <c r="N137" s="746">
        <f t="shared" ref="N137" si="60">SUM(N133:N136)</f>
        <v>-41614.816890881717</v>
      </c>
    </row>
    <row r="138" spans="2:14" hidden="1" x14ac:dyDescent="0.15">
      <c r="C138" s="953">
        <f>+C137-'BUDGET FINANZIARIO'!C27</f>
        <v>-8688.8079222714005</v>
      </c>
      <c r="D138" s="953">
        <f>+D137-'BUDGET FINANZIARIO'!D27</f>
        <v>2286.528400598705</v>
      </c>
      <c r="E138" s="953">
        <f>+E137-'BUDGET FINANZIARIO'!E27</f>
        <v>18749.532884902001</v>
      </c>
      <c r="F138" s="953">
        <f>+F137-'BUDGET FINANZIARIO'!F27</f>
        <v>7774.1965620318952</v>
      </c>
      <c r="G138" s="953">
        <f>+G137-'BUDGET FINANZIARIO'!G27</f>
        <v>7774.1965620337578</v>
      </c>
      <c r="H138" s="953">
        <f>+H137-'BUDGET FINANZIARIO'!H27</f>
        <v>13261.864723466948</v>
      </c>
      <c r="I138" s="953">
        <f>+I137-'BUDGET FINANZIARIO'!I27</f>
        <v>13261.864723468811</v>
      </c>
      <c r="J138" s="953">
        <f>+J137-'BUDGET FINANZIARIO'!J27</f>
        <v>-41614.816890881717</v>
      </c>
      <c r="K138" s="953">
        <f>+K137-'BUDGET FINANZIARIO'!K27</f>
        <v>13261.864723468811</v>
      </c>
      <c r="L138" s="953">
        <f>+L137-'BUDGET FINANZIARIO'!L27</f>
        <v>7774.1965620318952</v>
      </c>
      <c r="M138" s="953">
        <f>+M137-'BUDGET FINANZIARIO'!M27</f>
        <v>7774.1965620318952</v>
      </c>
      <c r="N138" s="953">
        <f>+N137-'BUDGET FINANZIARIO'!N27</f>
        <v>-41614.816890881717</v>
      </c>
    </row>
    <row r="139" spans="2:14" hidden="1" x14ac:dyDescent="0.15">
      <c r="B139" s="91" t="s">
        <v>1322</v>
      </c>
      <c r="C139" s="744">
        <f>-C35</f>
        <v>-92210.216282562702</v>
      </c>
      <c r="D139" s="744">
        <f t="shared" ref="D139:G139" si="61">-D35</f>
        <v>-81381.540487616265</v>
      </c>
      <c r="E139" s="744">
        <f t="shared" si="61"/>
        <v>-89077.449560497262</v>
      </c>
      <c r="F139" s="744">
        <f t="shared" si="61"/>
        <v>-94671.90082040077</v>
      </c>
      <c r="G139" s="744">
        <f t="shared" si="61"/>
        <v>-74226.932738167816</v>
      </c>
      <c r="H139" s="744">
        <f t="shared" ref="H139:L139" si="62">-H35</f>
        <v>-80865.557188108563</v>
      </c>
      <c r="I139" s="744">
        <f t="shared" si="62"/>
        <v>-87451.421758547309</v>
      </c>
      <c r="J139" s="744">
        <f t="shared" si="62"/>
        <v>-67025.905350844318</v>
      </c>
      <c r="K139" s="744">
        <f t="shared" si="62"/>
        <v>-76056.47282697956</v>
      </c>
      <c r="L139" s="744">
        <f t="shared" si="62"/>
        <v>-83543.493041243171</v>
      </c>
      <c r="M139" s="744">
        <f>-M35</f>
        <v>-60963.679550895962</v>
      </c>
      <c r="N139" s="744">
        <f>-N35</f>
        <v>-62844.492494354068</v>
      </c>
    </row>
    <row r="140" spans="2:14" hidden="1" x14ac:dyDescent="0.15">
      <c r="B140" s="743" t="s">
        <v>1323</v>
      </c>
      <c r="C140" s="744">
        <f>'BUDGET PATRIMONIALE'!D59-'BUDGET PATRIMONIALE'!C59</f>
        <v>-132000.62499307655</v>
      </c>
      <c r="D140" s="744">
        <f>'BUDGET PATRIMONIALE'!E59-'BUDGET PATRIMONIALE'!D59</f>
        <v>-132472.09370000008</v>
      </c>
      <c r="E140" s="744">
        <f>'BUDGET PATRIMONIALE'!F59-'BUDGET PATRIMONIALE'!E59</f>
        <v>-132945.33052512631</v>
      </c>
      <c r="F140" s="744">
        <f>'BUDGET PATRIMONIALE'!G59-'BUDGET PATRIMONIALE'!F59</f>
        <v>-133420.34234477766</v>
      </c>
      <c r="G140" s="744">
        <f>'BUDGET PATRIMONIALE'!H59-'BUDGET PATRIMONIALE'!G59</f>
        <v>-133897.1360627003</v>
      </c>
      <c r="H140" s="744">
        <f>'BUDGET PATRIMONIALE'!I59-'BUDGET PATRIMONIALE'!H59</f>
        <v>-134375.71861017682</v>
      </c>
      <c r="I140" s="744">
        <f>'BUDGET PATRIMONIALE'!J59-'BUDGET PATRIMONIALE'!I59</f>
        <v>-134856.09694613516</v>
      </c>
      <c r="J140" s="744">
        <f>'BUDGET PATRIMONIALE'!K59-'BUDGET PATRIMONIALE'!J59</f>
        <v>-135338.27805726416</v>
      </c>
      <c r="K140" s="744">
        <f>'BUDGET PATRIMONIALE'!L59-'BUDGET PATRIMONIALE'!K59</f>
        <v>-48071.032513474114</v>
      </c>
      <c r="L140" s="744">
        <f>'BUDGET PATRIMONIALE'!M59-'BUDGET PATRIMONIALE'!L59</f>
        <v>-48191.210094757844</v>
      </c>
      <c r="M140" s="744">
        <f>'BUDGET PATRIMONIALE'!N59-'BUDGET PATRIMONIALE'!M59</f>
        <v>-48311.688119994476</v>
      </c>
      <c r="N140" s="744">
        <f>'BUDGET PATRIMONIALE'!O59-'BUDGET PATRIMONIALE'!N59</f>
        <v>-48432.467340294737</v>
      </c>
    </row>
    <row r="141" spans="2:14" hidden="1" x14ac:dyDescent="0.15">
      <c r="B141" s="743" t="s">
        <v>1324</v>
      </c>
      <c r="C141" s="744">
        <f>'BUDGET PATRIMONIALE'!D57-'BUDGET PATRIMONIALE'!C57-C37</f>
        <v>-1.1641532182693481E-10</v>
      </c>
      <c r="D141" s="744">
        <f>'BUDGET PATRIMONIALE'!E57-'BUDGET PATRIMONIALE'!D57-D37</f>
        <v>-4.0745362639427185E-10</v>
      </c>
      <c r="E141" s="744">
        <f>'BUDGET PATRIMONIALE'!F57-'BUDGET PATRIMONIALE'!E57-E37</f>
        <v>0</v>
      </c>
      <c r="F141" s="744">
        <f>'BUDGET PATRIMONIALE'!G57-'BUDGET PATRIMONIALE'!F57-F37</f>
        <v>1.0477378964424133E-9</v>
      </c>
      <c r="G141" s="744">
        <f>'BUDGET PATRIMONIALE'!H57-'BUDGET PATRIMONIALE'!G57-G37</f>
        <v>-4.6566128730773926E-10</v>
      </c>
      <c r="H141" s="744">
        <f>'BUDGET PATRIMONIALE'!I57-'BUDGET PATRIMONIALE'!H57-H37</f>
        <v>0</v>
      </c>
      <c r="I141" s="744">
        <f>'BUDGET PATRIMONIALE'!J57-'BUDGET PATRIMONIALE'!I57-I37</f>
        <v>-1.0477378964424133E-9</v>
      </c>
      <c r="J141" s="744">
        <f>'BUDGET PATRIMONIALE'!K57-'BUDGET PATRIMONIALE'!J57-J37</f>
        <v>0</v>
      </c>
      <c r="K141" s="744">
        <f>'BUDGET PATRIMONIALE'!L57-'BUDGET PATRIMONIALE'!K57-K37</f>
        <v>-4.6566128730773926E-10</v>
      </c>
      <c r="L141" s="744">
        <f>'BUDGET PATRIMONIALE'!M57-'BUDGET PATRIMONIALE'!L57-L37</f>
        <v>5.8207660913467407E-10</v>
      </c>
      <c r="M141" s="744">
        <f>'BUDGET PATRIMONIALE'!N57-'BUDGET PATRIMONIALE'!M57-M37</f>
        <v>-5.8207660913467407E-10</v>
      </c>
      <c r="N141" s="744">
        <f>'BUDGET PATRIMONIALE'!O57-'BUDGET PATRIMONIALE'!N57-N37</f>
        <v>0</v>
      </c>
    </row>
    <row r="142" spans="2:14" hidden="1" x14ac:dyDescent="0.15">
      <c r="B142" s="946" t="s">
        <v>1325</v>
      </c>
      <c r="C142" s="746">
        <f>SUM(C139:C141)</f>
        <v>-224210.84127563937</v>
      </c>
      <c r="D142" s="746">
        <f t="shared" ref="D142:G142" si="63">SUM(D139:D141)</f>
        <v>-213853.63418761676</v>
      </c>
      <c r="E142" s="746">
        <f t="shared" si="63"/>
        <v>-222022.78008562356</v>
      </c>
      <c r="F142" s="746">
        <f t="shared" si="63"/>
        <v>-228092.24316517738</v>
      </c>
      <c r="G142" s="746">
        <f t="shared" si="63"/>
        <v>-208124.06880086858</v>
      </c>
      <c r="H142" s="746">
        <f t="shared" ref="H142" si="64">SUM(H139:H141)</f>
        <v>-215241.27579828538</v>
      </c>
      <c r="I142" s="746">
        <f t="shared" ref="I142" si="65">SUM(I139:I141)</f>
        <v>-222307.51870468352</v>
      </c>
      <c r="J142" s="746">
        <f t="shared" ref="J142:K142" si="66">SUM(J139:J141)</f>
        <v>-202364.18340810848</v>
      </c>
      <c r="K142" s="746">
        <f t="shared" si="66"/>
        <v>-124127.50534045414</v>
      </c>
      <c r="L142" s="746">
        <f t="shared" ref="L142" si="67">SUM(L139:L141)</f>
        <v>-131734.70313600043</v>
      </c>
      <c r="M142" s="746">
        <f>SUM(M139:M141)</f>
        <v>-109275.36767089102</v>
      </c>
      <c r="N142" s="746">
        <f t="shared" ref="N142" si="68">SUM(N139:N141)</f>
        <v>-111276.95983464881</v>
      </c>
    </row>
    <row r="143" spans="2:14" hidden="1" x14ac:dyDescent="0.15">
      <c r="C143" s="689">
        <f>+C142-'BUDGET FINANZIARIO'!C39</f>
        <v>-5.8207660913467407E-10</v>
      </c>
      <c r="D143" s="689">
        <f>+D142-'BUDGET FINANZIARIO'!D39</f>
        <v>-4.6566128730773926E-10</v>
      </c>
      <c r="E143" s="689">
        <f>+E142-'BUDGET FINANZIARIO'!E39</f>
        <v>0</v>
      </c>
      <c r="F143" s="689">
        <f>+F142-'BUDGET FINANZIARIO'!F39</f>
        <v>1.1350493878126144E-9</v>
      </c>
      <c r="G143" s="689">
        <f>+G142-'BUDGET FINANZIARIO'!G39</f>
        <v>-3.4924596548080444E-10</v>
      </c>
      <c r="H143" s="689">
        <f>+H142-'BUDGET FINANZIARIO'!H39</f>
        <v>-3.7834979593753815E-10</v>
      </c>
      <c r="I143" s="689">
        <f>+I142-'BUDGET FINANZIARIO'!I39</f>
        <v>-1.2223608791828156E-9</v>
      </c>
      <c r="J143" s="689">
        <f>+J142-'BUDGET FINANZIARIO'!J39</f>
        <v>2.3283064365386963E-10</v>
      </c>
      <c r="K143" s="689">
        <f>+K142-'BUDGET FINANZIARIO'!K39</f>
        <v>-6.1118043959140778E-10</v>
      </c>
      <c r="L143" s="689">
        <f>+L142-'BUDGET FINANZIARIO'!L39</f>
        <v>4.0745362639427185E-10</v>
      </c>
      <c r="M143" s="689">
        <f>+M142-'BUDGET FINANZIARIO'!M39</f>
        <v>-4.9476511776447296E-10</v>
      </c>
      <c r="N143" s="689">
        <f>+N142-'BUDGET FINANZIARIO'!N39</f>
        <v>-1.8917489796876907E-10</v>
      </c>
    </row>
    <row r="144" spans="2:14" x14ac:dyDescent="0.15">
      <c r="D144" s="91"/>
      <c r="F144" s="91"/>
      <c r="H144" s="91"/>
    </row>
    <row r="145" spans="2:14" x14ac:dyDescent="0.15">
      <c r="C145" s="753">
        <f>+C131+C137+C142</f>
        <v>190599.30597835139</v>
      </c>
      <c r="D145" s="753">
        <f t="shared" ref="D145:G145" si="69">+D131+D137+D142</f>
        <v>3807120.4055039296</v>
      </c>
      <c r="E145" s="753">
        <f t="shared" si="69"/>
        <v>-7217753.8272436</v>
      </c>
      <c r="F145" s="753">
        <f t="shared" si="69"/>
        <v>4632754.923907429</v>
      </c>
      <c r="G145" s="753">
        <f t="shared" si="69"/>
        <v>3211199.8615872003</v>
      </c>
      <c r="H145" s="753">
        <f t="shared" ref="H145:L145" si="70">+H131+H137+H142</f>
        <v>-6188546.6534164967</v>
      </c>
      <c r="I145" s="753">
        <f t="shared" si="70"/>
        <v>3217402.0480911727</v>
      </c>
      <c r="J145" s="753">
        <f t="shared" si="70"/>
        <v>4628161.7201620247</v>
      </c>
      <c r="K145" s="753">
        <f t="shared" si="70"/>
        <v>-8555326.6444169395</v>
      </c>
      <c r="L145" s="753">
        <f t="shared" si="70"/>
        <v>5373984.1965688309</v>
      </c>
      <c r="M145" s="753">
        <f>+M131+M137+M142</f>
        <v>3486138.7975156512</v>
      </c>
      <c r="N145" s="753">
        <f>+N131+N137+N142</f>
        <v>-4389929.1116771773</v>
      </c>
    </row>
    <row r="146" spans="2:14" x14ac:dyDescent="0.15">
      <c r="C146" s="945">
        <f>+C145-'BUDGET FINANZIARIO'!C41</f>
        <v>3.434251993894577E-9</v>
      </c>
      <c r="D146" s="945">
        <f>+D145-'BUDGET FINANZIARIO'!D41</f>
        <v>-5.1222741603851318E-9</v>
      </c>
      <c r="E146" s="945">
        <f>+E145-'BUDGET FINANZIARIO'!E41</f>
        <v>0</v>
      </c>
      <c r="F146" s="954">
        <f>+F145-'BUDGET FINANZIARIO'!F41</f>
        <v>-1.5832483768463135E-8</v>
      </c>
      <c r="G146" s="954">
        <f>+G145-'BUDGET FINANZIARIO'!G41</f>
        <v>7.4505805969238281E-9</v>
      </c>
      <c r="H146" s="945">
        <f>+H145-'BUDGET FINANZIARIO'!H41</f>
        <v>0</v>
      </c>
      <c r="I146" s="945">
        <f>+I145-'BUDGET FINANZIARIO'!I41</f>
        <v>0</v>
      </c>
      <c r="J146" s="945">
        <f>+J145-'BUDGET FINANZIARIO'!J41</f>
        <v>0</v>
      </c>
      <c r="K146" s="945">
        <f>+K145-'BUDGET FINANZIARIO'!K41</f>
        <v>0</v>
      </c>
      <c r="L146" s="954">
        <f>+L145-'BUDGET FINANZIARIO'!L41</f>
        <v>0</v>
      </c>
      <c r="M146" s="954">
        <f>+M145-'BUDGET FINANZIARIO'!M41</f>
        <v>-3.7252902984619141E-9</v>
      </c>
      <c r="N146" s="945">
        <f>+N145-'BUDGET FINANZIARIO'!N41</f>
        <v>0</v>
      </c>
    </row>
    <row r="147" spans="2:14" x14ac:dyDescent="0.15">
      <c r="D147" s="91"/>
      <c r="F147" s="91"/>
      <c r="H147" s="91"/>
    </row>
    <row r="148" spans="2:14" x14ac:dyDescent="0.15">
      <c r="C148" s="949">
        <f>'BUDGET FINANZIARIO'!C70+'BUDGET FINANZIARIO'!C73-'BUDGET FINANZIARIO'!C79-'BUDGET FINANZIARIO'!C87-'BUDGET FINANZIARIO'!C96+'BUDGET FINANZIARIO'!C103-C128</f>
        <v>-28747.199152445712</v>
      </c>
      <c r="D148" s="949">
        <f>'BUDGET FINANZIARIO'!D70+'BUDGET FINANZIARIO'!D73-'BUDGET FINANZIARIO'!D79-'BUDGET FINANZIARIO'!D87-'BUDGET FINANZIARIO'!D96+'BUDGET FINANZIARIO'!D103-D128</f>
        <v>280246.11896196165</v>
      </c>
      <c r="E148" s="949">
        <f>'BUDGET FINANZIARIO'!E70+'BUDGET FINANZIARIO'!E73-'BUDGET FINANZIARIO'!E79-'BUDGET FINANZIARIO'!E87-'BUDGET FINANZIARIO'!E96+'BUDGET FINANZIARIO'!E103-E128</f>
        <v>732357.43589647172</v>
      </c>
      <c r="F148" s="949">
        <f>'BUDGET FINANZIARIO'!F70+'BUDGET FINANZIARIO'!F73-'BUDGET FINANZIARIO'!F79-'BUDGET FINANZIARIO'!F87-'BUDGET FINANZIARIO'!F96+'BUDGET FINANZIARIO'!F103-F128</f>
        <v>429935.23966712109</v>
      </c>
      <c r="G148" s="949">
        <f>'BUDGET FINANZIARIO'!G70+'BUDGET FINANZIARIO'!G73-'BUDGET FINANZIARIO'!G79-'BUDGET FINANZIARIO'!G87-'BUDGET FINANZIARIO'!G96+'BUDGET FINANZIARIO'!G103-G128</f>
        <v>413613.88574145338</v>
      </c>
      <c r="H148" s="949">
        <f>'BUDGET FINANZIARIO'!H70+'BUDGET FINANZIARIO'!H73-'BUDGET FINANZIARIO'!H79-'BUDGET FINANZIARIO'!H87-'BUDGET FINANZIARIO'!H96+'BUDGET FINANZIARIO'!H103-H128</f>
        <v>589702.48543607001</v>
      </c>
      <c r="I148" s="949">
        <f>'BUDGET FINANZIARIO'!I70+'BUDGET FINANZIARIO'!I73-'BUDGET FINANZIARIO'!I79-'BUDGET FINANZIARIO'!I87-'BUDGET FINANZIARIO'!I96+'BUDGET FINANZIARIO'!I103-I128</f>
        <v>536487.06803117972</v>
      </c>
      <c r="J148" s="949">
        <f>'BUDGET FINANZIARIO'!J70+'BUDGET FINANZIARIO'!J73-'BUDGET FINANZIARIO'!J79-'BUDGET FINANZIARIO'!J87-'BUDGET FINANZIARIO'!J96+'BUDGET FINANZIARIO'!J103-J128</f>
        <v>-958917.75474165357</v>
      </c>
      <c r="K148" s="949">
        <f>'BUDGET FINANZIARIO'!K70+'BUDGET FINANZIARIO'!K73-'BUDGET FINANZIARIO'!K79-'BUDGET FINANZIARIO'!K87-'BUDGET FINANZIARIO'!K96+'BUDGET FINANZIARIO'!K103-K128</f>
        <v>548719.73018209729</v>
      </c>
      <c r="L148" s="949">
        <f>'BUDGET FINANZIARIO'!L70+'BUDGET FINANZIARIO'!L73-'BUDGET FINANZIARIO'!L79-'BUDGET FINANZIARIO'!L87-'BUDGET FINANZIARIO'!L96+'BUDGET FINANZIARIO'!L103-L128</f>
        <v>386273.02386074676</v>
      </c>
      <c r="M148" s="949">
        <f>'BUDGET FINANZIARIO'!M70+'BUDGET FINANZIARIO'!M73-'BUDGET FINANZIARIO'!M79-'BUDGET FINANZIARIO'!M87-'BUDGET FINANZIARIO'!M96+'BUDGET FINANZIARIO'!M103-M128</f>
        <v>381624.04401340778</v>
      </c>
      <c r="N148" s="949">
        <f>'BUDGET FINANZIARIO'!N70+'BUDGET FINANZIARIO'!N73-'BUDGET FINANZIARIO'!N79-'BUDGET FINANZIARIO'!N87-'BUDGET FINANZIARIO'!N96+'BUDGET FINANZIARIO'!N103-N128</f>
        <v>-958917.75474165264</v>
      </c>
    </row>
    <row r="149" spans="2:14" x14ac:dyDescent="0.15">
      <c r="C149" s="753">
        <f>+C148-C124</f>
        <v>1.7462298274040222E-10</v>
      </c>
      <c r="D149" s="753">
        <f t="shared" ref="D149:G149" si="71">+D148-D124</f>
        <v>-197.4846034196089</v>
      </c>
      <c r="E149" s="753">
        <f t="shared" si="71"/>
        <v>-3.14321368932724E-9</v>
      </c>
      <c r="F149" s="753">
        <f t="shared" si="71"/>
        <v>-1.280568540096283E-9</v>
      </c>
      <c r="G149" s="753">
        <f t="shared" si="71"/>
        <v>0</v>
      </c>
      <c r="H149" s="753">
        <f t="shared" ref="H149" si="72">+H148-H124</f>
        <v>1.1641532182693481E-9</v>
      </c>
      <c r="I149" s="753">
        <f t="shared" ref="I149" si="73">+I148-I124</f>
        <v>-1.862645149230957E-9</v>
      </c>
      <c r="J149" s="753">
        <f t="shared" ref="J149:K149" si="74">+J148-J124</f>
        <v>-1.862645149230957E-9</v>
      </c>
      <c r="K149" s="753">
        <f t="shared" si="74"/>
        <v>-2.7939677238464355E-9</v>
      </c>
      <c r="L149" s="753">
        <f t="shared" ref="L149" si="75">+L148-L124</f>
        <v>2.4447217583656311E-9</v>
      </c>
      <c r="M149" s="753">
        <f>+M148-M124</f>
        <v>-2.2118911147117615E-9</v>
      </c>
      <c r="N149" s="753">
        <f t="shared" ref="N149" si="76">+N148-N124</f>
        <v>-9.3132257461547852E-10</v>
      </c>
    </row>
    <row r="160" spans="2:14" x14ac:dyDescent="0.15">
      <c r="B160" s="91" t="s">
        <v>1333</v>
      </c>
      <c r="C160" s="744">
        <f>'Tab. 11'!C38</f>
        <v>197418.41023146547</v>
      </c>
      <c r="D160" s="744">
        <f>'Tab. 11'!D38</f>
        <v>219353.78914607267</v>
      </c>
      <c r="E160" s="744">
        <f>'Tab. 11'!E38</f>
        <v>252256.85751798365</v>
      </c>
      <c r="F160" s="744">
        <f>'Tab. 11'!F38</f>
        <v>230321.4786033764</v>
      </c>
      <c r="G160" s="744">
        <f>'Tab. 11'!G38</f>
        <v>230321.4786033764</v>
      </c>
      <c r="H160" s="744">
        <f>'Tab. 11'!H38</f>
        <v>241289.16806067998</v>
      </c>
      <c r="I160" s="744">
        <f>'Tab. 11'!I38</f>
        <v>241289.16806067998</v>
      </c>
      <c r="J160" s="744">
        <f>'Tab. 11'!J38</f>
        <v>131612.27348764363</v>
      </c>
      <c r="K160" s="744">
        <f>'Tab. 11'!K38</f>
        <v>241289.16806067998</v>
      </c>
      <c r="L160" s="744">
        <f>'Tab. 11'!L38</f>
        <v>230321.4786033764</v>
      </c>
      <c r="M160" s="744">
        <f>'Tab. 11'!M38</f>
        <v>230321.4786033764</v>
      </c>
      <c r="N160" s="744">
        <f>'Tab. 11'!N38</f>
        <v>131612.27348764363</v>
      </c>
    </row>
    <row r="162" spans="2:14" x14ac:dyDescent="0.15">
      <c r="B162" s="91" t="s">
        <v>1334</v>
      </c>
      <c r="C162" s="744">
        <f>CE_1_mens!C23</f>
        <v>197418.41023146518</v>
      </c>
      <c r="D162" s="744">
        <f>CE_1_mens!D23</f>
        <v>223156.00821165397</v>
      </c>
      <c r="E162" s="744">
        <f>CE_1_mens!E23</f>
        <v>252256.8575179833</v>
      </c>
      <c r="F162" s="744">
        <f>CE_1_mens!F23</f>
        <v>230321.47860337602</v>
      </c>
      <c r="G162" s="744">
        <f>CE_1_mens!G23</f>
        <v>230321.47860337602</v>
      </c>
      <c r="H162" s="744">
        <f>CE_1_mens!H23</f>
        <v>241289.16806067966</v>
      </c>
      <c r="I162" s="744">
        <f>CE_1_mens!I23</f>
        <v>241289.16806067963</v>
      </c>
      <c r="J162" s="744">
        <f>CE_1_mens!J23</f>
        <v>131612.27348764346</v>
      </c>
      <c r="K162" s="744">
        <f>CE_1_mens!K23</f>
        <v>241289.16806067963</v>
      </c>
      <c r="L162" s="744">
        <f>CE_1_mens!L23</f>
        <v>230321.47860337602</v>
      </c>
      <c r="M162" s="744">
        <f>CE_1_mens!M23</f>
        <v>230321.47860337602</v>
      </c>
      <c r="N162" s="744">
        <f>CE_1_mens!N23</f>
        <v>131612.27348764346</v>
      </c>
    </row>
    <row r="163" spans="2:14" x14ac:dyDescent="0.15">
      <c r="B163" s="91" t="s">
        <v>1335</v>
      </c>
      <c r="C163" s="744">
        <f>'Tab. 16'!C22*'Tab. 12'!$C$23+'Tab. 12'!C53*'Tab. 16'!$D$22</f>
        <v>196824.52661214251</v>
      </c>
    </row>
    <row r="165" spans="2:14" x14ac:dyDescent="0.15">
      <c r="C165" s="753">
        <f>+C163-C160</f>
        <v>-593.88361932296539</v>
      </c>
    </row>
  </sheetData>
  <mergeCells count="1">
    <mergeCell ref="C6:O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8E8E-6205-C241-89A0-02584BE0DBE0}">
  <sheetPr codeName="Foglio46">
    <tabColor theme="0" tint="-0.499984740745262"/>
  </sheetPr>
  <dimension ref="B2:H50"/>
  <sheetViews>
    <sheetView zoomScale="190" zoomScaleNormal="190" workbookViewId="0">
      <selection activeCell="B15" sqref="B15"/>
    </sheetView>
  </sheetViews>
  <sheetFormatPr baseColWidth="10" defaultRowHeight="16" x14ac:dyDescent="0.2"/>
  <cols>
    <col min="1" max="1" width="10.83203125" style="3"/>
    <col min="2" max="2" width="25.83203125" style="3" customWidth="1"/>
    <col min="3" max="3" width="17.6640625" style="3" customWidth="1"/>
    <col min="4" max="4" width="15.33203125" style="3" customWidth="1"/>
    <col min="5" max="8" width="13.1640625" style="3" customWidth="1"/>
    <col min="9" max="16384" width="10.83203125" style="3"/>
  </cols>
  <sheetData>
    <row r="2" spans="2:8" x14ac:dyDescent="0.2">
      <c r="B2" s="3" t="s">
        <v>1184</v>
      </c>
    </row>
    <row r="3" spans="2:8" ht="17" thickBot="1" x14ac:dyDescent="0.25"/>
    <row r="4" spans="2:8" x14ac:dyDescent="0.2">
      <c r="B4" s="773"/>
      <c r="C4" s="1051" t="s">
        <v>170</v>
      </c>
      <c r="D4" s="1051"/>
      <c r="E4" s="1051"/>
      <c r="F4" s="1051"/>
      <c r="G4" s="1051"/>
      <c r="H4" s="1052"/>
    </row>
    <row r="5" spans="2:8" x14ac:dyDescent="0.2">
      <c r="B5" s="775" t="s">
        <v>1097</v>
      </c>
      <c r="C5" s="420" t="s">
        <v>217</v>
      </c>
      <c r="D5" s="420" t="s">
        <v>218</v>
      </c>
      <c r="E5" s="420" t="s">
        <v>219</v>
      </c>
      <c r="F5" s="420" t="s">
        <v>220</v>
      </c>
      <c r="G5" s="420" t="s">
        <v>221</v>
      </c>
      <c r="H5" s="293" t="s">
        <v>222</v>
      </c>
    </row>
    <row r="6" spans="2:8" x14ac:dyDescent="0.2">
      <c r="B6" s="438" t="s">
        <v>199</v>
      </c>
      <c r="C6" s="100">
        <v>4553280</v>
      </c>
      <c r="D6" s="100">
        <v>2483610</v>
      </c>
      <c r="E6" s="100">
        <v>4553280</v>
      </c>
      <c r="F6" s="100">
        <v>4346310</v>
      </c>
      <c r="G6" s="100">
        <v>4346310</v>
      </c>
      <c r="H6" s="287">
        <v>2483610</v>
      </c>
    </row>
    <row r="7" spans="2:8" x14ac:dyDescent="0.2">
      <c r="B7" s="438" t="s">
        <v>200</v>
      </c>
      <c r="C7" s="100">
        <v>6898320</v>
      </c>
      <c r="D7" s="100">
        <v>3761720</v>
      </c>
      <c r="E7" s="100">
        <v>6898320</v>
      </c>
      <c r="F7" s="100">
        <v>6584760</v>
      </c>
      <c r="G7" s="100">
        <v>6584760</v>
      </c>
      <c r="H7" s="287">
        <v>3762720</v>
      </c>
    </row>
    <row r="8" spans="2:8" x14ac:dyDescent="0.2">
      <c r="B8" s="438" t="s">
        <v>201</v>
      </c>
      <c r="C8" s="100">
        <v>1214400</v>
      </c>
      <c r="D8" s="100">
        <v>662400</v>
      </c>
      <c r="E8" s="100">
        <v>1214400</v>
      </c>
      <c r="F8" s="100">
        <v>1159200</v>
      </c>
      <c r="G8" s="100">
        <v>1159200</v>
      </c>
      <c r="H8" s="287">
        <v>662400</v>
      </c>
    </row>
    <row r="9" spans="2:8" ht="17" thickBot="1" x14ac:dyDescent="0.25">
      <c r="B9" s="326" t="s">
        <v>1096</v>
      </c>
      <c r="C9" s="770">
        <f>SUM(C6:C8)</f>
        <v>12666000</v>
      </c>
      <c r="D9" s="770">
        <f t="shared" ref="D9:H9" si="0">SUM(D6:D8)</f>
        <v>6907730</v>
      </c>
      <c r="E9" s="770">
        <f t="shared" si="0"/>
        <v>12666000</v>
      </c>
      <c r="F9" s="770">
        <f t="shared" si="0"/>
        <v>12090270</v>
      </c>
      <c r="G9" s="770">
        <f t="shared" si="0"/>
        <v>12090270</v>
      </c>
      <c r="H9" s="774">
        <f t="shared" si="0"/>
        <v>6908730</v>
      </c>
    </row>
    <row r="10" spans="2:8" ht="15" customHeight="1" x14ac:dyDescent="0.2"/>
    <row r="11" spans="2:8" ht="15" customHeight="1" x14ac:dyDescent="0.2">
      <c r="B11" s="3" t="s">
        <v>1101</v>
      </c>
      <c r="C11" s="98">
        <v>0.22</v>
      </c>
    </row>
    <row r="12" spans="2:8" ht="15" customHeight="1" thickBot="1" x14ac:dyDescent="0.25"/>
    <row r="13" spans="2:8" ht="17" thickBot="1" x14ac:dyDescent="0.25">
      <c r="B13" s="776" t="s">
        <v>1098</v>
      </c>
      <c r="C13" s="777">
        <v>8634200</v>
      </c>
      <c r="D13" s="777">
        <v>8268860</v>
      </c>
      <c r="E13" s="777">
        <v>7944190</v>
      </c>
      <c r="F13" s="777">
        <v>5030440</v>
      </c>
      <c r="G13" s="777">
        <v>8264230</v>
      </c>
      <c r="H13" s="778">
        <v>4833080</v>
      </c>
    </row>
    <row r="14" spans="2:8" x14ac:dyDescent="0.2">
      <c r="B14" s="3" t="s">
        <v>747</v>
      </c>
    </row>
    <row r="15" spans="2:8" x14ac:dyDescent="0.2">
      <c r="B15" s="809">
        <v>0.25</v>
      </c>
      <c r="C15" s="6">
        <v>60</v>
      </c>
      <c r="D15" s="3" t="s">
        <v>1125</v>
      </c>
    </row>
    <row r="16" spans="2:8" x14ac:dyDescent="0.2">
      <c r="B16" s="809">
        <v>0.5</v>
      </c>
      <c r="C16" s="6">
        <v>90</v>
      </c>
      <c r="D16" s="3" t="s">
        <v>1125</v>
      </c>
    </row>
    <row r="17" spans="2:8" x14ac:dyDescent="0.2">
      <c r="B17" s="809">
        <v>0.25</v>
      </c>
      <c r="C17" s="6">
        <v>120</v>
      </c>
      <c r="D17" s="3" t="s">
        <v>1125</v>
      </c>
    </row>
    <row r="18" spans="2:8" x14ac:dyDescent="0.2">
      <c r="B18" s="175"/>
    </row>
    <row r="19" spans="2:8" x14ac:dyDescent="0.2">
      <c r="H19" s="73"/>
    </row>
    <row r="20" spans="2:8" x14ac:dyDescent="0.2">
      <c r="B20" s="3" t="s">
        <v>1102</v>
      </c>
      <c r="C20" s="98">
        <v>0.22</v>
      </c>
    </row>
    <row r="23" spans="2:8" x14ac:dyDescent="0.2">
      <c r="B23" s="12" t="s">
        <v>1176</v>
      </c>
      <c r="C23" s="12" t="s">
        <v>1111</v>
      </c>
      <c r="D23" s="12" t="s">
        <v>1123</v>
      </c>
      <c r="E23" s="12" t="s">
        <v>1124</v>
      </c>
    </row>
    <row r="24" spans="2:8" x14ac:dyDescent="0.2">
      <c r="B24" s="3" t="s">
        <v>828</v>
      </c>
      <c r="C24" s="3" t="s">
        <v>1147</v>
      </c>
      <c r="D24" s="3">
        <v>30</v>
      </c>
      <c r="E24" s="54">
        <v>0</v>
      </c>
    </row>
    <row r="25" spans="2:8" x14ac:dyDescent="0.2">
      <c r="B25" s="3" t="s">
        <v>426</v>
      </c>
      <c r="C25" s="3" t="s">
        <v>1119</v>
      </c>
      <c r="D25" s="3">
        <v>30</v>
      </c>
      <c r="E25" s="54">
        <v>600000</v>
      </c>
    </row>
    <row r="26" spans="2:8" x14ac:dyDescent="0.2">
      <c r="B26" s="3" t="s">
        <v>1044</v>
      </c>
      <c r="C26" s="3" t="s">
        <v>1119</v>
      </c>
      <c r="D26" s="3">
        <v>30</v>
      </c>
      <c r="E26" s="54">
        <v>600000</v>
      </c>
    </row>
    <row r="27" spans="2:8" x14ac:dyDescent="0.2">
      <c r="B27" s="3" t="s">
        <v>223</v>
      </c>
      <c r="C27" s="3" t="s">
        <v>1116</v>
      </c>
      <c r="D27" s="3">
        <v>30</v>
      </c>
      <c r="E27" s="54">
        <v>400000</v>
      </c>
    </row>
    <row r="28" spans="2:8" x14ac:dyDescent="0.2">
      <c r="B28" s="3" t="s">
        <v>1047</v>
      </c>
      <c r="C28" s="3" t="s">
        <v>1117</v>
      </c>
      <c r="D28" s="3">
        <v>90</v>
      </c>
      <c r="E28" s="54">
        <v>0</v>
      </c>
    </row>
    <row r="29" spans="2:8" x14ac:dyDescent="0.2">
      <c r="B29" s="3" t="s">
        <v>692</v>
      </c>
      <c r="C29" s="3" t="s">
        <v>1118</v>
      </c>
      <c r="D29" s="3">
        <v>30</v>
      </c>
      <c r="E29" s="54">
        <v>25000</v>
      </c>
    </row>
    <row r="30" spans="2:8" x14ac:dyDescent="0.2">
      <c r="B30" s="3" t="s">
        <v>693</v>
      </c>
      <c r="C30" s="3" t="s">
        <v>1147</v>
      </c>
      <c r="D30" s="3">
        <v>30</v>
      </c>
      <c r="E30" s="54">
        <v>30000</v>
      </c>
    </row>
    <row r="31" spans="2:8" x14ac:dyDescent="0.2">
      <c r="B31" s="3" t="s">
        <v>694</v>
      </c>
      <c r="C31" s="3" t="s">
        <v>1119</v>
      </c>
      <c r="D31" s="3">
        <v>30</v>
      </c>
      <c r="E31" s="54">
        <v>75000</v>
      </c>
    </row>
    <row r="32" spans="2:8" x14ac:dyDescent="0.2">
      <c r="B32" s="3" t="s">
        <v>699</v>
      </c>
      <c r="C32" s="3" t="s">
        <v>1119</v>
      </c>
      <c r="D32" s="3">
        <v>30</v>
      </c>
      <c r="E32" s="54">
        <v>4000</v>
      </c>
    </row>
    <row r="33" spans="2:5" x14ac:dyDescent="0.2">
      <c r="B33" s="3" t="s">
        <v>85</v>
      </c>
      <c r="C33" s="3" t="s">
        <v>1119</v>
      </c>
      <c r="D33" s="3">
        <v>30</v>
      </c>
      <c r="E33" s="54">
        <v>40000</v>
      </c>
    </row>
    <row r="34" spans="2:5" x14ac:dyDescent="0.2">
      <c r="B34" s="3" t="s">
        <v>1053</v>
      </c>
      <c r="C34" s="3" t="s">
        <v>1119</v>
      </c>
      <c r="D34" s="3">
        <v>30</v>
      </c>
      <c r="E34" s="54"/>
    </row>
    <row r="35" spans="2:5" x14ac:dyDescent="0.2">
      <c r="B35" s="3" t="s">
        <v>1112</v>
      </c>
      <c r="C35" s="3" t="s">
        <v>1120</v>
      </c>
      <c r="D35" s="3">
        <v>30</v>
      </c>
      <c r="E35" s="54">
        <v>0</v>
      </c>
    </row>
    <row r="36" spans="2:5" x14ac:dyDescent="0.2">
      <c r="B36" s="3" t="s">
        <v>1113</v>
      </c>
      <c r="C36" s="3" t="s">
        <v>1121</v>
      </c>
      <c r="D36" s="3">
        <v>180</v>
      </c>
      <c r="E36" s="54">
        <v>0</v>
      </c>
    </row>
    <row r="37" spans="2:5" x14ac:dyDescent="0.2">
      <c r="B37" s="3" t="s">
        <v>707</v>
      </c>
      <c r="C37" s="3" t="s">
        <v>1119</v>
      </c>
      <c r="D37" s="3">
        <v>30</v>
      </c>
      <c r="E37" s="54">
        <v>5000</v>
      </c>
    </row>
    <row r="38" spans="2:5" x14ac:dyDescent="0.2">
      <c r="B38" s="3" t="s">
        <v>709</v>
      </c>
      <c r="C38" s="3" t="s">
        <v>1119</v>
      </c>
      <c r="D38" s="3">
        <v>30</v>
      </c>
      <c r="E38" s="54">
        <v>10000</v>
      </c>
    </row>
    <row r="39" spans="2:5" x14ac:dyDescent="0.2">
      <c r="B39" s="3" t="s">
        <v>1114</v>
      </c>
      <c r="C39" s="3" t="s">
        <v>1122</v>
      </c>
      <c r="D39" s="3">
        <v>0</v>
      </c>
      <c r="E39" s="54">
        <v>0</v>
      </c>
    </row>
    <row r="40" spans="2:5" x14ac:dyDescent="0.2">
      <c r="B40" s="3" t="s">
        <v>711</v>
      </c>
      <c r="C40" s="3" t="s">
        <v>1119</v>
      </c>
      <c r="D40" s="3">
        <v>30</v>
      </c>
      <c r="E40" s="54">
        <v>5000</v>
      </c>
    </row>
    <row r="41" spans="2:5" x14ac:dyDescent="0.2">
      <c r="B41" s="3" t="s">
        <v>712</v>
      </c>
      <c r="C41" s="3" t="s">
        <v>1119</v>
      </c>
      <c r="D41" s="3">
        <v>30</v>
      </c>
      <c r="E41" s="54">
        <v>5000</v>
      </c>
    </row>
    <row r="42" spans="2:5" x14ac:dyDescent="0.2">
      <c r="B42" s="3" t="s">
        <v>1115</v>
      </c>
      <c r="C42" s="3" t="s">
        <v>1119</v>
      </c>
      <c r="D42" s="3">
        <v>0</v>
      </c>
      <c r="E42" s="54">
        <v>0</v>
      </c>
    </row>
    <row r="43" spans="2:5" x14ac:dyDescent="0.2">
      <c r="E43" s="86">
        <f>SUM(E25:E42)</f>
        <v>1799000</v>
      </c>
    </row>
    <row r="46" spans="2:5" x14ac:dyDescent="0.2">
      <c r="B46" s="3" t="s">
        <v>1186</v>
      </c>
      <c r="D46" s="3">
        <v>0</v>
      </c>
    </row>
    <row r="47" spans="2:5" x14ac:dyDescent="0.2">
      <c r="B47" s="3" t="s">
        <v>51</v>
      </c>
      <c r="D47" s="3">
        <v>16</v>
      </c>
    </row>
    <row r="48" spans="2:5" x14ac:dyDescent="0.2">
      <c r="B48" s="3" t="s">
        <v>84</v>
      </c>
      <c r="D48" s="3">
        <v>16</v>
      </c>
    </row>
    <row r="50" spans="2:4" x14ac:dyDescent="0.2">
      <c r="B50" s="3" t="s">
        <v>1261</v>
      </c>
      <c r="C50" s="3" t="s">
        <v>1262</v>
      </c>
      <c r="D50" s="3">
        <v>90</v>
      </c>
    </row>
  </sheetData>
  <mergeCells count="1">
    <mergeCell ref="C4:H4"/>
  </mergeCells>
  <phoneticPr fontId="4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330C7-2A34-744F-B3A8-470630ADC9FE}">
  <sheetPr codeName="Foglio47">
    <tabColor theme="0" tint="-0.499984740745262"/>
  </sheetPr>
  <dimension ref="B2:E28"/>
  <sheetViews>
    <sheetView showGridLines="0" zoomScale="160" zoomScaleNormal="160" workbookViewId="0">
      <selection activeCell="I22" sqref="I22"/>
    </sheetView>
  </sheetViews>
  <sheetFormatPr baseColWidth="10" defaultRowHeight="16" x14ac:dyDescent="0.2"/>
  <cols>
    <col min="1" max="1" width="10.83203125" style="3"/>
    <col min="2" max="2" width="38.33203125" style="3" customWidth="1"/>
    <col min="3" max="3" width="12.6640625" style="3" bestFit="1" customWidth="1"/>
    <col min="4" max="16384" width="10.83203125" style="3"/>
  </cols>
  <sheetData>
    <row r="2" spans="2:5" x14ac:dyDescent="0.2">
      <c r="B2" s="3" t="s">
        <v>1185</v>
      </c>
    </row>
    <row r="4" spans="2:5" x14ac:dyDescent="0.2">
      <c r="B4" s="3" t="s">
        <v>1190</v>
      </c>
      <c r="C4" s="54">
        <f>+'Tab. 11'!N91-'Tab. 11'!N58</f>
        <v>159948.8522553193</v>
      </c>
    </row>
    <row r="5" spans="2:5" x14ac:dyDescent="0.2">
      <c r="B5" s="76" t="s">
        <v>1203</v>
      </c>
      <c r="C5" s="54">
        <f>C4*'All. 4'!$E$5</f>
        <v>14699.299522263846</v>
      </c>
    </row>
    <row r="6" spans="2:5" x14ac:dyDescent="0.2">
      <c r="B6" s="76" t="s">
        <v>1204</v>
      </c>
      <c r="C6" s="54">
        <f>C4*'All. 4'!$E$6</f>
        <v>39987.213063829826</v>
      </c>
    </row>
    <row r="7" spans="2:5" x14ac:dyDescent="0.2">
      <c r="B7" s="82" t="s">
        <v>1224</v>
      </c>
      <c r="C7" s="86">
        <f>C4-C5-C6</f>
        <v>105262.33966922564</v>
      </c>
    </row>
    <row r="8" spans="2:5" x14ac:dyDescent="0.2">
      <c r="B8" s="864" t="s">
        <v>1191</v>
      </c>
      <c r="C8" s="865">
        <f>C4*'All. 4'!E4</f>
        <v>38083.821721991524</v>
      </c>
    </row>
    <row r="10" spans="2:5" x14ac:dyDescent="0.2">
      <c r="B10" s="862" t="s">
        <v>1220</v>
      </c>
      <c r="C10" s="863">
        <v>0</v>
      </c>
    </row>
    <row r="11" spans="2:5" x14ac:dyDescent="0.2">
      <c r="B11" s="12"/>
      <c r="C11" s="78"/>
    </row>
    <row r="12" spans="2:5" x14ac:dyDescent="0.2">
      <c r="C12" s="73"/>
    </row>
    <row r="13" spans="2:5" x14ac:dyDescent="0.2">
      <c r="B13" s="3" t="s">
        <v>1225</v>
      </c>
      <c r="C13" s="73">
        <f>'Tab. 11'!O92-'Tab. 11'!O67</f>
        <v>271579.6649999998</v>
      </c>
    </row>
    <row r="14" spans="2:5" x14ac:dyDescent="0.2">
      <c r="B14" s="76" t="s">
        <v>1203</v>
      </c>
      <c r="C14" s="54">
        <f>C13*'All. 4'!$E$5</f>
        <v>24958.171213499983</v>
      </c>
      <c r="E14" s="73">
        <f>+C14+C15+C17</f>
        <v>157516.20569999987</v>
      </c>
    </row>
    <row r="15" spans="2:5" x14ac:dyDescent="0.2">
      <c r="B15" s="76" t="s">
        <v>1204</v>
      </c>
      <c r="C15" s="54">
        <f>C13*'All. 4'!$E$6</f>
        <v>67894.916249999951</v>
      </c>
    </row>
    <row r="16" spans="2:5" x14ac:dyDescent="0.2">
      <c r="B16" s="82" t="s">
        <v>1226</v>
      </c>
      <c r="C16" s="86">
        <f>C13-C14-C15</f>
        <v>178726.57753649988</v>
      </c>
    </row>
    <row r="17" spans="2:3" x14ac:dyDescent="0.2">
      <c r="B17" s="864" t="s">
        <v>1192</v>
      </c>
      <c r="C17" s="865">
        <f>C13*'All. 4'!E4</f>
        <v>64663.118236499955</v>
      </c>
    </row>
    <row r="19" spans="2:3" x14ac:dyDescent="0.2">
      <c r="B19" s="862" t="s">
        <v>1196</v>
      </c>
      <c r="C19" s="863">
        <v>0</v>
      </c>
    </row>
    <row r="20" spans="2:3" x14ac:dyDescent="0.2">
      <c r="C20" s="73"/>
    </row>
    <row r="21" spans="2:3" x14ac:dyDescent="0.2">
      <c r="C21" s="73"/>
    </row>
    <row r="22" spans="2:3" x14ac:dyDescent="0.2">
      <c r="B22" s="3" t="s">
        <v>1227</v>
      </c>
      <c r="C22" s="73">
        <f>('Tab. 11'!O93-'Tab. 11'!O68)/2</f>
        <v>135789.8324999999</v>
      </c>
    </row>
    <row r="23" spans="2:3" x14ac:dyDescent="0.2">
      <c r="B23" s="76" t="s">
        <v>1203</v>
      </c>
      <c r="C23" s="54">
        <f>C22*'All. 4'!$E$5</f>
        <v>12479.085606749992</v>
      </c>
    </row>
    <row r="24" spans="2:3" x14ac:dyDescent="0.2">
      <c r="B24" s="76" t="s">
        <v>1204</v>
      </c>
      <c r="C24" s="54">
        <f>C22*'All. 4'!$E$6</f>
        <v>33947.458124999976</v>
      </c>
    </row>
    <row r="25" spans="2:3" x14ac:dyDescent="0.2">
      <c r="B25" s="82" t="s">
        <v>1228</v>
      </c>
      <c r="C25" s="86">
        <f>C22-C23-C24</f>
        <v>89363.288768249942</v>
      </c>
    </row>
    <row r="26" spans="2:3" x14ac:dyDescent="0.2">
      <c r="B26" s="864" t="s">
        <v>1229</v>
      </c>
      <c r="C26" s="865">
        <f>C22*'All. 4'!E4</f>
        <v>32331.559118249977</v>
      </c>
    </row>
    <row r="28" spans="2:3" s="12" customFormat="1" x14ac:dyDescent="0.2">
      <c r="B28" s="12" t="s">
        <v>1201</v>
      </c>
      <c r="C28" s="866">
        <v>2660000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3FD7-968B-054C-9404-9312806D6252}">
  <sheetPr codeName="Foglio48"/>
  <dimension ref="A2:U40"/>
  <sheetViews>
    <sheetView topLeftCell="A3" zoomScale="200" zoomScaleNormal="170" workbookViewId="0">
      <pane xSplit="2" ySplit="3" topLeftCell="H31" activePane="bottomRight" state="frozen"/>
      <selection activeCell="A3" sqref="A3"/>
      <selection pane="topRight" activeCell="C3" sqref="C3"/>
      <selection pane="bottomLeft" activeCell="A6" sqref="A6"/>
      <selection pane="bottomRight" activeCell="A41" sqref="A41:XFD41"/>
    </sheetView>
  </sheetViews>
  <sheetFormatPr baseColWidth="10" defaultRowHeight="16" outlineLevelCol="1" x14ac:dyDescent="0.2"/>
  <cols>
    <col min="1" max="1" width="10.83203125" style="3"/>
    <col min="2" max="2" width="19.83203125" style="3" customWidth="1"/>
    <col min="3" max="7" width="12.6640625" style="3" customWidth="1" outlineLevel="1"/>
    <col min="8" max="8" width="14.83203125" style="3" customWidth="1"/>
    <col min="9" max="20" width="12" style="3" customWidth="1"/>
    <col min="21" max="21" width="13" style="3" customWidth="1"/>
    <col min="22" max="16384" width="10.83203125" style="3"/>
  </cols>
  <sheetData>
    <row r="2" spans="1:21" x14ac:dyDescent="0.2">
      <c r="B2" s="3" t="s">
        <v>1110</v>
      </c>
    </row>
    <row r="3" spans="1:21" ht="17" thickBot="1" x14ac:dyDescent="0.25"/>
    <row r="4" spans="1:21" x14ac:dyDescent="0.2">
      <c r="C4" s="1050" t="s">
        <v>170</v>
      </c>
      <c r="D4" s="1051"/>
      <c r="E4" s="1051"/>
      <c r="F4" s="1051"/>
      <c r="G4" s="1051"/>
      <c r="H4" s="1052"/>
      <c r="I4" s="1043" t="s">
        <v>196</v>
      </c>
      <c r="J4" s="1044"/>
      <c r="K4" s="1044"/>
      <c r="L4" s="1044"/>
      <c r="M4" s="1044"/>
      <c r="N4" s="1044"/>
      <c r="O4" s="1044"/>
      <c r="P4" s="1044"/>
      <c r="Q4" s="1044"/>
      <c r="R4" s="1044"/>
      <c r="S4" s="1044"/>
      <c r="T4" s="1044"/>
      <c r="U4" s="1045"/>
    </row>
    <row r="5" spans="1:21" x14ac:dyDescent="0.2">
      <c r="C5" s="752" t="s">
        <v>217</v>
      </c>
      <c r="D5" s="420" t="s">
        <v>218</v>
      </c>
      <c r="E5" s="420" t="s">
        <v>219</v>
      </c>
      <c r="F5" s="420" t="s">
        <v>220</v>
      </c>
      <c r="G5" s="420" t="s">
        <v>221</v>
      </c>
      <c r="H5" s="293" t="s">
        <v>222</v>
      </c>
      <c r="I5" s="752" t="s">
        <v>211</v>
      </c>
      <c r="J5" s="420" t="s">
        <v>212</v>
      </c>
      <c r="K5" s="420" t="s">
        <v>213</v>
      </c>
      <c r="L5" s="420" t="s">
        <v>214</v>
      </c>
      <c r="M5" s="420" t="s">
        <v>215</v>
      </c>
      <c r="N5" s="420" t="s">
        <v>216</v>
      </c>
      <c r="O5" s="420" t="s">
        <v>217</v>
      </c>
      <c r="P5" s="420" t="s">
        <v>218</v>
      </c>
      <c r="Q5" s="420" t="s">
        <v>219</v>
      </c>
      <c r="R5" s="420" t="s">
        <v>220</v>
      </c>
      <c r="S5" s="420" t="s">
        <v>221</v>
      </c>
      <c r="T5" s="420" t="s">
        <v>222</v>
      </c>
      <c r="U5" s="713" t="s">
        <v>179</v>
      </c>
    </row>
    <row r="6" spans="1:21" x14ac:dyDescent="0.2">
      <c r="B6" s="785"/>
      <c r="C6" s="146"/>
      <c r="H6" s="152"/>
      <c r="I6" s="146"/>
      <c r="U6" s="464"/>
    </row>
    <row r="7" spans="1:21" x14ac:dyDescent="0.2">
      <c r="B7" s="786" t="s">
        <v>1099</v>
      </c>
      <c r="C7" s="146"/>
      <c r="H7" s="152"/>
      <c r="I7" s="146"/>
      <c r="U7" s="464"/>
    </row>
    <row r="8" spans="1:21" x14ac:dyDescent="0.2">
      <c r="B8" s="28"/>
      <c r="C8" s="146"/>
      <c r="H8" s="152"/>
      <c r="I8" s="146"/>
      <c r="U8" s="464"/>
    </row>
    <row r="9" spans="1:21" x14ac:dyDescent="0.2">
      <c r="B9" s="28" t="s">
        <v>166</v>
      </c>
      <c r="C9" s="782">
        <f>+'All. 13'!C6</f>
        <v>4553280</v>
      </c>
      <c r="D9" s="100">
        <f>+'All. 13'!D6</f>
        <v>2483610</v>
      </c>
      <c r="E9" s="100">
        <f>+'All. 13'!E6</f>
        <v>4553280</v>
      </c>
      <c r="F9" s="789">
        <f>+'All. 13'!F6</f>
        <v>4346310</v>
      </c>
      <c r="G9" s="789">
        <f>+'All. 13'!G6</f>
        <v>4346310</v>
      </c>
      <c r="H9" s="790">
        <f>+'All. 13'!H6</f>
        <v>2483610</v>
      </c>
      <c r="I9" s="782">
        <f>+'Tab. 4'!C6</f>
        <v>3994585.5261496222</v>
      </c>
      <c r="J9" s="100">
        <f>+'Tab. 4'!D6</f>
        <v>4438428.3623884683</v>
      </c>
      <c r="K9" s="100">
        <f>+'Tab. 4'!E6</f>
        <v>5104192.6167467395</v>
      </c>
      <c r="L9" s="100">
        <f>+'Tab. 4'!F6</f>
        <v>4660349.7805078924</v>
      </c>
      <c r="M9" s="100">
        <f>+'Tab. 4'!G6</f>
        <v>4660349.7805078924</v>
      </c>
      <c r="N9" s="100">
        <f>+'Tab. 4'!H6</f>
        <v>4882271.1986273155</v>
      </c>
      <c r="O9" s="100">
        <f>+'Tab. 4'!I6</f>
        <v>4882271.1986273155</v>
      </c>
      <c r="P9" s="100">
        <f>+'Tab. 4'!J6</f>
        <v>2663057.0174330808</v>
      </c>
      <c r="Q9" s="100">
        <f>+'Tab. 4'!K6</f>
        <v>4882271.1986273155</v>
      </c>
      <c r="R9" s="100">
        <f>+'Tab. 4'!L6</f>
        <v>4660349.7805078924</v>
      </c>
      <c r="S9" s="100">
        <f>+'Tab. 4'!M6</f>
        <v>4660349.7805078924</v>
      </c>
      <c r="T9" s="100">
        <f>+'Tab. 4'!N6</f>
        <v>2663057.0174330808</v>
      </c>
      <c r="U9" s="783"/>
    </row>
    <row r="10" spans="1:21" x14ac:dyDescent="0.2">
      <c r="B10" s="28" t="s">
        <v>167</v>
      </c>
      <c r="C10" s="782">
        <f>+'All. 13'!C7</f>
        <v>6898320</v>
      </c>
      <c r="D10" s="100">
        <f>+'All. 13'!D7</f>
        <v>3761720</v>
      </c>
      <c r="E10" s="100">
        <f>+'All. 13'!E7</f>
        <v>6898320</v>
      </c>
      <c r="F10" s="100">
        <f>+'All. 13'!F7</f>
        <v>6584760</v>
      </c>
      <c r="G10" s="89">
        <f>+'All. 13'!G7</f>
        <v>6584760</v>
      </c>
      <c r="H10" s="792">
        <f>+'All. 13'!H7</f>
        <v>3762720</v>
      </c>
      <c r="I10" s="782">
        <f>+'Tab. 4'!C7</f>
        <v>5963581.0723404242</v>
      </c>
      <c r="J10" s="100">
        <f>+'Tab. 4'!D7</f>
        <v>6626201.1914893612</v>
      </c>
      <c r="K10" s="100">
        <f>+'Tab. 4'!E7</f>
        <v>7620131.3702127654</v>
      </c>
      <c r="L10" s="100">
        <f>+'Tab. 4'!F7</f>
        <v>6957511.2510638293</v>
      </c>
      <c r="M10" s="100">
        <f>+'Tab. 4'!G7</f>
        <v>6957511.2510638293</v>
      </c>
      <c r="N10" s="100">
        <f>+'Tab. 4'!H7</f>
        <v>7288821.3106382973</v>
      </c>
      <c r="O10" s="100">
        <f>+'Tab. 4'!I7</f>
        <v>7288821.3106382973</v>
      </c>
      <c r="P10" s="100">
        <f>+'Tab. 4'!J7</f>
        <v>3975720.7148936167</v>
      </c>
      <c r="Q10" s="100">
        <f>+'Tab. 4'!K7</f>
        <v>7288821.3106382973</v>
      </c>
      <c r="R10" s="100">
        <f>+'Tab. 4'!L7</f>
        <v>6957511.2510638293</v>
      </c>
      <c r="S10" s="100">
        <f>+'Tab. 4'!M7</f>
        <v>6957511.2510638293</v>
      </c>
      <c r="T10" s="100">
        <f>+'Tab. 4'!N7</f>
        <v>3975720.7148936167</v>
      </c>
      <c r="U10" s="783"/>
    </row>
    <row r="11" spans="1:21" x14ac:dyDescent="0.2">
      <c r="B11" s="28" t="s">
        <v>201</v>
      </c>
      <c r="C11" s="782">
        <f>+'All. 13'!C8</f>
        <v>1214400</v>
      </c>
      <c r="D11" s="794">
        <f>+'All. 13'!D8</f>
        <v>662400</v>
      </c>
      <c r="E11" s="794">
        <f>+'All. 13'!E8</f>
        <v>1214400</v>
      </c>
      <c r="F11" s="794">
        <f>+'All. 13'!F8</f>
        <v>1159200</v>
      </c>
      <c r="G11" s="794">
        <f>+'All. 13'!G8</f>
        <v>1159200</v>
      </c>
      <c r="H11" s="795">
        <f>+'All. 13'!H8</f>
        <v>662400</v>
      </c>
      <c r="I11" s="782">
        <f>+'Tab. 4'!C8</f>
        <v>1057021.2765957448</v>
      </c>
      <c r="J11" s="100">
        <f>+'Tab. 4'!D8</f>
        <v>1174468.0851063831</v>
      </c>
      <c r="K11" s="100">
        <f>+'Tab. 4'!E8</f>
        <v>1350638.2978723408</v>
      </c>
      <c r="L11" s="100">
        <f>+'Tab. 4'!F8</f>
        <v>1233191.4893617022</v>
      </c>
      <c r="M11" s="100">
        <f>+'Tab. 4'!G8</f>
        <v>1233191.4893617022</v>
      </c>
      <c r="N11" s="100">
        <f>+'Tab. 4'!H8</f>
        <v>1291914.8936170214</v>
      </c>
      <c r="O11" s="100">
        <f>+'Tab. 4'!I8</f>
        <v>1291914.8936170214</v>
      </c>
      <c r="P11" s="100">
        <f>+'Tab. 4'!J8</f>
        <v>704680.85106382985</v>
      </c>
      <c r="Q11" s="100">
        <f>+'Tab. 4'!K8</f>
        <v>1291914.8936170214</v>
      </c>
      <c r="R11" s="100">
        <f>+'Tab. 4'!L8</f>
        <v>1233191.4893617022</v>
      </c>
      <c r="S11" s="100">
        <f>+'Tab. 4'!M8</f>
        <v>1233191.4893617022</v>
      </c>
      <c r="T11" s="100">
        <f>+'Tab. 4'!N8</f>
        <v>704680.85106382985</v>
      </c>
      <c r="U11" s="783"/>
    </row>
    <row r="12" spans="1:21" ht="17" thickBot="1" x14ac:dyDescent="0.25">
      <c r="B12" s="787" t="s">
        <v>1100</v>
      </c>
      <c r="C12" s="788">
        <f>SUM(C9:C11)</f>
        <v>12666000</v>
      </c>
      <c r="D12" s="770">
        <f t="shared" ref="D12:I12" si="0">SUM(D9:D11)</f>
        <v>6907730</v>
      </c>
      <c r="E12" s="770">
        <f t="shared" si="0"/>
        <v>12666000</v>
      </c>
      <c r="F12" s="770">
        <f t="shared" si="0"/>
        <v>12090270</v>
      </c>
      <c r="G12" s="770">
        <f t="shared" si="0"/>
        <v>12090270</v>
      </c>
      <c r="H12" s="774">
        <f t="shared" si="0"/>
        <v>6908730</v>
      </c>
      <c r="I12" s="784">
        <f t="shared" si="0"/>
        <v>11015187.875085792</v>
      </c>
      <c r="J12" s="770">
        <f t="shared" ref="J12" si="1">SUM(J9:J11)</f>
        <v>12239097.638984215</v>
      </c>
      <c r="K12" s="770">
        <f t="shared" ref="K12" si="2">SUM(K9:K11)</f>
        <v>14074962.284831846</v>
      </c>
      <c r="L12" s="770">
        <f>SUM(L9:L11)</f>
        <v>12851052.520933423</v>
      </c>
      <c r="M12" s="770">
        <f t="shared" ref="M12" si="3">SUM(M9:M11)</f>
        <v>12851052.520933423</v>
      </c>
      <c r="N12" s="770">
        <f t="shared" ref="N12:O12" si="4">SUM(N9:N11)</f>
        <v>13463007.402882634</v>
      </c>
      <c r="O12" s="770">
        <f t="shared" si="4"/>
        <v>13463007.402882634</v>
      </c>
      <c r="P12" s="770">
        <f t="shared" ref="P12" si="5">SUM(P9:P11)</f>
        <v>7343458.5833905274</v>
      </c>
      <c r="Q12" s="770">
        <f t="shared" ref="Q12" si="6">SUM(Q9:Q11)</f>
        <v>13463007.402882634</v>
      </c>
      <c r="R12" s="770">
        <f t="shared" ref="R12" si="7">SUM(R9:R11)</f>
        <v>12851052.520933423</v>
      </c>
      <c r="S12" s="770">
        <f t="shared" ref="S12" si="8">SUM(S9:S11)</f>
        <v>12851052.520933423</v>
      </c>
      <c r="T12" s="770">
        <f t="shared" ref="T12" si="9">SUM(T9:T11)</f>
        <v>7343458.5833905274</v>
      </c>
      <c r="U12" s="254"/>
    </row>
    <row r="13" spans="1:21" x14ac:dyDescent="0.2">
      <c r="B13" s="785"/>
      <c r="C13" s="146"/>
      <c r="H13" s="152"/>
      <c r="I13" s="146"/>
      <c r="U13" s="464"/>
    </row>
    <row r="14" spans="1:21" x14ac:dyDescent="0.2">
      <c r="A14" s="16">
        <f>+'Tab 0'!B47</f>
        <v>90</v>
      </c>
      <c r="B14" s="796" t="s">
        <v>192</v>
      </c>
      <c r="C14" s="146"/>
      <c r="H14" s="152"/>
      <c r="I14" s="146"/>
      <c r="U14" s="464"/>
    </row>
    <row r="15" spans="1:21" x14ac:dyDescent="0.2">
      <c r="B15" s="28"/>
      <c r="C15" s="146"/>
      <c r="H15" s="152"/>
      <c r="U15" s="464"/>
    </row>
    <row r="16" spans="1:21" x14ac:dyDescent="0.2">
      <c r="B16" s="28" t="s">
        <v>1103</v>
      </c>
      <c r="C16" s="146"/>
      <c r="H16" s="152"/>
      <c r="I16" s="782">
        <f t="shared" ref="I16:T16" si="10">+H19</f>
        <v>13635000.6</v>
      </c>
      <c r="J16" s="100">
        <f t="shared" si="10"/>
        <v>13205896.741902541</v>
      </c>
      <c r="K16" s="100">
        <f t="shared" si="10"/>
        <v>13318281.144016474</v>
      </c>
      <c r="L16" s="100">
        <f t="shared" si="10"/>
        <v>16515391.936447497</v>
      </c>
      <c r="M16" s="100">
        <f t="shared" si="10"/>
        <v>17327624.326764587</v>
      </c>
      <c r="N16" s="100">
        <f t="shared" si="10"/>
        <v>17598368.456870284</v>
      </c>
      <c r="O16" s="100">
        <f t="shared" si="10"/>
        <v>17327624.326764587</v>
      </c>
      <c r="P16" s="100">
        <f t="shared" si="10"/>
        <v>17598368.456870284</v>
      </c>
      <c r="Q16" s="100">
        <f t="shared" si="10"/>
        <v>15161671.285919014</v>
      </c>
      <c r="R16" s="100">
        <f t="shared" si="10"/>
        <v>15161671.285919014</v>
      </c>
      <c r="S16" s="100">
        <f t="shared" si="10"/>
        <v>14890927.155813318</v>
      </c>
      <c r="T16" s="100">
        <f t="shared" si="10"/>
        <v>17327624.326764587</v>
      </c>
      <c r="U16" s="464"/>
    </row>
    <row r="17" spans="1:21" x14ac:dyDescent="0.2">
      <c r="B17" s="797" t="s">
        <v>129</v>
      </c>
      <c r="C17" s="146"/>
      <c r="H17" s="152"/>
      <c r="I17" s="782">
        <f>+I9*(1+'All. 13'!$C$11)</f>
        <v>4873394.3419025391</v>
      </c>
      <c r="J17" s="100">
        <f>+J9*(1+'All. 13'!$C$11)</f>
        <v>5414882.6021139314</v>
      </c>
      <c r="K17" s="100">
        <f>+K9*(1+'All. 13'!$C$11)</f>
        <v>6227114.9924310222</v>
      </c>
      <c r="L17" s="100">
        <f>+L9*(1+'All. 13'!$C$11)</f>
        <v>5685626.732219629</v>
      </c>
      <c r="M17" s="100">
        <f>+M9*(1+'All. 13'!$C$11)</f>
        <v>5685626.732219629</v>
      </c>
      <c r="N17" s="100">
        <f>+N9*(1+'All. 13'!$C$11)</f>
        <v>5956370.8623253247</v>
      </c>
      <c r="O17" s="100">
        <f>+O9*(1+'All. 13'!$C$11)</f>
        <v>5956370.8623253247</v>
      </c>
      <c r="P17" s="100">
        <f>+P9*(1+'All. 13'!$C$11)</f>
        <v>3248929.5612683585</v>
      </c>
      <c r="Q17" s="100">
        <f>+Q9*(1+'All. 13'!$C$11)</f>
        <v>5956370.8623253247</v>
      </c>
      <c r="R17" s="100">
        <f>+R9*(1+'All. 13'!$C$11)</f>
        <v>5685626.732219629</v>
      </c>
      <c r="S17" s="100">
        <f>+S9*(1+'All. 13'!$C$11)</f>
        <v>5685626.732219629</v>
      </c>
      <c r="T17" s="100">
        <f>+T9*(1+'All. 13'!$C$11)</f>
        <v>3248929.5612683585</v>
      </c>
      <c r="U17" s="464"/>
    </row>
    <row r="18" spans="1:21" x14ac:dyDescent="0.2">
      <c r="B18" s="797" t="s">
        <v>130</v>
      </c>
      <c r="C18" s="146"/>
      <c r="H18" s="152"/>
      <c r="I18" s="782">
        <f>F9*(1+'All. 13'!$C$11)</f>
        <v>5302498.2</v>
      </c>
      <c r="J18" s="100">
        <f>G9*(1+'All. 13'!$C$11)</f>
        <v>5302498.2</v>
      </c>
      <c r="K18" s="100">
        <f>H9*(1+'All. 13'!$C$11)</f>
        <v>3030004.1999999997</v>
      </c>
      <c r="L18" s="100">
        <f>I9*(1+'All. 13'!$C$11)</f>
        <v>4873394.3419025391</v>
      </c>
      <c r="M18" s="100">
        <f>J9*(1+'All. 13'!$C$11)</f>
        <v>5414882.6021139314</v>
      </c>
      <c r="N18" s="100">
        <f>K9*(1+'All. 13'!$C$11)</f>
        <v>6227114.9924310222</v>
      </c>
      <c r="O18" s="100">
        <f>L9*(1+'All. 13'!$C$11)</f>
        <v>5685626.732219629</v>
      </c>
      <c r="P18" s="100">
        <f>M9*(1+'All. 13'!$C$11)</f>
        <v>5685626.732219629</v>
      </c>
      <c r="Q18" s="100">
        <f>N9*(1+'All. 13'!$C$11)</f>
        <v>5956370.8623253247</v>
      </c>
      <c r="R18" s="100">
        <f>O9*(1+'All. 13'!$C$11)</f>
        <v>5956370.8623253247</v>
      </c>
      <c r="S18" s="100">
        <f>P9*(1+'All. 13'!$C$11)</f>
        <v>3248929.5612683585</v>
      </c>
      <c r="T18" s="100">
        <f>Q9*(1+'All. 13'!$C$11)</f>
        <v>5956370.8623253247</v>
      </c>
      <c r="U18" s="783">
        <f>SUM(I18:T18)</f>
        <v>62639688.149131089</v>
      </c>
    </row>
    <row r="19" spans="1:21" ht="17" thickBot="1" x14ac:dyDescent="0.25">
      <c r="B19" s="787" t="s">
        <v>1104</v>
      </c>
      <c r="C19" s="788"/>
      <c r="D19" s="770"/>
      <c r="E19" s="770"/>
      <c r="F19" s="770"/>
      <c r="G19" s="770"/>
      <c r="H19" s="774">
        <f>SUM(F9:H9)*(1+'All. 13'!$C$11)</f>
        <v>13635000.6</v>
      </c>
      <c r="I19" s="784">
        <f>+I16+I17-I18</f>
        <v>13205896.741902541</v>
      </c>
      <c r="J19" s="770">
        <f t="shared" ref="J19:T19" si="11">+J16+J17-J18</f>
        <v>13318281.144016474</v>
      </c>
      <c r="K19" s="770">
        <f t="shared" si="11"/>
        <v>16515391.936447497</v>
      </c>
      <c r="L19" s="770">
        <f t="shared" si="11"/>
        <v>17327624.326764587</v>
      </c>
      <c r="M19" s="770">
        <f t="shared" si="11"/>
        <v>17598368.456870284</v>
      </c>
      <c r="N19" s="770">
        <f t="shared" si="11"/>
        <v>17327624.326764587</v>
      </c>
      <c r="O19" s="770">
        <f t="shared" si="11"/>
        <v>17598368.456870284</v>
      </c>
      <c r="P19" s="770">
        <f t="shared" si="11"/>
        <v>15161671.285919014</v>
      </c>
      <c r="Q19" s="770">
        <f t="shared" si="11"/>
        <v>15161671.285919014</v>
      </c>
      <c r="R19" s="770">
        <f t="shared" si="11"/>
        <v>14890927.155813318</v>
      </c>
      <c r="S19" s="770">
        <f t="shared" si="11"/>
        <v>17327624.326764587</v>
      </c>
      <c r="T19" s="770">
        <f t="shared" si="11"/>
        <v>14620183.025707621</v>
      </c>
      <c r="U19" s="254"/>
    </row>
    <row r="20" spans="1:21" x14ac:dyDescent="0.2">
      <c r="B20" s="785"/>
      <c r="C20" s="146"/>
      <c r="H20" s="152"/>
      <c r="I20" s="146"/>
      <c r="U20" s="464"/>
    </row>
    <row r="21" spans="1:21" x14ac:dyDescent="0.2">
      <c r="A21" s="16">
        <f>+'Tab 0'!C47</f>
        <v>30</v>
      </c>
      <c r="B21" s="796" t="s">
        <v>193</v>
      </c>
      <c r="C21" s="146"/>
      <c r="H21" s="152"/>
      <c r="I21" s="146"/>
      <c r="U21" s="464"/>
    </row>
    <row r="22" spans="1:21" x14ac:dyDescent="0.2">
      <c r="B22" s="28"/>
      <c r="C22" s="146"/>
      <c r="H22" s="152"/>
      <c r="U22" s="464"/>
    </row>
    <row r="23" spans="1:21" x14ac:dyDescent="0.2">
      <c r="B23" s="28" t="s">
        <v>1103</v>
      </c>
      <c r="C23" s="146"/>
      <c r="H23" s="152"/>
      <c r="I23" s="782">
        <f t="shared" ref="I23:T23" si="12">+H26</f>
        <v>4590518.3999999994</v>
      </c>
      <c r="J23" s="100">
        <f t="shared" si="12"/>
        <v>7275568.9082553172</v>
      </c>
      <c r="K23" s="100">
        <f t="shared" si="12"/>
        <v>8083965.4536170205</v>
      </c>
      <c r="L23" s="100">
        <f t="shared" si="12"/>
        <v>9296560.2716595717</v>
      </c>
      <c r="M23" s="100">
        <f t="shared" si="12"/>
        <v>8488163.7262978721</v>
      </c>
      <c r="N23" s="100">
        <f t="shared" si="12"/>
        <v>8488163.7262978721</v>
      </c>
      <c r="O23" s="100">
        <f t="shared" si="12"/>
        <v>8892361.9989787247</v>
      </c>
      <c r="P23" s="100">
        <f t="shared" si="12"/>
        <v>8892361.9989787228</v>
      </c>
      <c r="Q23" s="100">
        <f t="shared" si="12"/>
        <v>4850379.2721702121</v>
      </c>
      <c r="R23" s="100">
        <f t="shared" si="12"/>
        <v>8892361.9989787228</v>
      </c>
      <c r="S23" s="100">
        <f t="shared" si="12"/>
        <v>8488163.726297874</v>
      </c>
      <c r="T23" s="100">
        <f t="shared" si="12"/>
        <v>8488163.7262978759</v>
      </c>
      <c r="U23" s="464"/>
    </row>
    <row r="24" spans="1:21" x14ac:dyDescent="0.2">
      <c r="B24" s="797" t="s">
        <v>129</v>
      </c>
      <c r="C24" s="146"/>
      <c r="H24" s="152"/>
      <c r="I24" s="782">
        <f>+I10*(1+'All. 13'!$C$11)</f>
        <v>7275568.9082553172</v>
      </c>
      <c r="J24" s="100">
        <f>+J10*(1+'All. 13'!$C$11)</f>
        <v>8083965.4536170205</v>
      </c>
      <c r="K24" s="100">
        <f>+K10*(1+'All. 13'!$C$11)</f>
        <v>9296560.2716595735</v>
      </c>
      <c r="L24" s="100">
        <f>+L10*(1+'All. 13'!$C$11)</f>
        <v>8488163.7262978721</v>
      </c>
      <c r="M24" s="100">
        <f>+M10*(1+'All. 13'!$C$11)</f>
        <v>8488163.7262978721</v>
      </c>
      <c r="N24" s="100">
        <f>+N10*(1+'All. 13'!$C$11)</f>
        <v>8892361.9989787228</v>
      </c>
      <c r="O24" s="100">
        <f>+O10*(1+'All. 13'!$C$11)</f>
        <v>8892361.9989787228</v>
      </c>
      <c r="P24" s="100">
        <f>+P10*(1+'All. 13'!$C$11)</f>
        <v>4850379.2721702121</v>
      </c>
      <c r="Q24" s="100">
        <f>+Q10*(1+'All. 13'!$C$11)</f>
        <v>8892361.9989787228</v>
      </c>
      <c r="R24" s="100">
        <f>+R10*(1+'All. 13'!$C$11)</f>
        <v>8488163.7262978721</v>
      </c>
      <c r="S24" s="100">
        <f>+S10*(1+'All. 13'!$C$11)</f>
        <v>8488163.7262978721</v>
      </c>
      <c r="T24" s="100">
        <f>+T10*(1+'All. 13'!$C$11)</f>
        <v>4850379.2721702121</v>
      </c>
      <c r="U24" s="464"/>
    </row>
    <row r="25" spans="1:21" x14ac:dyDescent="0.2">
      <c r="B25" s="797" t="s">
        <v>130</v>
      </c>
      <c r="C25" s="146"/>
      <c r="H25" s="152"/>
      <c r="I25" s="782">
        <f>H10*(1+'All. 13'!$C$11)</f>
        <v>4590518.3999999994</v>
      </c>
      <c r="J25" s="100">
        <f>I10*(1+'All. 13'!$C$11)</f>
        <v>7275568.9082553172</v>
      </c>
      <c r="K25" s="100">
        <f>J10*(1+'All. 13'!$C$11)</f>
        <v>8083965.4536170205</v>
      </c>
      <c r="L25" s="100">
        <f>K10*(1+'All. 13'!$C$11)</f>
        <v>9296560.2716595735</v>
      </c>
      <c r="M25" s="100">
        <f>L10*(1+'All. 13'!$C$11)</f>
        <v>8488163.7262978721</v>
      </c>
      <c r="N25" s="100">
        <f>M10*(1+'All. 13'!$C$11)</f>
        <v>8488163.7262978721</v>
      </c>
      <c r="O25" s="100">
        <f>N10*(1+'All. 13'!$C$11)</f>
        <v>8892361.9989787228</v>
      </c>
      <c r="P25" s="100">
        <f>O10*(1+'All. 13'!$C$11)</f>
        <v>8892361.9989787228</v>
      </c>
      <c r="Q25" s="100">
        <f>P10*(1+'All. 13'!$C$11)</f>
        <v>4850379.2721702121</v>
      </c>
      <c r="R25" s="100">
        <f>Q10*(1+'All. 13'!$C$11)</f>
        <v>8892361.9989787228</v>
      </c>
      <c r="S25" s="100">
        <f>R10*(1+'All. 13'!$C$11)</f>
        <v>8488163.7262978721</v>
      </c>
      <c r="T25" s="100">
        <f>S10*(1+'All. 13'!$C$11)</f>
        <v>8488163.7262978721</v>
      </c>
      <c r="U25" s="783">
        <f>SUM(I25:T25)</f>
        <v>94726733.207829773</v>
      </c>
    </row>
    <row r="26" spans="1:21" ht="17" thickBot="1" x14ac:dyDescent="0.25">
      <c r="B26" s="787" t="s">
        <v>1105</v>
      </c>
      <c r="C26" s="788"/>
      <c r="D26" s="770"/>
      <c r="E26" s="770"/>
      <c r="F26" s="770"/>
      <c r="G26" s="770"/>
      <c r="H26" s="774">
        <f>SUM(H10)*(1+'All. 13'!$C$11)</f>
        <v>4590518.3999999994</v>
      </c>
      <c r="I26" s="784">
        <f>+I23+I24-I25</f>
        <v>7275568.9082553172</v>
      </c>
      <c r="J26" s="770">
        <f t="shared" ref="J26" si="13">+J23+J24-J25</f>
        <v>8083965.4536170205</v>
      </c>
      <c r="K26" s="770">
        <f t="shared" ref="K26" si="14">+K23+K24-K25</f>
        <v>9296560.2716595717</v>
      </c>
      <c r="L26" s="770">
        <f t="shared" ref="L26" si="15">+L23+L24-L25</f>
        <v>8488163.7262978721</v>
      </c>
      <c r="M26" s="770">
        <f t="shared" ref="M26" si="16">+M23+M24-M25</f>
        <v>8488163.7262978721</v>
      </c>
      <c r="N26" s="770">
        <f t="shared" ref="N26" si="17">+N23+N24-N25</f>
        <v>8892361.9989787247</v>
      </c>
      <c r="O26" s="770">
        <f t="shared" ref="O26" si="18">+O23+O24-O25</f>
        <v>8892361.9989787228</v>
      </c>
      <c r="P26" s="770">
        <f t="shared" ref="P26" si="19">+P23+P24-P25</f>
        <v>4850379.2721702121</v>
      </c>
      <c r="Q26" s="770">
        <f t="shared" ref="Q26" si="20">+Q23+Q24-Q25</f>
        <v>8892361.9989787228</v>
      </c>
      <c r="R26" s="770">
        <f t="shared" ref="R26" si="21">+R23+R24-R25</f>
        <v>8488163.726297874</v>
      </c>
      <c r="S26" s="770">
        <f t="shared" ref="S26" si="22">+S23+S24-S25</f>
        <v>8488163.7262978759</v>
      </c>
      <c r="T26" s="770">
        <f t="shared" ref="T26" si="23">+T23+T24-T25</f>
        <v>4850379.2721702158</v>
      </c>
      <c r="U26" s="254"/>
    </row>
    <row r="27" spans="1:21" x14ac:dyDescent="0.2">
      <c r="B27" s="785"/>
      <c r="C27" s="146"/>
      <c r="H27" s="152"/>
      <c r="I27" s="146"/>
      <c r="U27" s="464"/>
    </row>
    <row r="28" spans="1:21" x14ac:dyDescent="0.2">
      <c r="A28" s="16">
        <f>+'Tab 0'!D47</f>
        <v>150</v>
      </c>
      <c r="B28" s="796" t="s">
        <v>194</v>
      </c>
      <c r="C28" s="146"/>
      <c r="H28" s="152"/>
      <c r="I28" s="146"/>
      <c r="U28" s="464"/>
    </row>
    <row r="29" spans="1:21" x14ac:dyDescent="0.2">
      <c r="B29" s="28"/>
      <c r="C29" s="146"/>
      <c r="H29" s="152"/>
      <c r="U29" s="464"/>
    </row>
    <row r="30" spans="1:21" x14ac:dyDescent="0.2">
      <c r="B30" s="28" t="s">
        <v>1103</v>
      </c>
      <c r="C30" s="146"/>
      <c r="H30" s="152"/>
      <c r="I30" s="782">
        <f t="shared" ref="I30:T30" si="24">+H33</f>
        <v>5926272</v>
      </c>
      <c r="J30" s="100">
        <f t="shared" si="24"/>
        <v>6407709.9574468089</v>
      </c>
      <c r="K30" s="100">
        <f t="shared" si="24"/>
        <v>6358993.021276596</v>
      </c>
      <c r="L30" s="100">
        <f t="shared" si="24"/>
        <v>6592547.7446808517</v>
      </c>
      <c r="M30" s="100">
        <f t="shared" si="24"/>
        <v>6682817.3617021283</v>
      </c>
      <c r="N30" s="100">
        <f t="shared" si="24"/>
        <v>7379182.9787234049</v>
      </c>
      <c r="O30" s="100">
        <f t="shared" si="24"/>
        <v>7665753.1914893622</v>
      </c>
      <c r="P30" s="100">
        <f t="shared" si="24"/>
        <v>7809038.2978723422</v>
      </c>
      <c r="Q30" s="100">
        <f t="shared" si="24"/>
        <v>7020970.2127659591</v>
      </c>
      <c r="R30" s="100">
        <f t="shared" si="24"/>
        <v>7092612.7659574496</v>
      </c>
      <c r="S30" s="100">
        <f t="shared" si="24"/>
        <v>7092612.7659574496</v>
      </c>
      <c r="T30" s="100">
        <f t="shared" si="24"/>
        <v>7020970.21276596</v>
      </c>
      <c r="U30" s="464"/>
    </row>
    <row r="31" spans="1:21" x14ac:dyDescent="0.2">
      <c r="B31" s="797" t="s">
        <v>129</v>
      </c>
      <c r="C31" s="146"/>
      <c r="H31" s="152"/>
      <c r="I31" s="782">
        <f>+I11*(1+'All. 13'!$C$11)</f>
        <v>1289565.9574468087</v>
      </c>
      <c r="J31" s="100">
        <f>+J11*(1+'All. 13'!$C$11)</f>
        <v>1432851.0638297873</v>
      </c>
      <c r="K31" s="100">
        <f>+K11*(1+'All. 13'!$C$11)</f>
        <v>1647778.7234042557</v>
      </c>
      <c r="L31" s="100">
        <f>+L11*(1+'All. 13'!$C$11)</f>
        <v>1504493.6170212766</v>
      </c>
      <c r="M31" s="100">
        <f>+M11*(1+'All. 13'!$C$11)</f>
        <v>1504493.6170212766</v>
      </c>
      <c r="N31" s="100">
        <f>+N11*(1+'All. 13'!$C$11)</f>
        <v>1576136.1702127662</v>
      </c>
      <c r="O31" s="100">
        <f>+O11*(1+'All. 13'!$C$11)</f>
        <v>1576136.1702127662</v>
      </c>
      <c r="P31" s="100">
        <f>+P11*(1+'All. 13'!$C$11)</f>
        <v>859710.63829787239</v>
      </c>
      <c r="Q31" s="100">
        <f>+Q11*(1+'All. 13'!$C$11)</f>
        <v>1576136.1702127662</v>
      </c>
      <c r="R31" s="100">
        <f>+R11*(1+'All. 13'!$C$11)</f>
        <v>1504493.6170212766</v>
      </c>
      <c r="S31" s="100">
        <f>+S11*(1+'All. 13'!$C$11)</f>
        <v>1504493.6170212766</v>
      </c>
      <c r="T31" s="100">
        <f>+T11*(1+'All. 13'!$C$11)</f>
        <v>859710.63829787239</v>
      </c>
      <c r="U31" s="464"/>
    </row>
    <row r="32" spans="1:21" x14ac:dyDescent="0.2">
      <c r="B32" s="797" t="s">
        <v>130</v>
      </c>
      <c r="C32" s="146"/>
      <c r="H32" s="152"/>
      <c r="I32" s="782">
        <f>D11*(1+'All. 13'!$C$11)</f>
        <v>808128</v>
      </c>
      <c r="J32" s="100">
        <f>E11*(1+'All. 13'!$C$11)</f>
        <v>1481568</v>
      </c>
      <c r="K32" s="100">
        <f>F11*(1+'All. 13'!$C$11)</f>
        <v>1414224</v>
      </c>
      <c r="L32" s="100">
        <f>G11*(1+'All. 13'!$C$11)</f>
        <v>1414224</v>
      </c>
      <c r="M32" s="100">
        <f>H11*(1+'All. 13'!$C$11)</f>
        <v>808128</v>
      </c>
      <c r="N32" s="100">
        <f>I11*(1+'All. 13'!$C$11)</f>
        <v>1289565.9574468087</v>
      </c>
      <c r="O32" s="100">
        <f>J11*(1+'All. 13'!$C$11)</f>
        <v>1432851.0638297873</v>
      </c>
      <c r="P32" s="100">
        <f>K11*(1+'All. 13'!$C$11)</f>
        <v>1647778.7234042557</v>
      </c>
      <c r="Q32" s="100">
        <f>L11*(1+'All. 13'!$C$11)</f>
        <v>1504493.6170212766</v>
      </c>
      <c r="R32" s="100">
        <f>M11*(1+'All. 13'!$C$11)</f>
        <v>1504493.6170212766</v>
      </c>
      <c r="S32" s="100">
        <f>N11*(1+'All. 13'!$C$11)</f>
        <v>1576136.1702127662</v>
      </c>
      <c r="T32" s="100">
        <f>O11*(1+'All. 13'!$C$11)</f>
        <v>1576136.1702127662</v>
      </c>
      <c r="U32" s="783">
        <f>SUM(I32:T32)</f>
        <v>16457727.319148939</v>
      </c>
    </row>
    <row r="33" spans="2:21" ht="17" thickBot="1" x14ac:dyDescent="0.25">
      <c r="B33" s="787" t="s">
        <v>1105</v>
      </c>
      <c r="C33" s="788"/>
      <c r="D33" s="770"/>
      <c r="E33" s="770"/>
      <c r="F33" s="770"/>
      <c r="G33" s="770"/>
      <c r="H33" s="774">
        <f>SUM(D11:H11)*(1+'All. 13'!$C$11)</f>
        <v>5926272</v>
      </c>
      <c r="I33" s="784">
        <f>+I30+I31-I32</f>
        <v>6407709.9574468089</v>
      </c>
      <c r="J33" s="770">
        <f t="shared" ref="J33" si="25">+J30+J31-J32</f>
        <v>6358993.021276596</v>
      </c>
      <c r="K33" s="770">
        <f t="shared" ref="K33" si="26">+K30+K31-K32</f>
        <v>6592547.7446808517</v>
      </c>
      <c r="L33" s="770">
        <f t="shared" ref="L33" si="27">+L30+L31-L32</f>
        <v>6682817.3617021283</v>
      </c>
      <c r="M33" s="770">
        <f t="shared" ref="M33" si="28">+M30+M31-M32</f>
        <v>7379182.9787234049</v>
      </c>
      <c r="N33" s="770">
        <f t="shared" ref="N33" si="29">+N30+N31-N32</f>
        <v>7665753.1914893622</v>
      </c>
      <c r="O33" s="770">
        <f t="shared" ref="O33" si="30">+O30+O31-O32</f>
        <v>7809038.2978723422</v>
      </c>
      <c r="P33" s="770">
        <f t="shared" ref="P33" si="31">+P30+P31-P32</f>
        <v>7020970.2127659591</v>
      </c>
      <c r="Q33" s="770">
        <f t="shared" ref="Q33" si="32">+Q30+Q31-Q32</f>
        <v>7092612.7659574496</v>
      </c>
      <c r="R33" s="770">
        <f t="shared" ref="R33" si="33">+R30+R31-R32</f>
        <v>7092612.7659574496</v>
      </c>
      <c r="S33" s="770">
        <f t="shared" ref="S33" si="34">+S30+S31-S32</f>
        <v>7020970.21276596</v>
      </c>
      <c r="T33" s="770">
        <f t="shared" ref="T33" si="35">+T30+T31-T32</f>
        <v>6304544.6808510665</v>
      </c>
      <c r="U33" s="254"/>
    </row>
    <row r="34" spans="2:21" x14ac:dyDescent="0.2">
      <c r="B34" s="781"/>
      <c r="C34" s="706"/>
      <c r="D34" s="779"/>
      <c r="E34" s="779"/>
      <c r="F34" s="779"/>
      <c r="G34" s="779"/>
      <c r="H34" s="79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464"/>
    </row>
    <row r="35" spans="2:21" x14ac:dyDescent="0.2">
      <c r="B35" s="781" t="s">
        <v>1103</v>
      </c>
      <c r="C35" s="706"/>
      <c r="D35" s="779"/>
      <c r="E35" s="779"/>
      <c r="F35" s="779"/>
      <c r="G35" s="779"/>
      <c r="H35" s="799"/>
      <c r="I35" s="800">
        <f t="shared" ref="I35:T35" si="36">+H38</f>
        <v>24151791</v>
      </c>
      <c r="J35" s="474">
        <f t="shared" si="36"/>
        <v>26889175.60760466</v>
      </c>
      <c r="K35" s="474">
        <f t="shared" si="36"/>
        <v>27761239.618910082</v>
      </c>
      <c r="L35" s="474">
        <f t="shared" si="36"/>
        <v>32404499.95278791</v>
      </c>
      <c r="M35" s="474">
        <f t="shared" si="36"/>
        <v>32498605.414764576</v>
      </c>
      <c r="N35" s="474">
        <f t="shared" si="36"/>
        <v>33465715.16189155</v>
      </c>
      <c r="O35" s="474">
        <f t="shared" si="36"/>
        <v>33885739.517232656</v>
      </c>
      <c r="P35" s="474">
        <f t="shared" si="36"/>
        <v>34299768.753721327</v>
      </c>
      <c r="Q35" s="474">
        <f t="shared" si="36"/>
        <v>27033020.770855166</v>
      </c>
      <c r="R35" s="474">
        <f t="shared" si="36"/>
        <v>31146646.050855163</v>
      </c>
      <c r="S35" s="474">
        <f t="shared" si="36"/>
        <v>30471703.648068618</v>
      </c>
      <c r="T35" s="474">
        <f t="shared" si="36"/>
        <v>32836758.265828393</v>
      </c>
      <c r="U35" s="464"/>
    </row>
    <row r="36" spans="2:21" x14ac:dyDescent="0.2">
      <c r="B36" s="801" t="s">
        <v>129</v>
      </c>
      <c r="C36" s="706"/>
      <c r="D36" s="779"/>
      <c r="E36" s="779"/>
      <c r="F36" s="779"/>
      <c r="G36" s="779"/>
      <c r="H36" s="799"/>
      <c r="I36" s="800">
        <f>+I17+I24+I31</f>
        <v>13438529.207604663</v>
      </c>
      <c r="J36" s="474">
        <f t="shared" ref="J36:T36" si="37">+J17+J24+J31</f>
        <v>14931699.119560739</v>
      </c>
      <c r="K36" s="474">
        <f t="shared" si="37"/>
        <v>17171453.987494852</v>
      </c>
      <c r="L36" s="474">
        <f t="shared" si="37"/>
        <v>15678284.075538777</v>
      </c>
      <c r="M36" s="474">
        <f t="shared" si="37"/>
        <v>15678284.075538777</v>
      </c>
      <c r="N36" s="474">
        <f t="shared" si="37"/>
        <v>16424869.031516815</v>
      </c>
      <c r="O36" s="474">
        <f t="shared" si="37"/>
        <v>16424869.031516815</v>
      </c>
      <c r="P36" s="474">
        <f t="shared" si="37"/>
        <v>8959019.4717364423</v>
      </c>
      <c r="Q36" s="474">
        <f t="shared" si="37"/>
        <v>16424869.031516815</v>
      </c>
      <c r="R36" s="474">
        <f t="shared" si="37"/>
        <v>15678284.075538777</v>
      </c>
      <c r="S36" s="474">
        <f t="shared" si="37"/>
        <v>15678284.075538777</v>
      </c>
      <c r="T36" s="474">
        <f t="shared" si="37"/>
        <v>8959019.4717364423</v>
      </c>
      <c r="U36" s="464"/>
    </row>
    <row r="37" spans="2:21" x14ac:dyDescent="0.2">
      <c r="B37" s="823" t="s">
        <v>130</v>
      </c>
      <c r="C37" s="824"/>
      <c r="D37" s="825"/>
      <c r="E37" s="825"/>
      <c r="F37" s="825"/>
      <c r="G37" s="825"/>
      <c r="H37" s="826"/>
      <c r="I37" s="827">
        <f>+I18+I25+I32</f>
        <v>10701144.6</v>
      </c>
      <c r="J37" s="793">
        <f t="shared" ref="J37:T37" si="38">+J18+J25+J32</f>
        <v>14059635.108255317</v>
      </c>
      <c r="K37" s="793">
        <f t="shared" si="38"/>
        <v>12528193.653617021</v>
      </c>
      <c r="L37" s="793">
        <f t="shared" si="38"/>
        <v>15584178.613562113</v>
      </c>
      <c r="M37" s="793">
        <f t="shared" si="38"/>
        <v>14711174.328411803</v>
      </c>
      <c r="N37" s="793">
        <f t="shared" si="38"/>
        <v>16004844.676175702</v>
      </c>
      <c r="O37" s="793">
        <f t="shared" si="38"/>
        <v>16010839.795028139</v>
      </c>
      <c r="P37" s="793">
        <f t="shared" si="38"/>
        <v>16225767.454602607</v>
      </c>
      <c r="Q37" s="793">
        <f t="shared" si="38"/>
        <v>12311243.751516815</v>
      </c>
      <c r="R37" s="793">
        <f t="shared" si="38"/>
        <v>16353226.478325326</v>
      </c>
      <c r="S37" s="793">
        <f t="shared" si="38"/>
        <v>13313229.457778996</v>
      </c>
      <c r="T37" s="793">
        <f t="shared" si="38"/>
        <v>16020670.758835962</v>
      </c>
      <c r="U37" s="828">
        <f>SUM(I37:T37)</f>
        <v>173824148.67610982</v>
      </c>
    </row>
    <row r="38" spans="2:21" ht="17" thickBot="1" x14ac:dyDescent="0.25">
      <c r="B38" s="802" t="s">
        <v>3</v>
      </c>
      <c r="C38" s="803"/>
      <c r="D38" s="780"/>
      <c r="E38" s="780"/>
      <c r="F38" s="780"/>
      <c r="G38" s="780"/>
      <c r="H38" s="804">
        <f>+H19+H26+H33</f>
        <v>24151791</v>
      </c>
      <c r="I38" s="805">
        <f>+I35+I36-I37</f>
        <v>26889175.60760466</v>
      </c>
      <c r="J38" s="780">
        <f t="shared" ref="J38" si="39">+J35+J36-J37</f>
        <v>27761239.618910082</v>
      </c>
      <c r="K38" s="780">
        <f t="shared" ref="K38" si="40">+K35+K36-K37</f>
        <v>32404499.95278791</v>
      </c>
      <c r="L38" s="780">
        <f t="shared" ref="L38" si="41">+L35+L36-L37</f>
        <v>32498605.414764576</v>
      </c>
      <c r="M38" s="780">
        <f t="shared" ref="M38" si="42">+M35+M36-M37</f>
        <v>33465715.16189155</v>
      </c>
      <c r="N38" s="780">
        <f t="shared" ref="N38" si="43">+N35+N36-N37</f>
        <v>33885739.517232656</v>
      </c>
      <c r="O38" s="780">
        <f t="shared" ref="O38" si="44">+O35+O36-O37</f>
        <v>34299768.753721327</v>
      </c>
      <c r="P38" s="780">
        <f t="shared" ref="P38" si="45">+P35+P36-P37</f>
        <v>27033020.770855166</v>
      </c>
      <c r="Q38" s="780">
        <f t="shared" ref="Q38" si="46">+Q35+Q36-Q37</f>
        <v>31146646.050855163</v>
      </c>
      <c r="R38" s="780">
        <f t="shared" ref="R38" si="47">+R35+R36-R37</f>
        <v>30471703.648068618</v>
      </c>
      <c r="S38" s="780">
        <f t="shared" ref="S38" si="48">+S35+S36-S37</f>
        <v>32836758.265828393</v>
      </c>
      <c r="T38" s="780">
        <f t="shared" ref="T38" si="49">+T35+T36-T37</f>
        <v>25775106.978728868</v>
      </c>
      <c r="U38" s="254"/>
    </row>
    <row r="39" spans="2:21" ht="17" thickBot="1" x14ac:dyDescent="0.25"/>
    <row r="40" spans="2:21" s="12" customFormat="1" ht="17" thickBot="1" x14ac:dyDescent="0.25">
      <c r="B40" s="97" t="s">
        <v>57</v>
      </c>
      <c r="C40" s="806"/>
      <c r="D40" s="806"/>
      <c r="E40" s="806"/>
      <c r="F40" s="806"/>
      <c r="G40" s="806"/>
      <c r="H40" s="807"/>
      <c r="I40" s="807">
        <f>I36-I12</f>
        <v>2423341.3325188719</v>
      </c>
      <c r="J40" s="807">
        <f t="shared" ref="J40:T40" si="50">J36-J12</f>
        <v>2692601.4805765245</v>
      </c>
      <c r="K40" s="807">
        <f t="shared" si="50"/>
        <v>3096491.7026630063</v>
      </c>
      <c r="L40" s="807">
        <f t="shared" si="50"/>
        <v>2827231.5546053536</v>
      </c>
      <c r="M40" s="807">
        <f t="shared" si="50"/>
        <v>2827231.5546053536</v>
      </c>
      <c r="N40" s="807">
        <f t="shared" si="50"/>
        <v>2961861.6286341809</v>
      </c>
      <c r="O40" s="807">
        <f t="shared" si="50"/>
        <v>2961861.6286341809</v>
      </c>
      <c r="P40" s="807">
        <f t="shared" si="50"/>
        <v>1615560.8883459149</v>
      </c>
      <c r="Q40" s="807">
        <f t="shared" si="50"/>
        <v>2961861.6286341809</v>
      </c>
      <c r="R40" s="807">
        <f t="shared" si="50"/>
        <v>2827231.5546053536</v>
      </c>
      <c r="S40" s="807">
        <f t="shared" si="50"/>
        <v>2827231.5546053536</v>
      </c>
      <c r="T40" s="808">
        <f t="shared" si="50"/>
        <v>1615560.8883459149</v>
      </c>
    </row>
  </sheetData>
  <mergeCells count="2">
    <mergeCell ref="C4:H4"/>
    <mergeCell ref="I4:U4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1F7F-848A-BF4B-9664-1437E021A435}">
  <sheetPr codeName="Foglio49"/>
  <dimension ref="A2:U40"/>
  <sheetViews>
    <sheetView zoomScale="173" zoomScaleNormal="170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I9" sqref="I9"/>
    </sheetView>
  </sheetViews>
  <sheetFormatPr baseColWidth="10" defaultRowHeight="16" outlineLevelCol="1" x14ac:dyDescent="0.2"/>
  <cols>
    <col min="1" max="1" width="10.83203125" style="3"/>
    <col min="2" max="2" width="24.33203125" style="3" customWidth="1"/>
    <col min="3" max="7" width="10.83203125" style="3" hidden="1" customWidth="1" outlineLevel="1"/>
    <col min="8" max="8" width="15.83203125" style="3" customWidth="1" collapsed="1"/>
    <col min="9" max="9" width="12.83203125" style="3" bestFit="1" customWidth="1"/>
    <col min="10" max="20" width="12.6640625" style="3" bestFit="1" customWidth="1"/>
    <col min="21" max="21" width="13.6640625" style="3" customWidth="1"/>
    <col min="22" max="16384" width="10.83203125" style="3"/>
  </cols>
  <sheetData>
    <row r="2" spans="1:21" x14ac:dyDescent="0.2">
      <c r="B2" s="3" t="s">
        <v>1130</v>
      </c>
    </row>
    <row r="3" spans="1:21" ht="17" thickBot="1" x14ac:dyDescent="0.25"/>
    <row r="4" spans="1:21" x14ac:dyDescent="0.2">
      <c r="B4" s="157"/>
      <c r="C4" s="1050" t="s">
        <v>170</v>
      </c>
      <c r="D4" s="1051"/>
      <c r="E4" s="1051"/>
      <c r="F4" s="1051"/>
      <c r="G4" s="1051"/>
      <c r="H4" s="1052"/>
      <c r="I4" s="1043" t="s">
        <v>196</v>
      </c>
      <c r="J4" s="1044"/>
      <c r="K4" s="1044"/>
      <c r="L4" s="1044"/>
      <c r="M4" s="1044"/>
      <c r="N4" s="1044"/>
      <c r="O4" s="1044"/>
      <c r="P4" s="1044"/>
      <c r="Q4" s="1044"/>
      <c r="R4" s="1044"/>
      <c r="S4" s="1044"/>
      <c r="T4" s="1044"/>
      <c r="U4" s="1045"/>
    </row>
    <row r="5" spans="1:21" x14ac:dyDescent="0.2">
      <c r="B5" s="122"/>
      <c r="C5" s="752" t="s">
        <v>217</v>
      </c>
      <c r="D5" s="420" t="s">
        <v>218</v>
      </c>
      <c r="E5" s="420" t="s">
        <v>219</v>
      </c>
      <c r="F5" s="420" t="s">
        <v>220</v>
      </c>
      <c r="G5" s="420" t="s">
        <v>221</v>
      </c>
      <c r="H5" s="293" t="s">
        <v>222</v>
      </c>
      <c r="I5" s="752" t="s">
        <v>211</v>
      </c>
      <c r="J5" s="420" t="s">
        <v>212</v>
      </c>
      <c r="K5" s="420" t="s">
        <v>213</v>
      </c>
      <c r="L5" s="420" t="s">
        <v>214</v>
      </c>
      <c r="M5" s="420" t="s">
        <v>215</v>
      </c>
      <c r="N5" s="420" t="s">
        <v>216</v>
      </c>
      <c r="O5" s="420" t="s">
        <v>217</v>
      </c>
      <c r="P5" s="420" t="s">
        <v>218</v>
      </c>
      <c r="Q5" s="420" t="s">
        <v>219</v>
      </c>
      <c r="R5" s="420" t="s">
        <v>220</v>
      </c>
      <c r="S5" s="420" t="s">
        <v>221</v>
      </c>
      <c r="T5" s="420" t="s">
        <v>222</v>
      </c>
      <c r="U5" s="713" t="s">
        <v>179</v>
      </c>
    </row>
    <row r="6" spans="1:21" x14ac:dyDescent="0.2">
      <c r="B6" s="814"/>
      <c r="C6" s="146"/>
      <c r="H6" s="152"/>
      <c r="I6" s="146"/>
      <c r="U6" s="464"/>
    </row>
    <row r="7" spans="1:21" x14ac:dyDescent="0.2">
      <c r="B7" s="815" t="s">
        <v>1129</v>
      </c>
      <c r="C7" s="146"/>
      <c r="H7" s="152"/>
      <c r="I7" s="146"/>
      <c r="U7" s="464"/>
    </row>
    <row r="8" spans="1:21" x14ac:dyDescent="0.2">
      <c r="B8" s="122"/>
      <c r="C8" s="146"/>
      <c r="H8" s="152"/>
      <c r="I8" s="146"/>
      <c r="U8" s="464"/>
    </row>
    <row r="9" spans="1:21" x14ac:dyDescent="0.2">
      <c r="B9" s="122" t="s">
        <v>1126</v>
      </c>
      <c r="C9" s="782">
        <f>'All. 13'!$B15*'All. 13'!C$13</f>
        <v>2158550</v>
      </c>
      <c r="D9" s="100">
        <f>'All. 13'!$B15*'All. 13'!D$13</f>
        <v>2067215</v>
      </c>
      <c r="E9" s="100">
        <f>'All. 13'!$B15*'All. 13'!E$13</f>
        <v>1986047.5</v>
      </c>
      <c r="F9" s="100">
        <f>'All. 13'!$B15*'All. 13'!F$13</f>
        <v>1257610</v>
      </c>
      <c r="G9" s="794">
        <f>'All. 13'!$B15*'All. 13'!G$13</f>
        <v>2066057.5</v>
      </c>
      <c r="H9" s="795">
        <f>'All. 13'!$B15*'All. 13'!H$13</f>
        <v>1208270</v>
      </c>
      <c r="I9" s="782">
        <f>'Tab. 8'!C$60*'All. 13'!$B15</f>
        <v>1613674.895557934</v>
      </c>
      <c r="J9" s="100">
        <f>'Tab. 8'!D$60*'All. 13'!$B15</f>
        <v>1821553.8675605843</v>
      </c>
      <c r="K9" s="100">
        <f>'Tab. 8'!E$60*'All. 13'!$B15</f>
        <v>2012682.6246801985</v>
      </c>
      <c r="L9" s="100">
        <f>'Tab. 8'!F$60*'All. 13'!$B15</f>
        <v>1860590.3469300547</v>
      </c>
      <c r="M9" s="100">
        <f>'Tab. 8'!G$60*'All. 13'!$B15</f>
        <v>1825873.761812821</v>
      </c>
      <c r="N9" s="100">
        <f>'Tab. 8'!H$60*'All. 13'!$B15</f>
        <v>1963458.4930519133</v>
      </c>
      <c r="O9" s="100">
        <f>'Tab. 8'!I$60*'All. 13'!$B15</f>
        <v>1729865.2184668095</v>
      </c>
      <c r="P9" s="100">
        <f>'Tab. 8'!J$60*'All. 13'!$B15</f>
        <v>1080413.6926544074</v>
      </c>
      <c r="Q9" s="100">
        <f>'Tab. 8'!K$60*'All. 13'!$B15</f>
        <v>1816608.2887295017</v>
      </c>
      <c r="R9" s="100">
        <f>'Tab. 8'!L$60*'All. 13'!$B15</f>
        <v>1657240.5265569617</v>
      </c>
      <c r="S9" s="100">
        <f>'Tab. 8'!M$60*'All. 13'!$B15</f>
        <v>1644046.9446046809</v>
      </c>
      <c r="T9" s="100">
        <f>'Tab. 8'!N$60*'All. 13'!$B15</f>
        <v>1093884.4099680879</v>
      </c>
      <c r="U9" s="464"/>
    </row>
    <row r="10" spans="1:21" x14ac:dyDescent="0.2">
      <c r="B10" s="122" t="s">
        <v>1127</v>
      </c>
      <c r="C10" s="782">
        <f>'All. 13'!$B16*'All. 13'!C$13</f>
        <v>4317100</v>
      </c>
      <c r="D10" s="100">
        <f>'All. 13'!$B16*'All. 13'!D$13</f>
        <v>4134430</v>
      </c>
      <c r="E10" s="100">
        <f>'All. 13'!$B16*'All. 13'!E$13</f>
        <v>3972095</v>
      </c>
      <c r="F10" s="791">
        <f>'All. 13'!$B16*'All. 13'!F$13</f>
        <v>2515220</v>
      </c>
      <c r="G10" s="791">
        <f>'All. 13'!$B16*'All. 13'!G$13</f>
        <v>4132115</v>
      </c>
      <c r="H10" s="792">
        <f>'All. 13'!$B16*'All. 13'!H$13</f>
        <v>2416540</v>
      </c>
      <c r="I10" s="782">
        <f>'Tab. 8'!C$60*'All. 13'!$B16</f>
        <v>3227349.7911158679</v>
      </c>
      <c r="J10" s="100">
        <f>'Tab. 8'!D$60*'All. 13'!$B16</f>
        <v>3643107.7351211687</v>
      </c>
      <c r="K10" s="100">
        <f>'Tab. 8'!E$60*'All. 13'!$B16</f>
        <v>4025365.249360397</v>
      </c>
      <c r="L10" s="100">
        <f>'Tab. 8'!F$60*'All. 13'!$B16</f>
        <v>3721180.6938601094</v>
      </c>
      <c r="M10" s="100">
        <f>'Tab. 8'!G$60*'All. 13'!$B16</f>
        <v>3651747.5236256421</v>
      </c>
      <c r="N10" s="100">
        <f>'Tab. 8'!H$60*'All. 13'!$B16</f>
        <v>3926916.9861038267</v>
      </c>
      <c r="O10" s="100">
        <f>'Tab. 8'!I$60*'All. 13'!$B16</f>
        <v>3459730.436933619</v>
      </c>
      <c r="P10" s="100">
        <f>'Tab. 8'!J$60*'All. 13'!$B16</f>
        <v>2160827.3853088147</v>
      </c>
      <c r="Q10" s="100">
        <f>'Tab. 8'!K$60*'All. 13'!$B16</f>
        <v>3633216.5774590033</v>
      </c>
      <c r="R10" s="100">
        <f>'Tab. 8'!L$60*'All. 13'!$B16</f>
        <v>3314481.0531139234</v>
      </c>
      <c r="S10" s="100">
        <f>'Tab. 8'!M$60*'All. 13'!$B16</f>
        <v>3288093.8892093617</v>
      </c>
      <c r="T10" s="100">
        <f>'Tab. 8'!N$60*'All. 13'!$B16</f>
        <v>2187768.8199361758</v>
      </c>
      <c r="U10" s="465"/>
    </row>
    <row r="11" spans="1:21" x14ac:dyDescent="0.2">
      <c r="B11" s="816" t="s">
        <v>1128</v>
      </c>
      <c r="C11" s="782">
        <f>'All. 13'!$B17*'All. 13'!C$13</f>
        <v>2158550</v>
      </c>
      <c r="D11" s="100">
        <f>'All. 13'!$B17*'All. 13'!D$13</f>
        <v>2067215</v>
      </c>
      <c r="E11" s="810">
        <f>'All. 13'!$B17*'All. 13'!E$13</f>
        <v>1986047.5</v>
      </c>
      <c r="F11" s="810">
        <f>'All. 13'!$B17*'All. 13'!F$13</f>
        <v>1257610</v>
      </c>
      <c r="G11" s="810">
        <f>'All. 13'!$B17*'All. 13'!G$13</f>
        <v>2066057.5</v>
      </c>
      <c r="H11" s="813">
        <f>'All. 13'!$B17*'All. 13'!H$13</f>
        <v>1208270</v>
      </c>
      <c r="I11" s="782">
        <f>'Tab. 8'!C$60*'All. 13'!$B17</f>
        <v>1613674.895557934</v>
      </c>
      <c r="J11" s="100">
        <f>'Tab. 8'!D$60*'All. 13'!$B17</f>
        <v>1821553.8675605843</v>
      </c>
      <c r="K11" s="100">
        <f>'Tab. 8'!E$60*'All. 13'!$B17</f>
        <v>2012682.6246801985</v>
      </c>
      <c r="L11" s="100">
        <f>'Tab. 8'!F$60*'All. 13'!$B17</f>
        <v>1860590.3469300547</v>
      </c>
      <c r="M11" s="100">
        <f>'Tab. 8'!G$60*'All. 13'!$B17</f>
        <v>1825873.761812821</v>
      </c>
      <c r="N11" s="100">
        <f>'Tab. 8'!H$60*'All. 13'!$B17</f>
        <v>1963458.4930519133</v>
      </c>
      <c r="O11" s="100">
        <f>'Tab. 8'!I$60*'All. 13'!$B17</f>
        <v>1729865.2184668095</v>
      </c>
      <c r="P11" s="100">
        <f>'Tab. 8'!J$60*'All. 13'!$B17</f>
        <v>1080413.6926544074</v>
      </c>
      <c r="Q11" s="100">
        <f>'Tab. 8'!K$60*'All. 13'!$B17</f>
        <v>1816608.2887295017</v>
      </c>
      <c r="R11" s="100">
        <f>'Tab. 8'!L$60*'All. 13'!$B17</f>
        <v>1657240.5265569617</v>
      </c>
      <c r="S11" s="100">
        <f>'Tab. 8'!M$60*'All. 13'!$B17</f>
        <v>1644046.9446046809</v>
      </c>
      <c r="T11" s="100">
        <f>'Tab. 8'!N$60*'All. 13'!$B17</f>
        <v>1093884.4099680879</v>
      </c>
      <c r="U11" s="465">
        <f t="shared" ref="U11" si="0">SUM(I11:T11)</f>
        <v>20119893.070573956</v>
      </c>
    </row>
    <row r="12" spans="1:21" ht="17" thickBot="1" x14ac:dyDescent="0.25">
      <c r="B12" s="817" t="s">
        <v>1098</v>
      </c>
      <c r="C12" s="788">
        <f t="shared" ref="C12:G12" si="1">SUM(C9:C11)</f>
        <v>8634200</v>
      </c>
      <c r="D12" s="770">
        <f t="shared" si="1"/>
        <v>8268860</v>
      </c>
      <c r="E12" s="770">
        <f t="shared" si="1"/>
        <v>7944190</v>
      </c>
      <c r="F12" s="770">
        <f t="shared" si="1"/>
        <v>5030440</v>
      </c>
      <c r="G12" s="770">
        <f t="shared" si="1"/>
        <v>8264230</v>
      </c>
      <c r="H12" s="774">
        <f>SUM(H9:H11)</f>
        <v>4833080</v>
      </c>
      <c r="I12" s="812">
        <f>SUM(I9:I11)</f>
        <v>6454699.5822317358</v>
      </c>
      <c r="J12" s="770">
        <f t="shared" ref="J12:T12" si="2">SUM(J9:J11)</f>
        <v>7286215.4702423373</v>
      </c>
      <c r="K12" s="770">
        <f t="shared" si="2"/>
        <v>8050730.498720794</v>
      </c>
      <c r="L12" s="770">
        <f t="shared" si="2"/>
        <v>7442361.3877202189</v>
      </c>
      <c r="M12" s="770">
        <f t="shared" si="2"/>
        <v>7303495.0472512841</v>
      </c>
      <c r="N12" s="770">
        <f t="shared" si="2"/>
        <v>7853833.9722076533</v>
      </c>
      <c r="O12" s="770">
        <f t="shared" si="2"/>
        <v>6919460.8738672379</v>
      </c>
      <c r="P12" s="770">
        <f t="shared" si="2"/>
        <v>4321654.7706176294</v>
      </c>
      <c r="Q12" s="770">
        <f t="shared" si="2"/>
        <v>7266433.1549180066</v>
      </c>
      <c r="R12" s="770">
        <f t="shared" si="2"/>
        <v>6628962.1062278468</v>
      </c>
      <c r="S12" s="770">
        <f t="shared" si="2"/>
        <v>6576187.7784187235</v>
      </c>
      <c r="T12" s="770">
        <f t="shared" si="2"/>
        <v>4375537.6398723517</v>
      </c>
      <c r="U12" s="254"/>
    </row>
    <row r="13" spans="1:21" x14ac:dyDescent="0.2">
      <c r="B13" s="814"/>
      <c r="C13" s="146"/>
      <c r="H13" s="152"/>
      <c r="I13" s="146"/>
      <c r="U13" s="464"/>
    </row>
    <row r="14" spans="1:21" x14ac:dyDescent="0.2">
      <c r="A14" s="16">
        <v>60</v>
      </c>
      <c r="B14" s="818" t="s">
        <v>1131</v>
      </c>
      <c r="C14" s="146"/>
      <c r="H14" s="152"/>
      <c r="I14" s="146"/>
      <c r="U14" s="464"/>
    </row>
    <row r="15" spans="1:21" x14ac:dyDescent="0.2">
      <c r="B15" s="122"/>
      <c r="C15" s="146"/>
      <c r="H15" s="152"/>
      <c r="U15" s="464"/>
    </row>
    <row r="16" spans="1:21" x14ac:dyDescent="0.2">
      <c r="B16" s="122" t="s">
        <v>1137</v>
      </c>
      <c r="C16" s="146"/>
      <c r="H16" s="152"/>
      <c r="I16" s="782">
        <f t="shared" ref="I16:T16" si="3">+H19</f>
        <v>3994679.55</v>
      </c>
      <c r="J16" s="100">
        <f t="shared" si="3"/>
        <v>3442772.772580679</v>
      </c>
      <c r="K16" s="100">
        <f t="shared" si="3"/>
        <v>4190979.0910045919</v>
      </c>
      <c r="L16" s="100">
        <f t="shared" si="3"/>
        <v>4677768.5205337554</v>
      </c>
      <c r="M16" s="100">
        <f t="shared" si="3"/>
        <v>4725393.0253645089</v>
      </c>
      <c r="N16" s="100">
        <f t="shared" si="3"/>
        <v>4497486.2126663076</v>
      </c>
      <c r="O16" s="100">
        <f t="shared" si="3"/>
        <v>4622985.3509349758</v>
      </c>
      <c r="P16" s="100">
        <f t="shared" si="3"/>
        <v>4505854.9280528426</v>
      </c>
      <c r="Q16" s="100">
        <f t="shared" si="3"/>
        <v>3428540.2715678853</v>
      </c>
      <c r="R16" s="100">
        <f t="shared" si="3"/>
        <v>3534366.8172883699</v>
      </c>
      <c r="S16" s="100">
        <f t="shared" si="3"/>
        <v>4238095.5546494862</v>
      </c>
      <c r="T16" s="100">
        <f t="shared" si="3"/>
        <v>4027570.7148172045</v>
      </c>
      <c r="U16" s="464"/>
    </row>
    <row r="17" spans="1:21" x14ac:dyDescent="0.2">
      <c r="B17" s="131" t="s">
        <v>129</v>
      </c>
      <c r="C17" s="146"/>
      <c r="H17" s="152"/>
      <c r="I17" s="782">
        <f>+I9*(1+'All. 13'!$C$20)</f>
        <v>1968683.3725806794</v>
      </c>
      <c r="J17" s="100">
        <f>+J9*(1+'All. 13'!$C$20)</f>
        <v>2222295.7184239128</v>
      </c>
      <c r="K17" s="100">
        <f>+K9*(1+'All. 13'!$C$20)</f>
        <v>2455472.8021098422</v>
      </c>
      <c r="L17" s="100">
        <f>+L9*(1+'All. 13'!$C$20)</f>
        <v>2269920.2232546667</v>
      </c>
      <c r="M17" s="100">
        <f>+M9*(1+'All. 13'!$C$20)</f>
        <v>2227565.9894116414</v>
      </c>
      <c r="N17" s="100">
        <f>+N9*(1+'All. 13'!$C$20)</f>
        <v>2395419.3615233344</v>
      </c>
      <c r="O17" s="100">
        <f>+O9*(1+'All. 13'!$C$20)</f>
        <v>2110435.5665295077</v>
      </c>
      <c r="P17" s="100">
        <f>+P9*(1+'All. 13'!$C$20)</f>
        <v>1318104.7050383769</v>
      </c>
      <c r="Q17" s="100">
        <f>+Q9*(1+'All. 13'!$C$20)</f>
        <v>2216262.1122499919</v>
      </c>
      <c r="R17" s="100">
        <f>+R9*(1+'All. 13'!$C$20)</f>
        <v>2021833.4423994932</v>
      </c>
      <c r="S17" s="100">
        <f>+S9*(1+'All. 13'!$C$20)</f>
        <v>2005737.2724177106</v>
      </c>
      <c r="T17" s="100">
        <f>+T9*(1+'All. 13'!$C$20)</f>
        <v>1334538.9801610673</v>
      </c>
      <c r="U17" s="464"/>
    </row>
    <row r="18" spans="1:21" x14ac:dyDescent="0.2">
      <c r="B18" s="131" t="s">
        <v>130</v>
      </c>
      <c r="C18" s="146"/>
      <c r="H18" s="152"/>
      <c r="I18" s="782">
        <f>G9*(1+'All. 13'!$C$20)</f>
        <v>2520590.15</v>
      </c>
      <c r="J18" s="100">
        <f>H9*(1+'All. 13'!$C$20)</f>
        <v>1474089.4</v>
      </c>
      <c r="K18" s="100">
        <f>I9*(1+'All. 13'!$C$20)</f>
        <v>1968683.3725806794</v>
      </c>
      <c r="L18" s="100">
        <f>J9*(1+'All. 13'!$C$20)</f>
        <v>2222295.7184239128</v>
      </c>
      <c r="M18" s="100">
        <f>K9*(1+'All. 13'!$C$20)</f>
        <v>2455472.8021098422</v>
      </c>
      <c r="N18" s="100">
        <f>L9*(1+'All. 13'!$C$20)</f>
        <v>2269920.2232546667</v>
      </c>
      <c r="O18" s="100">
        <f>M9*(1+'All. 13'!$C$20)</f>
        <v>2227565.9894116414</v>
      </c>
      <c r="P18" s="100">
        <f>N9*(1+'All. 13'!$C$20)</f>
        <v>2395419.3615233344</v>
      </c>
      <c r="Q18" s="100">
        <f>O9*(1+'All. 13'!$C$20)</f>
        <v>2110435.5665295077</v>
      </c>
      <c r="R18" s="100">
        <f>P9*(1+'All. 13'!$C$20)</f>
        <v>1318104.7050383769</v>
      </c>
      <c r="S18" s="100">
        <f>Q9*(1+'All. 13'!$C$20)</f>
        <v>2216262.1122499919</v>
      </c>
      <c r="T18" s="100">
        <f>R9*(1+'All. 13'!$C$20)</f>
        <v>2021833.4423994932</v>
      </c>
      <c r="U18" s="783">
        <f>SUM(I18:T18)</f>
        <v>25200672.843521446</v>
      </c>
    </row>
    <row r="19" spans="1:21" ht="17" thickBot="1" x14ac:dyDescent="0.25">
      <c r="B19" s="817" t="s">
        <v>1135</v>
      </c>
      <c r="C19" s="788"/>
      <c r="D19" s="770"/>
      <c r="E19" s="770"/>
      <c r="F19" s="770"/>
      <c r="G19" s="770"/>
      <c r="H19" s="774">
        <f>SUM(G9:H9)*(1+'All. 13'!$C$20)</f>
        <v>3994679.55</v>
      </c>
      <c r="I19" s="784">
        <f>+I16+I17-I18</f>
        <v>3442772.772580679</v>
      </c>
      <c r="J19" s="770">
        <f t="shared" ref="J19:T19" si="4">+J16+J17-J18</f>
        <v>4190979.0910045919</v>
      </c>
      <c r="K19" s="770">
        <f t="shared" si="4"/>
        <v>4677768.5205337554</v>
      </c>
      <c r="L19" s="770">
        <f t="shared" si="4"/>
        <v>4725393.0253645089</v>
      </c>
      <c r="M19" s="770">
        <f t="shared" si="4"/>
        <v>4497486.2126663076</v>
      </c>
      <c r="N19" s="770">
        <f t="shared" si="4"/>
        <v>4622985.3509349758</v>
      </c>
      <c r="O19" s="770">
        <f t="shared" si="4"/>
        <v>4505854.9280528426</v>
      </c>
      <c r="P19" s="770">
        <f t="shared" si="4"/>
        <v>3428540.2715678853</v>
      </c>
      <c r="Q19" s="770">
        <f t="shared" si="4"/>
        <v>3534366.8172883699</v>
      </c>
      <c r="R19" s="770">
        <f t="shared" si="4"/>
        <v>4238095.5546494862</v>
      </c>
      <c r="S19" s="770">
        <f t="shared" si="4"/>
        <v>4027570.7148172045</v>
      </c>
      <c r="T19" s="770">
        <f t="shared" si="4"/>
        <v>3340276.2525787782</v>
      </c>
      <c r="U19" s="254"/>
    </row>
    <row r="20" spans="1:21" x14ac:dyDescent="0.2">
      <c r="B20" s="814"/>
      <c r="C20" s="146"/>
      <c r="H20" s="152"/>
      <c r="I20" s="146"/>
      <c r="U20" s="464"/>
    </row>
    <row r="21" spans="1:21" x14ac:dyDescent="0.2">
      <c r="A21" s="16">
        <v>90</v>
      </c>
      <c r="B21" s="818" t="s">
        <v>1132</v>
      </c>
      <c r="C21" s="146"/>
      <c r="H21" s="152"/>
      <c r="I21" s="146"/>
      <c r="U21" s="464"/>
    </row>
    <row r="22" spans="1:21" x14ac:dyDescent="0.2">
      <c r="B22" s="122"/>
      <c r="C22" s="146"/>
      <c r="H22" s="152"/>
      <c r="U22" s="464"/>
    </row>
    <row r="23" spans="1:21" x14ac:dyDescent="0.2">
      <c r="B23" s="122" t="s">
        <v>1138</v>
      </c>
      <c r="C23" s="146"/>
      <c r="H23" s="152"/>
      <c r="I23" s="782">
        <f t="shared" ref="I23:T23" si="5">+H26</f>
        <v>11057927.5</v>
      </c>
      <c r="J23" s="100">
        <f t="shared" si="5"/>
        <v>11926725.845161358</v>
      </c>
      <c r="K23" s="100">
        <f t="shared" si="5"/>
        <v>11330136.982009184</v>
      </c>
      <c r="L23" s="100">
        <f t="shared" si="5"/>
        <v>13292903.786228869</v>
      </c>
      <c r="M23" s="100">
        <f t="shared" si="5"/>
        <v>13895377.487576846</v>
      </c>
      <c r="N23" s="100">
        <f t="shared" si="5"/>
        <v>13905918.029552303</v>
      </c>
      <c r="O23" s="100">
        <f t="shared" si="5"/>
        <v>13785811.148379287</v>
      </c>
      <c r="P23" s="100">
        <f t="shared" si="5"/>
        <v>13466841.834928969</v>
      </c>
      <c r="Q23" s="100">
        <f t="shared" si="5"/>
        <v>11647919.266182441</v>
      </c>
      <c r="R23" s="100">
        <f t="shared" si="5"/>
        <v>11289604.767635755</v>
      </c>
      <c r="S23" s="100">
        <f t="shared" si="5"/>
        <v>11112400.519375727</v>
      </c>
      <c r="T23" s="100">
        <f t="shared" si="5"/>
        <v>12487665.654134395</v>
      </c>
      <c r="U23" s="464"/>
    </row>
    <row r="24" spans="1:21" x14ac:dyDescent="0.2">
      <c r="B24" s="131" t="s">
        <v>129</v>
      </c>
      <c r="C24" s="146"/>
      <c r="H24" s="152"/>
      <c r="I24" s="782">
        <f>+I10*(1+'All. 13'!$C$20)</f>
        <v>3937366.7451613587</v>
      </c>
      <c r="J24" s="100">
        <f>+J10*(1+'All. 13'!$C$20)</f>
        <v>4444591.4368478255</v>
      </c>
      <c r="K24" s="100">
        <f>+K10*(1+'All. 13'!$C$20)</f>
        <v>4910945.6042196844</v>
      </c>
      <c r="L24" s="100">
        <f>+L10*(1+'All. 13'!$C$20)</f>
        <v>4539840.4465093333</v>
      </c>
      <c r="M24" s="100">
        <f>+M10*(1+'All. 13'!$C$20)</f>
        <v>4455131.9788232828</v>
      </c>
      <c r="N24" s="100">
        <f>+N10*(1+'All. 13'!$C$20)</f>
        <v>4790838.7230466688</v>
      </c>
      <c r="O24" s="100">
        <f>+O10*(1+'All. 13'!$C$20)</f>
        <v>4220871.1330590155</v>
      </c>
      <c r="P24" s="100">
        <f>+P10*(1+'All. 13'!$C$20)</f>
        <v>2636209.4100767537</v>
      </c>
      <c r="Q24" s="100">
        <f>+Q10*(1+'All. 13'!$C$20)</f>
        <v>4432524.2244999837</v>
      </c>
      <c r="R24" s="100">
        <f>+R10*(1+'All. 13'!$C$20)</f>
        <v>4043666.8847989864</v>
      </c>
      <c r="S24" s="100">
        <f>+S10*(1+'All. 13'!$C$20)</f>
        <v>4011474.5448354213</v>
      </c>
      <c r="T24" s="100">
        <f>+T10*(1+'All. 13'!$C$20)</f>
        <v>2669077.9603221347</v>
      </c>
      <c r="U24" s="464"/>
    </row>
    <row r="25" spans="1:21" x14ac:dyDescent="0.2">
      <c r="B25" s="131" t="s">
        <v>130</v>
      </c>
      <c r="C25" s="146"/>
      <c r="H25" s="152"/>
      <c r="I25" s="782">
        <f>F10*(1+'All. 13'!$C$20)</f>
        <v>3068568.4</v>
      </c>
      <c r="J25" s="100">
        <f>G10*(1+'All. 13'!$C$20)</f>
        <v>5041180.3</v>
      </c>
      <c r="K25" s="100">
        <f>H10*(1+'All. 13'!$C$20)</f>
        <v>2948178.8</v>
      </c>
      <c r="L25" s="100">
        <f>I10*(1+'All. 13'!$C$20)</f>
        <v>3937366.7451613587</v>
      </c>
      <c r="M25" s="100">
        <f>J10*(1+'All. 13'!$C$20)</f>
        <v>4444591.4368478255</v>
      </c>
      <c r="N25" s="100">
        <f>K10*(1+'All. 13'!$C$20)</f>
        <v>4910945.6042196844</v>
      </c>
      <c r="O25" s="100">
        <f>L10*(1+'All. 13'!$C$20)</f>
        <v>4539840.4465093333</v>
      </c>
      <c r="P25" s="100">
        <f>M10*(1+'All. 13'!$C$20)</f>
        <v>4455131.9788232828</v>
      </c>
      <c r="Q25" s="100">
        <f>N10*(1+'All. 13'!$C$20)</f>
        <v>4790838.7230466688</v>
      </c>
      <c r="R25" s="100">
        <f>O10*(1+'All. 13'!$C$20)</f>
        <v>4220871.1330590155</v>
      </c>
      <c r="S25" s="100">
        <f>P10*(1+'All. 13'!$C$20)</f>
        <v>2636209.4100767537</v>
      </c>
      <c r="T25" s="100">
        <f>Q10*(1+'All. 13'!$C$20)</f>
        <v>4432524.2244999837</v>
      </c>
      <c r="U25" s="783">
        <f>SUM(I25:T25)</f>
        <v>49426247.202243902</v>
      </c>
    </row>
    <row r="26" spans="1:21" ht="17" thickBot="1" x14ac:dyDescent="0.25">
      <c r="B26" s="817" t="s">
        <v>1134</v>
      </c>
      <c r="C26" s="788"/>
      <c r="D26" s="770"/>
      <c r="E26" s="770"/>
      <c r="F26" s="770"/>
      <c r="G26" s="770"/>
      <c r="H26" s="774">
        <f>SUM(F10:H10)*(1+'All. 13'!$C$20)</f>
        <v>11057927.5</v>
      </c>
      <c r="I26" s="784">
        <f>+I23+I24-I25</f>
        <v>11926725.845161358</v>
      </c>
      <c r="J26" s="770">
        <f t="shared" ref="J26:T26" si="6">+J23+J24-J25</f>
        <v>11330136.982009184</v>
      </c>
      <c r="K26" s="770">
        <f t="shared" si="6"/>
        <v>13292903.786228869</v>
      </c>
      <c r="L26" s="770">
        <f t="shared" si="6"/>
        <v>13895377.487576846</v>
      </c>
      <c r="M26" s="770">
        <f t="shared" si="6"/>
        <v>13905918.029552303</v>
      </c>
      <c r="N26" s="770">
        <f t="shared" si="6"/>
        <v>13785811.148379287</v>
      </c>
      <c r="O26" s="770">
        <f t="shared" si="6"/>
        <v>13466841.834928969</v>
      </c>
      <c r="P26" s="770">
        <f t="shared" si="6"/>
        <v>11647919.266182441</v>
      </c>
      <c r="Q26" s="770">
        <f t="shared" si="6"/>
        <v>11289604.767635755</v>
      </c>
      <c r="R26" s="770">
        <f t="shared" si="6"/>
        <v>11112400.519375727</v>
      </c>
      <c r="S26" s="770">
        <f t="shared" si="6"/>
        <v>12487665.654134395</v>
      </c>
      <c r="T26" s="770">
        <f t="shared" si="6"/>
        <v>10724219.389956545</v>
      </c>
      <c r="U26" s="254"/>
    </row>
    <row r="27" spans="1:21" x14ac:dyDescent="0.2">
      <c r="B27" s="814"/>
      <c r="C27" s="146"/>
      <c r="H27" s="152"/>
      <c r="I27" s="146"/>
      <c r="U27" s="464"/>
    </row>
    <row r="28" spans="1:21" x14ac:dyDescent="0.2">
      <c r="A28" s="16">
        <v>120</v>
      </c>
      <c r="B28" s="818" t="s">
        <v>1133</v>
      </c>
      <c r="C28" s="146"/>
      <c r="H28" s="152"/>
      <c r="I28" s="146"/>
      <c r="U28" s="464"/>
    </row>
    <row r="29" spans="1:21" x14ac:dyDescent="0.2">
      <c r="B29" s="122"/>
      <c r="C29" s="146"/>
      <c r="H29" s="152"/>
      <c r="U29" s="464"/>
    </row>
    <row r="30" spans="1:21" x14ac:dyDescent="0.2">
      <c r="B30" s="122" t="s">
        <v>1139</v>
      </c>
      <c r="C30" s="146"/>
      <c r="H30" s="152"/>
      <c r="I30" s="782">
        <f t="shared" ref="I30:T30" si="7">+H33</f>
        <v>7951941.7000000002</v>
      </c>
      <c r="J30" s="100">
        <f t="shared" si="7"/>
        <v>7497647.122580681</v>
      </c>
      <c r="K30" s="100">
        <f t="shared" si="7"/>
        <v>8185658.6410045931</v>
      </c>
      <c r="L30" s="100">
        <f t="shared" si="7"/>
        <v>8120541.2931144349</v>
      </c>
      <c r="M30" s="100">
        <f t="shared" si="7"/>
        <v>8916372.1163691003</v>
      </c>
      <c r="N30" s="100">
        <f t="shared" si="7"/>
        <v>9175254.7332000621</v>
      </c>
      <c r="O30" s="100">
        <f t="shared" si="7"/>
        <v>9348378.3762994837</v>
      </c>
      <c r="P30" s="100">
        <f t="shared" si="7"/>
        <v>9003341.1407191493</v>
      </c>
      <c r="Q30" s="100">
        <f t="shared" si="7"/>
        <v>8051525.6225028588</v>
      </c>
      <c r="R30" s="100">
        <f t="shared" si="7"/>
        <v>8040221.7453412097</v>
      </c>
      <c r="S30" s="100">
        <f t="shared" si="7"/>
        <v>7666635.8262173682</v>
      </c>
      <c r="T30" s="100">
        <f t="shared" si="7"/>
        <v>7561937.5321055716</v>
      </c>
      <c r="U30" s="464"/>
    </row>
    <row r="31" spans="1:21" x14ac:dyDescent="0.2">
      <c r="B31" s="131" t="s">
        <v>129</v>
      </c>
      <c r="C31" s="146"/>
      <c r="H31" s="152"/>
      <c r="I31" s="782">
        <f>+I11*(1+'All. 13'!$C$20)</f>
        <v>1968683.3725806794</v>
      </c>
      <c r="J31" s="100">
        <f>+J11*(1+'All. 13'!$C$11)</f>
        <v>2222295.7184239128</v>
      </c>
      <c r="K31" s="100">
        <f>+K11*(1+'All. 13'!$C$11)</f>
        <v>2455472.8021098422</v>
      </c>
      <c r="L31" s="100">
        <f>+L11*(1+'All. 13'!$C$11)</f>
        <v>2269920.2232546667</v>
      </c>
      <c r="M31" s="100">
        <f>+M11*(1+'All. 13'!$C$11)</f>
        <v>2227565.9894116414</v>
      </c>
      <c r="N31" s="100">
        <f>+N11*(1+'All. 13'!$C$11)</f>
        <v>2395419.3615233344</v>
      </c>
      <c r="O31" s="100">
        <f>+O11*(1+'All. 13'!$C$11)</f>
        <v>2110435.5665295077</v>
      </c>
      <c r="P31" s="100">
        <f>+P11*(1+'All. 13'!$C$11)</f>
        <v>1318104.7050383769</v>
      </c>
      <c r="Q31" s="100">
        <f>+Q11*(1+'All. 13'!$C$11)</f>
        <v>2216262.1122499919</v>
      </c>
      <c r="R31" s="100">
        <f>+R11*(1+'All. 13'!$C$11)</f>
        <v>2021833.4423994932</v>
      </c>
      <c r="S31" s="100">
        <f>+S11*(1+'All. 13'!$C$11)</f>
        <v>2005737.2724177106</v>
      </c>
      <c r="T31" s="100">
        <f>+T11*(1+'All. 13'!$C$11)</f>
        <v>1334538.9801610673</v>
      </c>
      <c r="U31" s="464"/>
    </row>
    <row r="32" spans="1:21" x14ac:dyDescent="0.2">
      <c r="B32" s="131" t="s">
        <v>130</v>
      </c>
      <c r="C32" s="146"/>
      <c r="H32" s="152"/>
      <c r="I32" s="782">
        <f>E11*(1+'All. 13'!$C$20)</f>
        <v>2422977.9499999997</v>
      </c>
      <c r="J32" s="100">
        <f>F11*(1+'All. 13'!$C$20)</f>
        <v>1534284.2</v>
      </c>
      <c r="K32" s="100">
        <f>G11*(1+'All. 13'!$C$20)</f>
        <v>2520590.15</v>
      </c>
      <c r="L32" s="100">
        <f>H11*(1+'All. 13'!$C$20)</f>
        <v>1474089.4</v>
      </c>
      <c r="M32" s="100">
        <f>I11*(1+'All. 13'!$C$20)</f>
        <v>1968683.3725806794</v>
      </c>
      <c r="N32" s="100">
        <f>J11*(1+'All. 13'!$C$20)</f>
        <v>2222295.7184239128</v>
      </c>
      <c r="O32" s="100">
        <f>K11*(1+'All. 13'!$C$20)</f>
        <v>2455472.8021098422</v>
      </c>
      <c r="P32" s="100">
        <f>L11*(1+'All. 13'!$C$20)</f>
        <v>2269920.2232546667</v>
      </c>
      <c r="Q32" s="100">
        <f>M11*(1+'All. 13'!$C$20)</f>
        <v>2227565.9894116414</v>
      </c>
      <c r="R32" s="100">
        <f>N11*(1+'All. 13'!$C$20)</f>
        <v>2395419.3615233344</v>
      </c>
      <c r="S32" s="100">
        <f>O11*(1+'All. 13'!$C$20)</f>
        <v>2110435.5665295077</v>
      </c>
      <c r="T32" s="100">
        <f>P11*(1+'All. 13'!$C$20)</f>
        <v>1318104.7050383769</v>
      </c>
      <c r="U32" s="783">
        <f>SUM(I32:T32)</f>
        <v>24919839.438871957</v>
      </c>
    </row>
    <row r="33" spans="2:21" ht="17" thickBot="1" x14ac:dyDescent="0.25">
      <c r="B33" s="817" t="s">
        <v>1136</v>
      </c>
      <c r="C33" s="788"/>
      <c r="D33" s="770"/>
      <c r="E33" s="770"/>
      <c r="F33" s="770"/>
      <c r="G33" s="770"/>
      <c r="H33" s="774">
        <f>SUM(E11:H11)*(1+'All. 13'!C20)</f>
        <v>7951941.7000000002</v>
      </c>
      <c r="I33" s="784">
        <f>+I30+I31-I32</f>
        <v>7497647.122580681</v>
      </c>
      <c r="J33" s="770">
        <f t="shared" ref="J33:T33" si="8">+J30+J31-J32</f>
        <v>8185658.6410045931</v>
      </c>
      <c r="K33" s="770">
        <f t="shared" si="8"/>
        <v>8120541.2931144349</v>
      </c>
      <c r="L33" s="770">
        <f t="shared" si="8"/>
        <v>8916372.1163691003</v>
      </c>
      <c r="M33" s="770">
        <f t="shared" si="8"/>
        <v>9175254.7332000621</v>
      </c>
      <c r="N33" s="770">
        <f t="shared" si="8"/>
        <v>9348378.3762994837</v>
      </c>
      <c r="O33" s="770">
        <f t="shared" si="8"/>
        <v>9003341.1407191493</v>
      </c>
      <c r="P33" s="770">
        <f t="shared" si="8"/>
        <v>8051525.6225028588</v>
      </c>
      <c r="Q33" s="770">
        <f t="shared" si="8"/>
        <v>8040221.7453412097</v>
      </c>
      <c r="R33" s="770">
        <f t="shared" si="8"/>
        <v>7666635.8262173682</v>
      </c>
      <c r="S33" s="770">
        <f t="shared" si="8"/>
        <v>7561937.5321055716</v>
      </c>
      <c r="T33" s="770">
        <f t="shared" si="8"/>
        <v>7578371.8072282625</v>
      </c>
      <c r="U33" s="254"/>
    </row>
    <row r="34" spans="2:21" x14ac:dyDescent="0.2">
      <c r="B34" s="819"/>
      <c r="C34" s="706"/>
      <c r="D34" s="779"/>
      <c r="E34" s="779"/>
      <c r="F34" s="779"/>
      <c r="G34" s="779"/>
      <c r="H34" s="79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464"/>
    </row>
    <row r="35" spans="2:21" x14ac:dyDescent="0.2">
      <c r="B35" s="819" t="s">
        <v>1140</v>
      </c>
      <c r="C35" s="706"/>
      <c r="D35" s="779"/>
      <c r="E35" s="779"/>
      <c r="F35" s="779"/>
      <c r="G35" s="779"/>
      <c r="H35" s="799"/>
      <c r="I35" s="800">
        <f t="shared" ref="I35:T35" si="9">+H38</f>
        <v>23004548.75</v>
      </c>
      <c r="J35" s="474">
        <f t="shared" si="9"/>
        <v>22867145.740322717</v>
      </c>
      <c r="K35" s="474">
        <f t="shared" si="9"/>
        <v>23706774.714018367</v>
      </c>
      <c r="L35" s="474">
        <f t="shared" si="9"/>
        <v>26091213.599877059</v>
      </c>
      <c r="M35" s="474">
        <f t="shared" si="9"/>
        <v>27537142.629310451</v>
      </c>
      <c r="N35" s="474">
        <f t="shared" si="9"/>
        <v>27578658.975418668</v>
      </c>
      <c r="O35" s="474">
        <f t="shared" si="9"/>
        <v>27757174.875613742</v>
      </c>
      <c r="P35" s="474">
        <f t="shared" si="9"/>
        <v>26976037.903700951</v>
      </c>
      <c r="Q35" s="474">
        <f t="shared" si="9"/>
        <v>23127985.160253175</v>
      </c>
      <c r="R35" s="474">
        <f t="shared" si="9"/>
        <v>22864193.330265325</v>
      </c>
      <c r="S35" s="474">
        <f t="shared" si="9"/>
        <v>23017131.900242571</v>
      </c>
      <c r="T35" s="474">
        <f t="shared" si="9"/>
        <v>24077173.901057158</v>
      </c>
      <c r="U35" s="464"/>
    </row>
    <row r="36" spans="2:21" x14ac:dyDescent="0.2">
      <c r="B36" s="820" t="s">
        <v>129</v>
      </c>
      <c r="C36" s="706"/>
      <c r="D36" s="779"/>
      <c r="E36" s="779"/>
      <c r="F36" s="779"/>
      <c r="G36" s="779"/>
      <c r="H36" s="799"/>
      <c r="I36" s="800">
        <f>+I17+I24+I31</f>
        <v>7874733.4903227175</v>
      </c>
      <c r="J36" s="474">
        <f t="shared" ref="J36:T37" si="10">+J17+J24+J31</f>
        <v>8889182.8736956511</v>
      </c>
      <c r="K36" s="474">
        <f t="shared" si="10"/>
        <v>9821891.2084393688</v>
      </c>
      <c r="L36" s="474">
        <f t="shared" si="10"/>
        <v>9079680.8930186667</v>
      </c>
      <c r="M36" s="474">
        <f t="shared" si="10"/>
        <v>8910263.9576465655</v>
      </c>
      <c r="N36" s="474">
        <f t="shared" si="10"/>
        <v>9581677.4460933376</v>
      </c>
      <c r="O36" s="474">
        <f t="shared" si="10"/>
        <v>8441742.266118031</v>
      </c>
      <c r="P36" s="474">
        <f t="shared" si="10"/>
        <v>5272418.8201535074</v>
      </c>
      <c r="Q36" s="474">
        <f t="shared" si="10"/>
        <v>8865048.4489999674</v>
      </c>
      <c r="R36" s="474">
        <f t="shared" si="10"/>
        <v>8087333.7695979727</v>
      </c>
      <c r="S36" s="474">
        <f t="shared" si="10"/>
        <v>8022949.0896708425</v>
      </c>
      <c r="T36" s="474">
        <f t="shared" si="10"/>
        <v>5338155.9206442693</v>
      </c>
      <c r="U36" s="464"/>
    </row>
    <row r="37" spans="2:21" x14ac:dyDescent="0.2">
      <c r="B37" s="829" t="s">
        <v>130</v>
      </c>
      <c r="C37" s="824"/>
      <c r="D37" s="825"/>
      <c r="E37" s="825"/>
      <c r="F37" s="825"/>
      <c r="G37" s="825"/>
      <c r="H37" s="826"/>
      <c r="I37" s="827">
        <f>+I18+I25+I32</f>
        <v>8012136.5</v>
      </c>
      <c r="J37" s="793">
        <f t="shared" si="10"/>
        <v>8049553.8999999994</v>
      </c>
      <c r="K37" s="793">
        <f t="shared" si="10"/>
        <v>7437452.3225806784</v>
      </c>
      <c r="L37" s="793">
        <f t="shared" si="10"/>
        <v>7633751.8635852709</v>
      </c>
      <c r="M37" s="793">
        <f t="shared" si="10"/>
        <v>8868747.6115383469</v>
      </c>
      <c r="N37" s="793">
        <f t="shared" si="10"/>
        <v>9403161.5458982643</v>
      </c>
      <c r="O37" s="793">
        <f t="shared" si="10"/>
        <v>9222879.2380308174</v>
      </c>
      <c r="P37" s="793">
        <f t="shared" si="10"/>
        <v>9120471.5636012852</v>
      </c>
      <c r="Q37" s="793">
        <f t="shared" si="10"/>
        <v>9128840.2789878175</v>
      </c>
      <c r="R37" s="793">
        <f t="shared" si="10"/>
        <v>7934395.1996207274</v>
      </c>
      <c r="S37" s="793">
        <f t="shared" si="10"/>
        <v>6962907.0888562528</v>
      </c>
      <c r="T37" s="793">
        <f t="shared" si="10"/>
        <v>7772462.3719378542</v>
      </c>
      <c r="U37" s="828">
        <f>SUM(I37:T37)</f>
        <v>99546759.484637305</v>
      </c>
    </row>
    <row r="38" spans="2:21" ht="17" thickBot="1" x14ac:dyDescent="0.25">
      <c r="B38" s="821" t="s">
        <v>1141</v>
      </c>
      <c r="C38" s="803"/>
      <c r="D38" s="780"/>
      <c r="E38" s="780"/>
      <c r="F38" s="780"/>
      <c r="G38" s="780"/>
      <c r="H38" s="804">
        <f>+H19+H26+H33</f>
        <v>23004548.75</v>
      </c>
      <c r="I38" s="805">
        <f>+I35+I36-I37</f>
        <v>22867145.740322717</v>
      </c>
      <c r="J38" s="780">
        <f t="shared" ref="J38:T38" si="11">+J35+J36-J37</f>
        <v>23706774.714018367</v>
      </c>
      <c r="K38" s="780">
        <f t="shared" si="11"/>
        <v>26091213.599877059</v>
      </c>
      <c r="L38" s="780">
        <f t="shared" si="11"/>
        <v>27537142.629310451</v>
      </c>
      <c r="M38" s="780">
        <f t="shared" si="11"/>
        <v>27578658.975418668</v>
      </c>
      <c r="N38" s="780">
        <f t="shared" si="11"/>
        <v>27757174.875613742</v>
      </c>
      <c r="O38" s="780">
        <f t="shared" si="11"/>
        <v>26976037.903700951</v>
      </c>
      <c r="P38" s="780">
        <f t="shared" si="11"/>
        <v>23127985.160253175</v>
      </c>
      <c r="Q38" s="780">
        <f t="shared" si="11"/>
        <v>22864193.330265325</v>
      </c>
      <c r="R38" s="780">
        <f t="shared" si="11"/>
        <v>23017131.900242571</v>
      </c>
      <c r="S38" s="780">
        <f t="shared" si="11"/>
        <v>24077173.901057158</v>
      </c>
      <c r="T38" s="780">
        <f t="shared" si="11"/>
        <v>21642867.449763574</v>
      </c>
      <c r="U38" s="254"/>
    </row>
    <row r="39" spans="2:21" ht="17" thickBot="1" x14ac:dyDescent="0.25"/>
    <row r="40" spans="2:21" s="12" customFormat="1" ht="17" thickBot="1" x14ac:dyDescent="0.25">
      <c r="B40" s="97" t="s">
        <v>1142</v>
      </c>
      <c r="C40" s="806"/>
      <c r="D40" s="806"/>
      <c r="E40" s="806"/>
      <c r="F40" s="806"/>
      <c r="G40" s="806"/>
      <c r="H40" s="807"/>
      <c r="I40" s="807">
        <f>I36-I12</f>
        <v>1420033.9080909817</v>
      </c>
      <c r="J40" s="807">
        <f t="shared" ref="J40:T40" si="12">J36-J12</f>
        <v>1602967.4034533137</v>
      </c>
      <c r="K40" s="807">
        <f t="shared" si="12"/>
        <v>1771160.7097185748</v>
      </c>
      <c r="L40" s="807">
        <f t="shared" si="12"/>
        <v>1637319.5052984478</v>
      </c>
      <c r="M40" s="807">
        <f t="shared" si="12"/>
        <v>1606768.9103952814</v>
      </c>
      <c r="N40" s="807">
        <f t="shared" si="12"/>
        <v>1727843.4738856843</v>
      </c>
      <c r="O40" s="807">
        <f t="shared" si="12"/>
        <v>1522281.3922507931</v>
      </c>
      <c r="P40" s="807">
        <f t="shared" si="12"/>
        <v>950764.049535878</v>
      </c>
      <c r="Q40" s="807">
        <f t="shared" si="12"/>
        <v>1598615.2940819608</v>
      </c>
      <c r="R40" s="807">
        <f t="shared" si="12"/>
        <v>1458371.6633701259</v>
      </c>
      <c r="S40" s="807">
        <f t="shared" si="12"/>
        <v>1446761.311252119</v>
      </c>
      <c r="T40" s="808">
        <f t="shared" si="12"/>
        <v>962618.28077191766</v>
      </c>
    </row>
  </sheetData>
  <mergeCells count="2">
    <mergeCell ref="C4:H4"/>
    <mergeCell ref="I4:U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5">
    <tabColor indexed="13"/>
  </sheetPr>
  <dimension ref="A2:S18"/>
  <sheetViews>
    <sheetView zoomScale="177" zoomScaleNormal="120" workbookViewId="0">
      <selection activeCell="B8" sqref="B8"/>
    </sheetView>
  </sheetViews>
  <sheetFormatPr baseColWidth="10" defaultColWidth="9.1640625" defaultRowHeight="16" x14ac:dyDescent="0.2"/>
  <cols>
    <col min="1" max="1" width="18.5" style="3" customWidth="1"/>
    <col min="2" max="13" width="8.6640625" style="3" customWidth="1"/>
    <col min="14" max="14" width="10" style="3" customWidth="1"/>
    <col min="15" max="15" width="3.33203125" style="3" customWidth="1"/>
    <col min="16" max="16" width="13.6640625" style="3" bestFit="1" customWidth="1"/>
    <col min="17" max="16384" width="9.1640625" style="3"/>
  </cols>
  <sheetData>
    <row r="2" spans="1:19" x14ac:dyDescent="0.2">
      <c r="A2" s="91" t="s">
        <v>197</v>
      </c>
    </row>
    <row r="3" spans="1:19" ht="17" thickBot="1" x14ac:dyDescent="0.25"/>
    <row r="4" spans="1:19" x14ac:dyDescent="0.2"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</row>
    <row r="5" spans="1:19" x14ac:dyDescent="0.2">
      <c r="B5" s="302">
        <v>18</v>
      </c>
      <c r="C5" s="302">
        <v>20</v>
      </c>
      <c r="D5" s="302">
        <v>23</v>
      </c>
      <c r="E5" s="302">
        <v>21</v>
      </c>
      <c r="F5" s="302">
        <v>21</v>
      </c>
      <c r="G5" s="302">
        <v>22</v>
      </c>
      <c r="H5" s="302">
        <v>22</v>
      </c>
      <c r="I5" s="302">
        <v>12</v>
      </c>
      <c r="J5" s="302">
        <v>22</v>
      </c>
      <c r="K5" s="302">
        <v>21</v>
      </c>
      <c r="L5" s="302">
        <v>21</v>
      </c>
      <c r="M5" s="302">
        <v>12</v>
      </c>
      <c r="N5" s="3">
        <f>SUM(B5:M5)</f>
        <v>235</v>
      </c>
      <c r="P5" s="302">
        <v>18</v>
      </c>
      <c r="Q5" s="302">
        <v>20</v>
      </c>
      <c r="R5" s="302">
        <v>23</v>
      </c>
      <c r="S5" s="302">
        <v>21</v>
      </c>
    </row>
    <row r="6" spans="1:19" ht="17" thickBot="1" x14ac:dyDescent="0.25"/>
    <row r="7" spans="1:19" x14ac:dyDescent="0.2">
      <c r="A7" s="4" t="s">
        <v>189</v>
      </c>
      <c r="B7" s="5" t="s">
        <v>11</v>
      </c>
      <c r="C7" s="5" t="s">
        <v>12</v>
      </c>
      <c r="D7" s="5" t="s">
        <v>13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18</v>
      </c>
      <c r="J7" s="5" t="s">
        <v>19</v>
      </c>
      <c r="K7" s="5" t="s">
        <v>20</v>
      </c>
      <c r="L7" s="5" t="s">
        <v>21</v>
      </c>
      <c r="M7" s="5" t="s">
        <v>22</v>
      </c>
      <c r="N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x14ac:dyDescent="0.2">
      <c r="A8" s="6" t="s">
        <v>166</v>
      </c>
      <c r="B8" s="303">
        <f>IFERROR('Tab 2'!$C$14/$N$5*B$5,0)</f>
        <v>18863.320540150991</v>
      </c>
      <c r="C8" s="303">
        <f>IFERROR('Tab 2'!$C$14/$N$5*C$5,0)</f>
        <v>20959.245044612213</v>
      </c>
      <c r="D8" s="303">
        <f>IFERROR('Tab 2'!$C$14/$N$5*D$5,0)</f>
        <v>24103.131801304044</v>
      </c>
      <c r="E8" s="303">
        <f>IFERROR('Tab 2'!$C$14/$N$5*E$5,0)</f>
        <v>22007.207296842822</v>
      </c>
      <c r="F8" s="303">
        <f>IFERROR('Tab 2'!$C$14/$N$5*F$5,0)</f>
        <v>22007.207296842822</v>
      </c>
      <c r="G8" s="303">
        <f>IFERROR('Tab 2'!$C$14/$N$5*G$5,0)</f>
        <v>23055.169549073435</v>
      </c>
      <c r="H8" s="303">
        <f>IFERROR('Tab 2'!$C$14/$N$5*H$5,0)</f>
        <v>23055.169549073435</v>
      </c>
      <c r="I8" s="303">
        <f>IFERROR('Tab 2'!$C$14/$N$5*I$5,0)</f>
        <v>12575.547026767326</v>
      </c>
      <c r="J8" s="303">
        <f>IFERROR('Tab 2'!$C$14/$N$5*J$5,0)</f>
        <v>23055.169549073435</v>
      </c>
      <c r="K8" s="303">
        <f>IFERROR('Tab 2'!$C$14/$N$5*K$5,0)</f>
        <v>22007.207296842822</v>
      </c>
      <c r="L8" s="303">
        <f>IFERROR('Tab 2'!$C$14/$N$5*L$5,0)</f>
        <v>22007.207296842822</v>
      </c>
      <c r="M8" s="303">
        <f>IFERROR('Tab 2'!$C$14/$N$5*M$5,0)</f>
        <v>12575.547026767326</v>
      </c>
      <c r="N8" s="7">
        <f>SUM(B8:M8)</f>
        <v>246271.12927419355</v>
      </c>
      <c r="P8" s="303">
        <f>IFERROR('Tab 2'!$C$32/$N$5*P$5,0)</f>
        <v>19240.586950954017</v>
      </c>
      <c r="Q8" s="303">
        <f>IFERROR('Tab 2'!$C$32/$N$5*Q$5,0)</f>
        <v>21378.429945504464</v>
      </c>
      <c r="R8" s="303">
        <f>IFERROR('Tab 2'!$C$32/$N$5*R$5,0)</f>
        <v>24585.194437330134</v>
      </c>
      <c r="S8" s="303">
        <f>IFERROR('Tab 2'!$C$32/$N$5*S$5,0)</f>
        <v>22447.351442779687</v>
      </c>
    </row>
    <row r="9" spans="1:19" x14ac:dyDescent="0.2">
      <c r="A9" s="6" t="s">
        <v>198</v>
      </c>
      <c r="B9" s="303">
        <f>IFERROR('Tab 2'!$F$14/$N$5*B$5,0)</f>
        <v>33131.005957446803</v>
      </c>
      <c r="C9" s="303">
        <f>IFERROR('Tab 2'!$F$14/$N$5*C$5,0)</f>
        <v>36812.228841607561</v>
      </c>
      <c r="D9" s="303">
        <f>IFERROR('Tab 2'!$F$14/$N$5*D$5,0)</f>
        <v>42334.063167848697</v>
      </c>
      <c r="E9" s="303">
        <f>IFERROR('Tab 2'!$F$14/$N$5*E$5,0)</f>
        <v>38652.84028368794</v>
      </c>
      <c r="F9" s="303">
        <f>IFERROR('Tab 2'!$F$14/$N$5*F$5,0)</f>
        <v>38652.84028368794</v>
      </c>
      <c r="G9" s="303">
        <f>IFERROR('Tab 2'!$F$14/$N$5*G$5,0)</f>
        <v>40493.451725768318</v>
      </c>
      <c r="H9" s="303">
        <f>IFERROR('Tab 2'!$F$14/$N$5*H$5,0)</f>
        <v>40493.451725768318</v>
      </c>
      <c r="I9" s="303">
        <f>IFERROR('Tab 2'!$F$14/$N$5*I$5,0)</f>
        <v>22087.337304964538</v>
      </c>
      <c r="J9" s="303">
        <f>IFERROR('Tab 2'!$F$14/$N$5*J$5,0)</f>
        <v>40493.451725768318</v>
      </c>
      <c r="K9" s="303">
        <f>IFERROR('Tab 2'!$F$14/$N$5*K$5,0)</f>
        <v>38652.84028368794</v>
      </c>
      <c r="L9" s="303">
        <f>IFERROR('Tab 2'!$F$14/$N$5*L$5,0)</f>
        <v>38652.84028368794</v>
      </c>
      <c r="M9" s="303">
        <f>IFERROR('Tab 2'!$F$14/$N$5*M$5,0)</f>
        <v>22087.337304964538</v>
      </c>
      <c r="N9" s="7">
        <f>SUM(B9:M9)</f>
        <v>432543.68888888886</v>
      </c>
      <c r="P9" s="303">
        <f>IFERROR('Tab 2'!$F$32/$N$5*P$5,0)</f>
        <v>31805.765719148934</v>
      </c>
      <c r="Q9" s="303">
        <f>IFERROR('Tab 2'!$F$32/$N$5*Q$5,0)</f>
        <v>35339.739687943264</v>
      </c>
      <c r="R9" s="303">
        <f>IFERROR('Tab 2'!$F$32/$N$5*R$5,0)</f>
        <v>40640.700641134747</v>
      </c>
      <c r="S9" s="303">
        <f>IFERROR('Tab 2'!$F$32/$N$5*S$5,0)</f>
        <v>37106.726672340425</v>
      </c>
    </row>
    <row r="10" spans="1:19" x14ac:dyDescent="0.2">
      <c r="A10" s="6" t="s">
        <v>168</v>
      </c>
      <c r="B10" s="303">
        <f>IFERROR('Tab 2'!$I$14/$N$5*B$5,0)</f>
        <v>293.61702127659601</v>
      </c>
      <c r="C10" s="303">
        <f>IFERROR('Tab 2'!$I$14/$N$5*C$5,0)</f>
        <v>326.2411347517733</v>
      </c>
      <c r="D10" s="303">
        <f>IFERROR('Tab 2'!$I$14/$N$5*D$5,0)</f>
        <v>375.1773049645393</v>
      </c>
      <c r="E10" s="303">
        <f>IFERROR('Tab 2'!$I$14/$N$5*E$5,0)</f>
        <v>342.55319148936201</v>
      </c>
      <c r="F10" s="303">
        <f>IFERROR('Tab 2'!$I$14/$N$5*F$5,0)</f>
        <v>342.55319148936201</v>
      </c>
      <c r="G10" s="303">
        <f>IFERROR('Tab 2'!$I$14/$N$5*G$5,0)</f>
        <v>358.86524822695065</v>
      </c>
      <c r="H10" s="303">
        <f>IFERROR('Tab 2'!$I$14/$N$5*H$5,0)</f>
        <v>358.86524822695065</v>
      </c>
      <c r="I10" s="303">
        <f>IFERROR('Tab 2'!$I$14/$N$5*I$5,0)</f>
        <v>195.744680851064</v>
      </c>
      <c r="J10" s="303">
        <f>IFERROR('Tab 2'!$I$14/$N$5*J$5,0)</f>
        <v>358.86524822695065</v>
      </c>
      <c r="K10" s="303">
        <f>IFERROR('Tab 2'!$I$14/$N$5*K$5,0)</f>
        <v>342.55319148936201</v>
      </c>
      <c r="L10" s="303">
        <f>IFERROR('Tab 2'!$I$14/$N$5*L$5,0)</f>
        <v>342.55319148936201</v>
      </c>
      <c r="M10" s="303">
        <f>IFERROR('Tab 2'!$I$14/$N$5*M$5,0)</f>
        <v>195.744680851064</v>
      </c>
      <c r="N10" s="7">
        <f>SUM(B10:M10)</f>
        <v>3833.3333333333367</v>
      </c>
      <c r="P10" s="303">
        <f>IFERROR('Tab 2'!$I$32/$N$5*P$5,0)</f>
        <v>317.10638297872367</v>
      </c>
      <c r="Q10" s="303">
        <f>IFERROR('Tab 2'!$I$32/$N$5*Q$5,0)</f>
        <v>352.34042553191523</v>
      </c>
      <c r="R10" s="303">
        <f>IFERROR('Tab 2'!$I$32/$N$5*R$5,0)</f>
        <v>405.19148936170251</v>
      </c>
      <c r="S10" s="303">
        <f>IFERROR('Tab 2'!$I$32/$N$5*S$5,0)</f>
        <v>369.95744680851095</v>
      </c>
    </row>
    <row r="11" spans="1:19" ht="17" thickBot="1" x14ac:dyDescent="0.25">
      <c r="A11" s="8" t="s">
        <v>3</v>
      </c>
      <c r="B11" s="9">
        <f>SUM(B8:B10)</f>
        <v>52287.943518874388</v>
      </c>
      <c r="C11" s="9">
        <f t="shared" ref="C11:P11" si="0">SUM(C8:C10)</f>
        <v>58097.71502097154</v>
      </c>
      <c r="D11" s="9">
        <f t="shared" si="0"/>
        <v>66812.372274117282</v>
      </c>
      <c r="E11" s="9">
        <f t="shared" si="0"/>
        <v>61002.600772020131</v>
      </c>
      <c r="F11" s="9">
        <f t="shared" si="0"/>
        <v>61002.600772020131</v>
      </c>
      <c r="G11" s="9">
        <f t="shared" si="0"/>
        <v>63907.486523068706</v>
      </c>
      <c r="H11" s="9">
        <f t="shared" si="0"/>
        <v>63907.486523068706</v>
      </c>
      <c r="I11" s="9">
        <f t="shared" si="0"/>
        <v>34858.629012582933</v>
      </c>
      <c r="J11" s="9">
        <f t="shared" si="0"/>
        <v>63907.486523068706</v>
      </c>
      <c r="K11" s="9">
        <f t="shared" si="0"/>
        <v>61002.600772020131</v>
      </c>
      <c r="L11" s="9">
        <f t="shared" si="0"/>
        <v>61002.600772020131</v>
      </c>
      <c r="M11" s="9">
        <f t="shared" si="0"/>
        <v>34858.629012582933</v>
      </c>
      <c r="N11" s="9">
        <f t="shared" si="0"/>
        <v>682648.15149641584</v>
      </c>
      <c r="P11" s="9">
        <f t="shared" si="0"/>
        <v>51363.459053081671</v>
      </c>
      <c r="Q11" s="9">
        <f t="shared" ref="Q11:R11" si="1">SUM(Q8:Q10)</f>
        <v>57070.510058979649</v>
      </c>
      <c r="R11" s="9">
        <f t="shared" si="1"/>
        <v>65631.086567826584</v>
      </c>
      <c r="S11" s="9">
        <f t="shared" ref="S11" si="2">SUM(S8:S10)</f>
        <v>59924.03556192862</v>
      </c>
    </row>
    <row r="13" spans="1:19" ht="17" thickBot="1" x14ac:dyDescent="0.25"/>
    <row r="14" spans="1:19" x14ac:dyDescent="0.2">
      <c r="A14" s="4" t="s">
        <v>190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  <c r="H14" s="5" t="s">
        <v>17</v>
      </c>
      <c r="I14" s="5" t="s">
        <v>18</v>
      </c>
      <c r="J14" s="5" t="s">
        <v>19</v>
      </c>
      <c r="K14" s="5" t="s">
        <v>20</v>
      </c>
      <c r="L14" s="5" t="s">
        <v>21</v>
      </c>
      <c r="M14" s="5" t="s">
        <v>22</v>
      </c>
      <c r="N14" s="5" t="s">
        <v>10</v>
      </c>
      <c r="P14" s="5" t="s">
        <v>11</v>
      </c>
      <c r="Q14" s="5" t="s">
        <v>12</v>
      </c>
      <c r="R14" s="5" t="s">
        <v>13</v>
      </c>
      <c r="S14" s="5" t="s">
        <v>14</v>
      </c>
    </row>
    <row r="15" spans="1:19" x14ac:dyDescent="0.2">
      <c r="A15" s="6" t="s">
        <v>166</v>
      </c>
      <c r="B15" s="303">
        <f>'Tab 2'!$C$15/$N$5*B$5</f>
        <v>1198.375657844887</v>
      </c>
      <c r="C15" s="303">
        <f>'Tab 2'!$C$15/$N$5*C$5</f>
        <v>1331.528508716541</v>
      </c>
      <c r="D15" s="303">
        <f>'Tab 2'!$C$15/$N$5*D$5</f>
        <v>1531.257785024022</v>
      </c>
      <c r="E15" s="303">
        <f>'Tab 2'!$C$15/$N$5*E$5</f>
        <v>1398.1049341523681</v>
      </c>
      <c r="F15" s="303">
        <f>'Tab 2'!$C$15/$N$5*F$5</f>
        <v>1398.1049341523681</v>
      </c>
      <c r="G15" s="303">
        <f>'Tab 2'!$C$15/$N$5*G$5</f>
        <v>1464.6813595881949</v>
      </c>
      <c r="H15" s="303">
        <f>'Tab 2'!$C$15/$N$5*H$5</f>
        <v>1464.6813595881949</v>
      </c>
      <c r="I15" s="303">
        <f>'Tab 2'!$C$15/$N$5*I$5</f>
        <v>798.91710522992457</v>
      </c>
      <c r="J15" s="303">
        <f>'Tab 2'!$C$15/$N$5*J$5</f>
        <v>1464.6813595881949</v>
      </c>
      <c r="K15" s="303">
        <f>'Tab 2'!$C$15/$N$5*K$5</f>
        <v>1398.1049341523681</v>
      </c>
      <c r="L15" s="303">
        <f>'Tab 2'!$C$15/$N$5*L$5</f>
        <v>1398.1049341523681</v>
      </c>
      <c r="M15" s="303">
        <f>'Tab 2'!$C$15/$N$5*M$5</f>
        <v>798.91710522992457</v>
      </c>
      <c r="N15" s="7">
        <f>SUM(B15:M15)</f>
        <v>15645.459977419356</v>
      </c>
      <c r="P15" s="303">
        <f>'Tab 2'!$C$33/$N$5*P$5</f>
        <v>1222.3431710017846</v>
      </c>
      <c r="Q15" s="303">
        <f>'Tab 2'!$C$33/$N$5*Q$5</f>
        <v>1358.1590788908718</v>
      </c>
      <c r="R15" s="303">
        <f>'Tab 2'!$C$33/$N$5*R$5</f>
        <v>1561.8829407245025</v>
      </c>
      <c r="S15" s="303">
        <f>'Tab 2'!$C$33/$N$5*S$5</f>
        <v>1426.0670328354154</v>
      </c>
    </row>
    <row r="16" spans="1:19" x14ac:dyDescent="0.2">
      <c r="A16" s="6" t="s">
        <v>198</v>
      </c>
      <c r="B16" s="303">
        <f>'Tab 2'!$F$15/$N$5*B$5</f>
        <v>0</v>
      </c>
      <c r="C16" s="303">
        <f>'Tab 2'!$F$15/$N$5*C$5</f>
        <v>0</v>
      </c>
      <c r="D16" s="303">
        <f>'Tab 2'!$F$15/$N$5*D$5</f>
        <v>0</v>
      </c>
      <c r="E16" s="303">
        <f>'Tab 2'!$F$15/$N$5*E$5</f>
        <v>0</v>
      </c>
      <c r="F16" s="303">
        <f>'Tab 2'!$F$15/$N$5*F$5</f>
        <v>0</v>
      </c>
      <c r="G16" s="303">
        <f>'Tab 2'!$F$15/$N$5*G$5</f>
        <v>0</v>
      </c>
      <c r="H16" s="303">
        <f>'Tab 2'!$F$15/$N$5*H$5</f>
        <v>0</v>
      </c>
      <c r="I16" s="303">
        <f>'Tab 2'!$F$15/$N$5*I$5</f>
        <v>0</v>
      </c>
      <c r="J16" s="303">
        <f>'Tab 2'!$F$15/$N$5*J$5</f>
        <v>0</v>
      </c>
      <c r="K16" s="303">
        <f>'Tab 2'!$F$15/$N$5*K$5</f>
        <v>0</v>
      </c>
      <c r="L16" s="303">
        <f>'Tab 2'!$F$15/$N$5*L$5</f>
        <v>0</v>
      </c>
      <c r="M16" s="303">
        <f>'Tab 2'!$F$15/$N$5*M$5</f>
        <v>0</v>
      </c>
      <c r="N16" s="7">
        <f>SUM(B16:M16)</f>
        <v>0</v>
      </c>
      <c r="P16" s="303">
        <f>'Tab 2'!$F$33/$N$5*P$5</f>
        <v>0</v>
      </c>
      <c r="Q16" s="303">
        <f>'Tab 2'!$F$33/$N$5*Q$5</f>
        <v>0</v>
      </c>
      <c r="R16" s="303">
        <f>'Tab 2'!$F$33/$N$5*R$5</f>
        <v>0</v>
      </c>
      <c r="S16" s="303">
        <f>'Tab 2'!$F$33/$N$5*S$5</f>
        <v>0</v>
      </c>
    </row>
    <row r="17" spans="1:19" x14ac:dyDescent="0.2">
      <c r="A17" s="6" t="s">
        <v>168</v>
      </c>
      <c r="B17" s="303">
        <f>'Tab 2'!$I$15/$N$5*B$5</f>
        <v>2008.3404255319151</v>
      </c>
      <c r="C17" s="303">
        <f>'Tab 2'!$I$15/$N$5*C$5</f>
        <v>2231.489361702128</v>
      </c>
      <c r="D17" s="303">
        <f>'Tab 2'!$I$15/$N$5*D$5</f>
        <v>2566.2127659574471</v>
      </c>
      <c r="E17" s="303">
        <f>'Tab 2'!$I$15/$N$5*E$5</f>
        <v>2343.0638297872342</v>
      </c>
      <c r="F17" s="303">
        <f>'Tab 2'!$I$15/$N$5*F$5</f>
        <v>2343.0638297872342</v>
      </c>
      <c r="G17" s="303">
        <f>'Tab 2'!$I$15/$N$5*G$5</f>
        <v>2454.6382978723404</v>
      </c>
      <c r="H17" s="303">
        <f>'Tab 2'!$I$15/$N$5*H$5</f>
        <v>2454.6382978723404</v>
      </c>
      <c r="I17" s="303">
        <f>'Tab 2'!$I$15/$N$5*I$5</f>
        <v>1338.8936170212767</v>
      </c>
      <c r="J17" s="303">
        <f>'Tab 2'!$I$15/$N$5*J$5</f>
        <v>2454.6382978723404</v>
      </c>
      <c r="K17" s="303">
        <f>'Tab 2'!$I$15/$N$5*K$5</f>
        <v>2343.0638297872342</v>
      </c>
      <c r="L17" s="303">
        <f>'Tab 2'!$I$15/$N$5*L$5</f>
        <v>2343.0638297872342</v>
      </c>
      <c r="M17" s="303">
        <f>'Tab 2'!$I$15/$N$5*M$5</f>
        <v>1338.8936170212767</v>
      </c>
      <c r="N17" s="7">
        <f>SUM(B17:M17)</f>
        <v>26220.000000000004</v>
      </c>
      <c r="P17" s="303">
        <f>'Tab 2'!$I$33/$N$5*P$5</f>
        <v>2169.0076595744681</v>
      </c>
      <c r="Q17" s="303">
        <f>'Tab 2'!$I$33/$N$5*Q$5</f>
        <v>2410.0085106382976</v>
      </c>
      <c r="R17" s="303">
        <f>'Tab 2'!$I$33/$N$5*R$5</f>
        <v>2771.5097872340425</v>
      </c>
      <c r="S17" s="303">
        <f>'Tab 2'!$I$33/$N$5*S$5</f>
        <v>2530.5089361702126</v>
      </c>
    </row>
    <row r="18" spans="1:19" ht="17" thickBot="1" x14ac:dyDescent="0.25">
      <c r="A18" s="8" t="s">
        <v>3</v>
      </c>
      <c r="B18" s="9">
        <f t="shared" ref="B18:R18" si="3">SUM(B15:B17)</f>
        <v>3206.7160833768021</v>
      </c>
      <c r="C18" s="9">
        <f t="shared" si="3"/>
        <v>3563.0178704186692</v>
      </c>
      <c r="D18" s="9">
        <f t="shared" si="3"/>
        <v>4097.4705509814694</v>
      </c>
      <c r="E18" s="9">
        <f t="shared" si="3"/>
        <v>3741.1687639396023</v>
      </c>
      <c r="F18" s="9">
        <f t="shared" si="3"/>
        <v>3741.1687639396023</v>
      </c>
      <c r="G18" s="9">
        <f t="shared" si="3"/>
        <v>3919.3196574605354</v>
      </c>
      <c r="H18" s="9">
        <f t="shared" si="3"/>
        <v>3919.3196574605354</v>
      </c>
      <c r="I18" s="9">
        <f t="shared" si="3"/>
        <v>2137.8107222512012</v>
      </c>
      <c r="J18" s="9">
        <f t="shared" si="3"/>
        <v>3919.3196574605354</v>
      </c>
      <c r="K18" s="9">
        <f t="shared" si="3"/>
        <v>3741.1687639396023</v>
      </c>
      <c r="L18" s="9">
        <f t="shared" si="3"/>
        <v>3741.1687639396023</v>
      </c>
      <c r="M18" s="9">
        <f t="shared" si="3"/>
        <v>2137.8107222512012</v>
      </c>
      <c r="N18" s="9">
        <f t="shared" si="3"/>
        <v>41865.459977419363</v>
      </c>
      <c r="P18" s="9">
        <f t="shared" si="3"/>
        <v>3391.3508305762525</v>
      </c>
      <c r="Q18" s="9">
        <f t="shared" si="3"/>
        <v>3768.1675895291692</v>
      </c>
      <c r="R18" s="9">
        <f t="shared" si="3"/>
        <v>4333.392727958545</v>
      </c>
      <c r="S18" s="9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4FF0-61BC-6246-8163-237CE15C5924}">
  <sheetPr codeName="Foglio50"/>
  <dimension ref="B2:U299"/>
  <sheetViews>
    <sheetView zoomScale="200" zoomScaleNormal="170" workbookViewId="0">
      <pane xSplit="2" ySplit="5" topLeftCell="C274" activePane="bottomRight" state="frozen"/>
      <selection pane="topRight" activeCell="C1" sqref="C1"/>
      <selection pane="bottomLeft" activeCell="A6" sqref="A6"/>
      <selection pane="bottomRight" activeCell="D285" sqref="D285"/>
    </sheetView>
  </sheetViews>
  <sheetFormatPr baseColWidth="10" defaultRowHeight="16" outlineLevelRow="1" x14ac:dyDescent="0.2"/>
  <cols>
    <col min="1" max="1" width="10.83203125" style="3"/>
    <col min="2" max="2" width="38.5" style="3" customWidth="1"/>
    <col min="3" max="3" width="17.83203125" style="3" customWidth="1"/>
    <col min="4" max="15" width="12.83203125" style="3" customWidth="1"/>
    <col min="16" max="16" width="13" style="3" customWidth="1"/>
    <col min="17" max="17" width="10.83203125" style="3"/>
    <col min="18" max="18" width="12" style="3" bestFit="1" customWidth="1"/>
    <col min="19" max="19" width="10.83203125" style="3"/>
    <col min="20" max="20" width="20.33203125" style="3" customWidth="1"/>
    <col min="21" max="21" width="15.33203125" style="3" bestFit="1" customWidth="1"/>
    <col min="22" max="16384" width="10.83203125" style="3"/>
  </cols>
  <sheetData>
    <row r="2" spans="2:21" x14ac:dyDescent="0.2">
      <c r="B2" s="3" t="s">
        <v>1144</v>
      </c>
    </row>
    <row r="3" spans="2:21" ht="17" thickBot="1" x14ac:dyDescent="0.25"/>
    <row r="4" spans="2:21" x14ac:dyDescent="0.2">
      <c r="B4" s="157"/>
      <c r="C4" s="151"/>
      <c r="D4" s="1043" t="s">
        <v>196</v>
      </c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4"/>
      <c r="P4" s="1045"/>
      <c r="T4" s="13" t="s">
        <v>1175</v>
      </c>
      <c r="U4" s="151"/>
    </row>
    <row r="5" spans="2:21" x14ac:dyDescent="0.2">
      <c r="B5" s="122"/>
      <c r="C5" s="816" t="s">
        <v>1146</v>
      </c>
      <c r="D5" s="752" t="s">
        <v>211</v>
      </c>
      <c r="E5" s="420" t="s">
        <v>212</v>
      </c>
      <c r="F5" s="420" t="s">
        <v>213</v>
      </c>
      <c r="G5" s="420" t="s">
        <v>214</v>
      </c>
      <c r="H5" s="420" t="s">
        <v>215</v>
      </c>
      <c r="I5" s="420" t="s">
        <v>216</v>
      </c>
      <c r="J5" s="420" t="s">
        <v>217</v>
      </c>
      <c r="K5" s="420" t="s">
        <v>218</v>
      </c>
      <c r="L5" s="420" t="s">
        <v>219</v>
      </c>
      <c r="M5" s="420" t="s">
        <v>220</v>
      </c>
      <c r="N5" s="420" t="s">
        <v>221</v>
      </c>
      <c r="O5" s="420" t="s">
        <v>222</v>
      </c>
      <c r="P5" s="713" t="s">
        <v>179</v>
      </c>
      <c r="T5" s="146" t="s">
        <v>1148</v>
      </c>
      <c r="U5" s="846">
        <f>CE_3!O13+CE_3!O17+CE_3!O25+CE_3!O26</f>
        <v>139361051.14639252</v>
      </c>
    </row>
    <row r="6" spans="2:21" x14ac:dyDescent="0.2">
      <c r="B6" s="814"/>
      <c r="C6" s="152"/>
      <c r="D6" s="146"/>
      <c r="P6" s="464"/>
      <c r="T6" s="847" t="s">
        <v>1149</v>
      </c>
      <c r="U6" s="846">
        <f>+'Tab. 11'!O98</f>
        <v>4978773.0143983085</v>
      </c>
    </row>
    <row r="7" spans="2:21" x14ac:dyDescent="0.2">
      <c r="B7" s="122" t="s">
        <v>426</v>
      </c>
      <c r="C7" s="152" t="str">
        <f>VLOOKUP(B7,'All. 13'!$B$24:$C$42,2,0)</f>
        <v>mensile competenza</v>
      </c>
      <c r="D7" s="951">
        <f>+'Tab. 22'!C8</f>
        <v>554950</v>
      </c>
      <c r="E7" s="100">
        <f>+'Tab. 22'!D8</f>
        <v>616620</v>
      </c>
      <c r="F7" s="100">
        <f>+'Tab. 22'!E8</f>
        <v>709110</v>
      </c>
      <c r="G7" s="100">
        <f>+'Tab. 22'!F8</f>
        <v>647450</v>
      </c>
      <c r="H7" s="100">
        <f>+'Tab. 22'!G8</f>
        <v>647450</v>
      </c>
      <c r="I7" s="100">
        <f>+'Tab. 22'!H8</f>
        <v>678280</v>
      </c>
      <c r="J7" s="100">
        <f>+'Tab. 22'!I8</f>
        <v>678280</v>
      </c>
      <c r="K7" s="100">
        <f>+'Tab. 22'!J8</f>
        <v>369970</v>
      </c>
      <c r="L7" s="100">
        <f>+'Tab. 22'!K8</f>
        <v>678280</v>
      </c>
      <c r="M7" s="100">
        <f>+'Tab. 22'!L8</f>
        <v>647450</v>
      </c>
      <c r="N7" s="100">
        <f>+'Tab. 22'!M8</f>
        <v>647450</v>
      </c>
      <c r="O7" s="100">
        <f>+'Tab. 22'!N8</f>
        <v>369970</v>
      </c>
      <c r="P7" s="783">
        <f t="shared" ref="P7:P29" si="0">SUM(D7:O7)</f>
        <v>7245260</v>
      </c>
      <c r="R7" s="73"/>
      <c r="T7" s="847" t="s">
        <v>1174</v>
      </c>
      <c r="U7" s="846">
        <f>'All. 6'!C24</f>
        <v>540000</v>
      </c>
    </row>
    <row r="8" spans="2:21" x14ac:dyDescent="0.2">
      <c r="B8" s="122" t="s">
        <v>1044</v>
      </c>
      <c r="C8" s="152" t="str">
        <f>VLOOKUP(B8,'All. 13'!$B$24:$C$42,2,0)</f>
        <v>mensile competenza</v>
      </c>
      <c r="D8" s="951">
        <f>+'Tab. 22'!C9</f>
        <v>616686.94370075595</v>
      </c>
      <c r="E8" s="100">
        <f>+'Tab. 22'!D9</f>
        <v>685207.71522306208</v>
      </c>
      <c r="F8" s="100">
        <f>+'Tab. 22'!E9</f>
        <v>787988.87250652141</v>
      </c>
      <c r="G8" s="100">
        <f>+'Tab. 22'!F9</f>
        <v>719468.10098421527</v>
      </c>
      <c r="H8" s="100">
        <f>+'Tab. 22'!G9</f>
        <v>719468.10098421527</v>
      </c>
      <c r="I8" s="100">
        <f>+'Tab. 22'!H9</f>
        <v>753728.48674536834</v>
      </c>
      <c r="J8" s="100">
        <f>+'Tab. 22'!I9</f>
        <v>753728.48674536834</v>
      </c>
      <c r="K8" s="100">
        <f>+'Tab. 22'!J9</f>
        <v>411124.6291338373</v>
      </c>
      <c r="L8" s="100">
        <f>+'Tab. 22'!K9</f>
        <v>753728.48674536834</v>
      </c>
      <c r="M8" s="100">
        <f>+'Tab. 22'!L9</f>
        <v>719468.10098421527</v>
      </c>
      <c r="N8" s="100">
        <f>+'Tab. 22'!M9</f>
        <v>719468.10098421527</v>
      </c>
      <c r="O8" s="100">
        <f>+'Tab. 22'!N9</f>
        <v>411124.6291338373</v>
      </c>
      <c r="P8" s="783">
        <f t="shared" si="0"/>
        <v>8051190.6538709812</v>
      </c>
      <c r="R8" s="73"/>
      <c r="S8" s="73"/>
      <c r="T8" s="847" t="s">
        <v>1150</v>
      </c>
      <c r="U8" s="846">
        <f>'All. 7'!I36</f>
        <v>2693650</v>
      </c>
    </row>
    <row r="9" spans="2:21" x14ac:dyDescent="0.2">
      <c r="B9" s="122" t="s">
        <v>1391</v>
      </c>
      <c r="C9" s="152"/>
      <c r="D9" s="951">
        <f>+'Mens costi industriali IND'!C56</f>
        <v>42690.582959641251</v>
      </c>
      <c r="E9" s="100">
        <f>+'Mens costi industriali IND'!D56</f>
        <v>47713.004484304933</v>
      </c>
      <c r="F9" s="100">
        <f>+'Mens costi industriali IND'!E56</f>
        <v>55246.636771300444</v>
      </c>
      <c r="G9" s="100">
        <f>+'Mens costi industriali IND'!F56</f>
        <v>50224.21524663677</v>
      </c>
      <c r="H9" s="100">
        <f>+'Mens costi industriali IND'!G56</f>
        <v>50224.21524663677</v>
      </c>
      <c r="I9" s="100">
        <f>+'Mens costi industriali IND'!H56</f>
        <v>52735.426008968607</v>
      </c>
      <c r="J9" s="100">
        <f>+'Mens costi industriali IND'!I56</f>
        <v>52735.426008968607</v>
      </c>
      <c r="K9" s="100">
        <f>+'Mens costi industriali IND'!J56</f>
        <v>27623.318385650222</v>
      </c>
      <c r="L9" s="100">
        <f>+'Mens costi industriali IND'!K56</f>
        <v>52735.426008968607</v>
      </c>
      <c r="M9" s="100">
        <f>+'Mens costi industriali IND'!L56</f>
        <v>50224.21524663677</v>
      </c>
      <c r="N9" s="100">
        <f>+'Mens costi industriali IND'!M56</f>
        <v>50224.21524663677</v>
      </c>
      <c r="O9" s="100">
        <f>+'Mens costi industriali IND'!N56</f>
        <v>27623.318385650222</v>
      </c>
      <c r="P9" s="783">
        <f t="shared" si="0"/>
        <v>560000</v>
      </c>
      <c r="R9" s="73"/>
      <c r="S9" s="73"/>
      <c r="T9" s="847"/>
      <c r="U9" s="846"/>
    </row>
    <row r="10" spans="2:21" x14ac:dyDescent="0.2">
      <c r="B10" s="122" t="s">
        <v>694</v>
      </c>
      <c r="C10" s="152" t="str">
        <f>VLOOKUP(B10,'All. 13'!$B$24:$C$42,2,0)</f>
        <v>mensile competenza</v>
      </c>
      <c r="D10" s="782">
        <f>('Tab. 15'!$C23-$P$9)/12</f>
        <v>25000</v>
      </c>
      <c r="E10" s="100">
        <f>('Tab. 15'!$C23-$P$9)/12</f>
        <v>25000</v>
      </c>
      <c r="F10" s="100">
        <f>('Tab. 15'!$C23-$P$9)/12</f>
        <v>25000</v>
      </c>
      <c r="G10" s="100">
        <f>('Tab. 15'!$C23-$P$9)/12</f>
        <v>25000</v>
      </c>
      <c r="H10" s="100">
        <f>('Tab. 15'!$C23-$P$9)/12</f>
        <v>25000</v>
      </c>
      <c r="I10" s="100">
        <f>('Tab. 15'!$C23-$P$9)/12</f>
        <v>25000</v>
      </c>
      <c r="J10" s="100">
        <f>('Tab. 15'!$C23-$P$9)/12</f>
        <v>25000</v>
      </c>
      <c r="K10" s="100">
        <f>('Tab. 15'!$C23-$P$9)/12</f>
        <v>25000</v>
      </c>
      <c r="L10" s="100">
        <f>('Tab. 15'!$C23-$P$9)/12</f>
        <v>25000</v>
      </c>
      <c r="M10" s="100">
        <f>('Tab. 15'!$C23-$P$9)/12</f>
        <v>25000</v>
      </c>
      <c r="N10" s="100">
        <f>('Tab. 15'!$C23-$P$9)/12</f>
        <v>25000</v>
      </c>
      <c r="O10" s="100">
        <f>('Tab. 15'!$C23-$P$9)/12</f>
        <v>25000</v>
      </c>
      <c r="P10" s="783">
        <f t="shared" si="0"/>
        <v>300000</v>
      </c>
      <c r="T10" s="847" t="s">
        <v>1151</v>
      </c>
      <c r="U10" s="846">
        <f>CE_3_mens!O15</f>
        <v>80441929.630146027</v>
      </c>
    </row>
    <row r="11" spans="2:21" x14ac:dyDescent="0.2">
      <c r="B11" s="122" t="s">
        <v>699</v>
      </c>
      <c r="C11" s="152" t="str">
        <f>VLOOKUP(B11,'All. 13'!$B$24:$C$42,2,0)</f>
        <v>mensile competenza</v>
      </c>
      <c r="D11" s="782">
        <f>+'Mens costi industriali DIR'!C55</f>
        <v>3659.1928251121076</v>
      </c>
      <c r="E11" s="100">
        <f>+'Mens costi industriali DIR'!D55</f>
        <v>4089.6860986547085</v>
      </c>
      <c r="F11" s="100">
        <f>+'Mens costi industriali DIR'!E55</f>
        <v>4735.4260089686095</v>
      </c>
      <c r="G11" s="100">
        <f>+'Mens costi industriali DIR'!F55</f>
        <v>4304.9327354260085</v>
      </c>
      <c r="H11" s="100">
        <f>+'Mens costi industriali DIR'!G55</f>
        <v>4304.9327354260085</v>
      </c>
      <c r="I11" s="100">
        <f>+'Mens costi industriali DIR'!H55</f>
        <v>4520.179372197309</v>
      </c>
      <c r="J11" s="100">
        <f>+'Mens costi industriali DIR'!I55</f>
        <v>4520.179372197309</v>
      </c>
      <c r="K11" s="100">
        <f>+'Mens costi industriali DIR'!J55</f>
        <v>2367.7130044843047</v>
      </c>
      <c r="L11" s="100">
        <f>+'Mens costi industriali DIR'!K55</f>
        <v>4520.179372197309</v>
      </c>
      <c r="M11" s="100">
        <f>+'Mens costi industriali DIR'!L55</f>
        <v>4304.9327354260085</v>
      </c>
      <c r="N11" s="100">
        <f>+'Mens costi industriali DIR'!M55</f>
        <v>4304.9327354260085</v>
      </c>
      <c r="O11" s="100">
        <f>+'Mens costi industriali DIR'!N55</f>
        <v>2367.7130044843047</v>
      </c>
      <c r="P11" s="783">
        <f t="shared" si="0"/>
        <v>48000</v>
      </c>
      <c r="R11" s="73"/>
      <c r="T11" s="146"/>
      <c r="U11" s="152"/>
    </row>
    <row r="12" spans="2:21" x14ac:dyDescent="0.2">
      <c r="B12" s="122" t="s">
        <v>1053</v>
      </c>
      <c r="C12" s="152" t="str">
        <f>VLOOKUP(B12,'All. 13'!$B$24:$C$42,2,0)</f>
        <v>mensile competenza</v>
      </c>
      <c r="D12" s="800">
        <f>'Tab. 22'!C27</f>
        <v>12958.333333333334</v>
      </c>
      <c r="E12" s="100">
        <f>'Tab. 22'!D27</f>
        <v>12958.333333333334</v>
      </c>
      <c r="F12" s="100">
        <f>'Tab. 22'!E27</f>
        <v>12958.333333333334</v>
      </c>
      <c r="G12" s="100">
        <f>'Tab. 22'!F27</f>
        <v>12958.333333333334</v>
      </c>
      <c r="H12" s="100">
        <f>'Tab. 22'!G27</f>
        <v>12958.333333333334</v>
      </c>
      <c r="I12" s="100">
        <f>'Tab. 22'!H27</f>
        <v>12958.333333333334</v>
      </c>
      <c r="J12" s="100">
        <f>'Tab. 22'!I27</f>
        <v>12958.333333333334</v>
      </c>
      <c r="K12" s="100">
        <f>'Tab. 22'!J27</f>
        <v>12958.333333333334</v>
      </c>
      <c r="L12" s="100">
        <f>'Tab. 22'!K27</f>
        <v>12958.333333333334</v>
      </c>
      <c r="M12" s="100">
        <f>'Tab. 22'!L27</f>
        <v>12958.333333333334</v>
      </c>
      <c r="N12" s="100">
        <f>'Tab. 22'!M27</f>
        <v>12958.333333333334</v>
      </c>
      <c r="O12" s="100">
        <f>'Tab. 22'!N27</f>
        <v>12958.333333333334</v>
      </c>
      <c r="P12" s="783">
        <f t="shared" si="0"/>
        <v>155500</v>
      </c>
      <c r="R12" s="73"/>
      <c r="S12" s="73"/>
      <c r="T12" s="848" t="s">
        <v>1152</v>
      </c>
      <c r="U12" s="849">
        <f>+U5-SUM(U6:U10)</f>
        <v>50706698.501848191</v>
      </c>
    </row>
    <row r="13" spans="2:21" x14ac:dyDescent="0.2">
      <c r="B13" s="122" t="s">
        <v>85</v>
      </c>
      <c r="C13" s="152" t="str">
        <f>VLOOKUP(B13,'All. 13'!$B$24:$C$42,2,0)</f>
        <v>mensile competenza</v>
      </c>
      <c r="D13" s="951">
        <f>'Tab. 22'!C16</f>
        <v>30800</v>
      </c>
      <c r="E13" s="100">
        <f>'Tab. 22'!D16</f>
        <v>30800</v>
      </c>
      <c r="F13" s="100">
        <f>'Tab. 22'!E16</f>
        <v>30800</v>
      </c>
      <c r="G13" s="100">
        <f>'Tab. 22'!F16</f>
        <v>30800</v>
      </c>
      <c r="H13" s="100">
        <f>'Tab. 22'!G16</f>
        <v>30800</v>
      </c>
      <c r="I13" s="100">
        <f>'Tab. 22'!H16</f>
        <v>30800</v>
      </c>
      <c r="J13" s="100">
        <f>'Tab. 22'!I16</f>
        <v>30800</v>
      </c>
      <c r="K13" s="100">
        <f>'Tab. 22'!J16</f>
        <v>30800</v>
      </c>
      <c r="L13" s="100">
        <f>'Tab. 22'!K16</f>
        <v>30800</v>
      </c>
      <c r="M13" s="100">
        <f>'Tab. 22'!L16</f>
        <v>30800</v>
      </c>
      <c r="N13" s="100">
        <f>'Tab. 22'!M16</f>
        <v>30800</v>
      </c>
      <c r="O13" s="100">
        <f>'Tab. 22'!N16</f>
        <v>30800</v>
      </c>
      <c r="P13" s="783">
        <f t="shared" si="0"/>
        <v>369600</v>
      </c>
      <c r="T13" s="146"/>
      <c r="U13" s="152"/>
    </row>
    <row r="14" spans="2:21" ht="17" thickBot="1" x14ac:dyDescent="0.25">
      <c r="B14" s="122" t="s">
        <v>707</v>
      </c>
      <c r="C14" s="152" t="str">
        <f>VLOOKUP(B14,'All. 13'!$B$24:$C$42,2,0)</f>
        <v>mensile competenza</v>
      </c>
      <c r="D14" s="800">
        <f>'Tab. 22'!C30</f>
        <v>7500</v>
      </c>
      <c r="E14" s="100">
        <f>'Tab. 22'!D30</f>
        <v>7500</v>
      </c>
      <c r="F14" s="100">
        <f>'Tab. 22'!E30</f>
        <v>7500</v>
      </c>
      <c r="G14" s="100">
        <f>'Tab. 22'!F30</f>
        <v>7500</v>
      </c>
      <c r="H14" s="100">
        <f>'Tab. 22'!G30</f>
        <v>7500</v>
      </c>
      <c r="I14" s="100">
        <f>'Tab. 22'!H30</f>
        <v>7500</v>
      </c>
      <c r="J14" s="100">
        <f>'Tab. 22'!I30</f>
        <v>7500</v>
      </c>
      <c r="K14" s="100">
        <f>'Tab. 22'!J30</f>
        <v>7500</v>
      </c>
      <c r="L14" s="100">
        <f>'Tab. 22'!K30</f>
        <v>7500</v>
      </c>
      <c r="M14" s="100">
        <f>'Tab. 22'!L30</f>
        <v>7500</v>
      </c>
      <c r="N14" s="100">
        <f>'Tab. 22'!M30</f>
        <v>7500</v>
      </c>
      <c r="O14" s="100">
        <f>'Tab. 22'!N30</f>
        <v>7500</v>
      </c>
      <c r="P14" s="783">
        <f t="shared" si="0"/>
        <v>90000</v>
      </c>
      <c r="T14" s="850" t="s">
        <v>1153</v>
      </c>
      <c r="U14" s="851">
        <f>+U12-P30</f>
        <v>-197.4846034348011</v>
      </c>
    </row>
    <row r="15" spans="2:21" x14ac:dyDescent="0.2">
      <c r="B15" s="122" t="s">
        <v>709</v>
      </c>
      <c r="C15" s="152" t="str">
        <f>VLOOKUP(B15,'All. 13'!$B$24:$C$42,2,0)</f>
        <v>mensile competenza</v>
      </c>
      <c r="D15" s="800">
        <f>'Tab. 22'!C32</f>
        <v>12666.666666666666</v>
      </c>
      <c r="E15" s="100">
        <f>'Tab. 22'!D32</f>
        <v>12666.666666666666</v>
      </c>
      <c r="F15" s="100">
        <f>'Tab. 22'!E32</f>
        <v>12666.666666666666</v>
      </c>
      <c r="G15" s="100">
        <f>'Tab. 22'!F32</f>
        <v>12666.666666666666</v>
      </c>
      <c r="H15" s="100">
        <f>'Tab. 22'!G32</f>
        <v>12666.666666666666</v>
      </c>
      <c r="I15" s="100">
        <f>'Tab. 22'!H32</f>
        <v>12666.666666666666</v>
      </c>
      <c r="J15" s="100">
        <f>'Tab. 22'!I32</f>
        <v>12666.666666666666</v>
      </c>
      <c r="K15" s="100">
        <f>'Tab. 22'!J32</f>
        <v>12666.666666666666</v>
      </c>
      <c r="L15" s="100">
        <f>'Tab. 22'!K32</f>
        <v>12666.666666666666</v>
      </c>
      <c r="M15" s="100">
        <f>'Tab. 22'!L32</f>
        <v>12666.666666666666</v>
      </c>
      <c r="N15" s="100">
        <f>'Tab. 22'!M32</f>
        <v>12666.666666666666</v>
      </c>
      <c r="O15" s="100">
        <f>'Tab. 22'!N32</f>
        <v>12666.666666666666</v>
      </c>
      <c r="P15" s="783">
        <f t="shared" si="0"/>
        <v>152000</v>
      </c>
    </row>
    <row r="16" spans="2:21" x14ac:dyDescent="0.2">
      <c r="B16" s="122" t="s">
        <v>711</v>
      </c>
      <c r="C16" s="152" t="str">
        <f>VLOOKUP(B16,'All. 13'!$B$24:$C$42,2,0)</f>
        <v>mensile competenza</v>
      </c>
      <c r="D16" s="800">
        <f>'Tab. 22'!C35</f>
        <v>4833.333333333333</v>
      </c>
      <c r="E16" s="100">
        <f>'Tab. 22'!D35</f>
        <v>4833.333333333333</v>
      </c>
      <c r="F16" s="100">
        <f>'Tab. 22'!E35</f>
        <v>4833.333333333333</v>
      </c>
      <c r="G16" s="100">
        <f>'Tab. 22'!F35</f>
        <v>4833.333333333333</v>
      </c>
      <c r="H16" s="100">
        <f>'Tab. 22'!G35</f>
        <v>4833.333333333333</v>
      </c>
      <c r="I16" s="100">
        <f>'Tab. 22'!H35</f>
        <v>4833.333333333333</v>
      </c>
      <c r="J16" s="100">
        <f>'Tab. 22'!I35</f>
        <v>4833.333333333333</v>
      </c>
      <c r="K16" s="100">
        <f>'Tab. 22'!J35</f>
        <v>4833.333333333333</v>
      </c>
      <c r="L16" s="100">
        <f>'Tab. 22'!K35</f>
        <v>4833.333333333333</v>
      </c>
      <c r="M16" s="100">
        <f>'Tab. 22'!L35</f>
        <v>4833.333333333333</v>
      </c>
      <c r="N16" s="100">
        <f>'Tab. 22'!M35</f>
        <v>4833.333333333333</v>
      </c>
      <c r="O16" s="100">
        <f>'Tab. 22'!N35</f>
        <v>4833.333333333333</v>
      </c>
      <c r="P16" s="783">
        <f t="shared" si="0"/>
        <v>58000.000000000007</v>
      </c>
    </row>
    <row r="17" spans="2:16" x14ac:dyDescent="0.2">
      <c r="B17" s="122" t="s">
        <v>712</v>
      </c>
      <c r="C17" s="152" t="str">
        <f>VLOOKUP(B17,'All. 13'!$B$24:$C$42,2,0)</f>
        <v>mensile competenza</v>
      </c>
      <c r="D17" s="800">
        <f>'Tab. 22'!C36</f>
        <v>2916.6666666666665</v>
      </c>
      <c r="E17" s="100">
        <f>'Tab. 22'!D36</f>
        <v>2916.6666666666665</v>
      </c>
      <c r="F17" s="100">
        <f>'Tab. 22'!E36</f>
        <v>2916.6666666666665</v>
      </c>
      <c r="G17" s="100">
        <f>'Tab. 22'!F36</f>
        <v>2916.6666666666665</v>
      </c>
      <c r="H17" s="100">
        <f>'Tab. 22'!G36</f>
        <v>2916.6666666666665</v>
      </c>
      <c r="I17" s="100">
        <f>'Tab. 22'!H36</f>
        <v>2916.6666666666665</v>
      </c>
      <c r="J17" s="100">
        <f>'Tab. 22'!I36</f>
        <v>2916.6666666666665</v>
      </c>
      <c r="K17" s="100">
        <f>'Tab. 22'!J36</f>
        <v>2916.6666666666665</v>
      </c>
      <c r="L17" s="100">
        <f>'Tab. 22'!K36</f>
        <v>2916.6666666666665</v>
      </c>
      <c r="M17" s="100">
        <f>'Tab. 22'!L36</f>
        <v>2916.6666666666665</v>
      </c>
      <c r="N17" s="100">
        <f>'Tab. 22'!M36</f>
        <v>2916.6666666666665</v>
      </c>
      <c r="O17" s="100">
        <f>'Tab. 22'!N36</f>
        <v>2916.6666666666665</v>
      </c>
      <c r="P17" s="783">
        <f t="shared" si="0"/>
        <v>35000.000000000007</v>
      </c>
    </row>
    <row r="18" spans="2:16" x14ac:dyDescent="0.2">
      <c r="B18" s="831" t="s">
        <v>828</v>
      </c>
      <c r="C18" s="832" t="str">
        <f>VLOOKUP(B18,'All. 13'!$B$24:$C$42,2,0)</f>
        <v>bimestrale posticipata</v>
      </c>
      <c r="D18" s="782">
        <f>+CE_3_mens!C16</f>
        <v>24069.280887603691</v>
      </c>
      <c r="E18" s="100">
        <f>+CE_3_mens!D16</f>
        <v>27019.438382221684</v>
      </c>
      <c r="F18" s="100">
        <f>+CE_3_mens!E16</f>
        <v>30107.080879598518</v>
      </c>
      <c r="G18" s="100">
        <f>+CE_3_mens!F16</f>
        <v>27880.95552233003</v>
      </c>
      <c r="H18" s="100">
        <f>+CE_3_mens!G16</f>
        <v>26906.609841038524</v>
      </c>
      <c r="I18" s="100">
        <f>+CE_3_mens!H16</f>
        <v>29515.331788074865</v>
      </c>
      <c r="J18" s="100">
        <f>+CE_3_mens!I16</f>
        <v>25948.845275221345</v>
      </c>
      <c r="K18" s="100">
        <f>+CE_3_mens!J16</f>
        <v>16099.271884404487</v>
      </c>
      <c r="L18" s="100">
        <f>+CE_3_mens!K16</f>
        <v>26875.958657003313</v>
      </c>
      <c r="M18" s="100">
        <f>+CE_3_mens!L16</f>
        <v>24870.715713244728</v>
      </c>
      <c r="N18" s="100">
        <f>+CE_3_mens!M16</f>
        <v>24607.239284854291</v>
      </c>
      <c r="O18" s="100">
        <f>+CE_3_mens!N16</f>
        <v>16099.271884404487</v>
      </c>
      <c r="P18" s="783">
        <f t="shared" si="0"/>
        <v>299999.99999999994</v>
      </c>
    </row>
    <row r="19" spans="2:16" x14ac:dyDescent="0.2">
      <c r="B19" s="831" t="s">
        <v>1392</v>
      </c>
      <c r="C19" s="832"/>
      <c r="D19" s="782">
        <f>'Mens costi industriali IND'!C54</f>
        <v>7021.4774604673112</v>
      </c>
      <c r="E19" s="100">
        <f>'Mens costi industriali IND'!D54</f>
        <v>7847.5336322869944</v>
      </c>
      <c r="F19" s="100">
        <f>'Mens costi industriali IND'!E54</f>
        <v>9086.6178900165196</v>
      </c>
      <c r="G19" s="100">
        <f>'Mens costi industriali IND'!F54</f>
        <v>8260.5617181968373</v>
      </c>
      <c r="H19" s="100">
        <f>'Mens costi industriali IND'!G54</f>
        <v>8260.5617181968373</v>
      </c>
      <c r="I19" s="100">
        <f>'Mens costi industriali IND'!H54</f>
        <v>8673.5898041066775</v>
      </c>
      <c r="J19" s="100">
        <f>'Mens costi industriali IND'!I54</f>
        <v>8673.5898041066775</v>
      </c>
      <c r="K19" s="100">
        <f>'Mens costi industriali IND'!J54</f>
        <v>4543.3089450082598</v>
      </c>
      <c r="L19" s="100">
        <f>'Mens costi industriali IND'!K54</f>
        <v>8673.5898041066775</v>
      </c>
      <c r="M19" s="100">
        <f>'Mens costi industriali IND'!L54</f>
        <v>8260.5617181968373</v>
      </c>
      <c r="N19" s="100">
        <f>'Mens costi industriali IND'!M54</f>
        <v>8260.5617181968373</v>
      </c>
      <c r="O19" s="100">
        <f>'Mens costi industriali IND'!N54</f>
        <v>4543.3089450082598</v>
      </c>
      <c r="P19" s="783">
        <f t="shared" si="0"/>
        <v>92105.263157894733</v>
      </c>
    </row>
    <row r="20" spans="2:16" x14ac:dyDescent="0.2">
      <c r="B20" s="831" t="s">
        <v>692</v>
      </c>
      <c r="C20" s="832" t="str">
        <f>VLOOKUP(B20,'All. 13'!$B$24:$C$42,2,0)</f>
        <v>bimestrale posticipta</v>
      </c>
      <c r="D20" s="782">
        <f>('Tab. 15'!$C21-$P$19)/12</f>
        <v>2741.2280701754389</v>
      </c>
      <c r="E20" s="100">
        <f>('Tab. 15'!$C21-$P$19)/12</f>
        <v>2741.2280701754389</v>
      </c>
      <c r="F20" s="100">
        <f>('Tab. 15'!$C21-$P$19)/12</f>
        <v>2741.2280701754389</v>
      </c>
      <c r="G20" s="100">
        <f>('Tab. 15'!$C21-$P$19)/12</f>
        <v>2741.2280701754389</v>
      </c>
      <c r="H20" s="100">
        <f>('Tab. 15'!$C21-$P$19)/12</f>
        <v>2741.2280701754389</v>
      </c>
      <c r="I20" s="100">
        <f>('Tab. 15'!$C21-$P$19)/12</f>
        <v>2741.2280701754389</v>
      </c>
      <c r="J20" s="100">
        <f>('Tab. 15'!$C21-$P$19)/12</f>
        <v>2741.2280701754389</v>
      </c>
      <c r="K20" s="100">
        <f>('Tab. 15'!$C21-$P$19)/12</f>
        <v>2741.2280701754389</v>
      </c>
      <c r="L20" s="100">
        <f>('Tab. 15'!$C21-$P$19)/12</f>
        <v>2741.2280701754389</v>
      </c>
      <c r="M20" s="100">
        <f>('Tab. 15'!$C21-$P$19)/12</f>
        <v>2741.2280701754389</v>
      </c>
      <c r="N20" s="100">
        <f>('Tab. 15'!$C21-$P$19)/12</f>
        <v>2741.2280701754389</v>
      </c>
      <c r="O20" s="100">
        <f>('Tab. 15'!$C21-$P$19)/12</f>
        <v>2741.2280701754389</v>
      </c>
      <c r="P20" s="783">
        <f t="shared" si="0"/>
        <v>32894.736842105267</v>
      </c>
    </row>
    <row r="21" spans="2:16" x14ac:dyDescent="0.2">
      <c r="B21" s="831" t="s">
        <v>1393</v>
      </c>
      <c r="C21" s="832"/>
      <c r="D21" s="782">
        <f>'Mens costi industriali IND'!C55</f>
        <v>8425.7729525607738</v>
      </c>
      <c r="E21" s="100">
        <f>'Mens costi industriali IND'!D55</f>
        <v>9417.0403587443943</v>
      </c>
      <c r="F21" s="100">
        <f>'Mens costi industriali IND'!E55</f>
        <v>10903.941468019826</v>
      </c>
      <c r="G21" s="100">
        <f>'Mens costi industriali IND'!F55</f>
        <v>9912.6740618362055</v>
      </c>
      <c r="H21" s="100">
        <f>'Mens costi industriali IND'!G55</f>
        <v>9912.6740618362055</v>
      </c>
      <c r="I21" s="100">
        <f>'Mens costi industriali IND'!H55</f>
        <v>10408.307764928015</v>
      </c>
      <c r="J21" s="100">
        <f>'Mens costi industriali IND'!I55</f>
        <v>10408.307764928015</v>
      </c>
      <c r="K21" s="100">
        <f>'Mens costi industriali IND'!J55</f>
        <v>5451.970734009913</v>
      </c>
      <c r="L21" s="100">
        <f>'Mens costi industriali IND'!K55</f>
        <v>10408.307764928015</v>
      </c>
      <c r="M21" s="100">
        <f>'Mens costi industriali IND'!L55</f>
        <v>9912.6740618362055</v>
      </c>
      <c r="N21" s="100">
        <f>'Mens costi industriali IND'!M55</f>
        <v>9912.6740618362055</v>
      </c>
      <c r="O21" s="100">
        <f>'Mens costi industriali IND'!N55</f>
        <v>5451.970734009913</v>
      </c>
      <c r="P21" s="783">
        <f t="shared" si="0"/>
        <v>110526.31578947369</v>
      </c>
    </row>
    <row r="22" spans="2:16" x14ac:dyDescent="0.2">
      <c r="B22" s="831" t="s">
        <v>693</v>
      </c>
      <c r="C22" s="832" t="str">
        <f>VLOOKUP(B22,'All. 13'!$B$24:$C$42,2,0)</f>
        <v>bimestrale posticipata</v>
      </c>
      <c r="D22" s="782">
        <f>('Tab. 15'!$C$22-$P$21)/12</f>
        <v>3289.4736842105253</v>
      </c>
      <c r="E22" s="100">
        <f>('Tab. 15'!$C$22-$P$21)/12</f>
        <v>3289.4736842105253</v>
      </c>
      <c r="F22" s="100">
        <f>('Tab. 15'!$C$22-$P$21)/12</f>
        <v>3289.4736842105253</v>
      </c>
      <c r="G22" s="100">
        <f>('Tab. 15'!$C$22-$P$21)/12</f>
        <v>3289.4736842105253</v>
      </c>
      <c r="H22" s="100">
        <f>('Tab. 15'!$C$22-$P$21)/12</f>
        <v>3289.4736842105253</v>
      </c>
      <c r="I22" s="100">
        <f>('Tab. 15'!$C$22-$P$21)/12</f>
        <v>3289.4736842105253</v>
      </c>
      <c r="J22" s="100">
        <f>('Tab. 15'!$C$22-$P$21)/12</f>
        <v>3289.4736842105253</v>
      </c>
      <c r="K22" s="100">
        <f>('Tab. 15'!$C$22-$P$21)/12</f>
        <v>3289.4736842105253</v>
      </c>
      <c r="L22" s="100">
        <f>('Tab. 15'!$C$22-$P$21)/12</f>
        <v>3289.4736842105253</v>
      </c>
      <c r="M22" s="100">
        <f>('Tab. 15'!$C$22-$P$21)/12</f>
        <v>3289.4736842105253</v>
      </c>
      <c r="N22" s="100">
        <f>('Tab. 15'!$C$22-$P$21)/12</f>
        <v>3289.4736842105253</v>
      </c>
      <c r="O22" s="100">
        <f>('Tab. 15'!$C$22-$P$21)/12</f>
        <v>3289.4736842105253</v>
      </c>
      <c r="P22" s="783">
        <f t="shared" si="0"/>
        <v>39473.684210526313</v>
      </c>
    </row>
    <row r="23" spans="2:16" x14ac:dyDescent="0.2">
      <c r="B23" s="831" t="s">
        <v>223</v>
      </c>
      <c r="C23" s="832" t="str">
        <f>VLOOKUP(B23,'All. 13'!$B$24:$C$42,2,0)</f>
        <v>trimestrale posticipata</v>
      </c>
      <c r="D23" s="951">
        <f>+'Tab. 22'!C10</f>
        <v>145647.98292107071</v>
      </c>
      <c r="E23" s="100">
        <f>+'Tab. 22'!D10</f>
        <v>161831.092134523</v>
      </c>
      <c r="F23" s="100">
        <f>+'Tab. 22'!E10</f>
        <v>186105.75595470148</v>
      </c>
      <c r="G23" s="100">
        <f>+'Tab. 22'!F10</f>
        <v>169922.64674124913</v>
      </c>
      <c r="H23" s="100">
        <f>+'Tab. 22'!G10</f>
        <v>169922.64674124913</v>
      </c>
      <c r="I23" s="100">
        <f>+'Tab. 22'!H10</f>
        <v>178014.20134797529</v>
      </c>
      <c r="J23" s="100">
        <f>+'Tab. 22'!I10</f>
        <v>178014.20134797529</v>
      </c>
      <c r="K23" s="100">
        <f>+'Tab. 22'!J10</f>
        <v>97098.655280713807</v>
      </c>
      <c r="L23" s="100">
        <f>+'Tab. 22'!K10</f>
        <v>178014.20134797529</v>
      </c>
      <c r="M23" s="100">
        <f>+'Tab. 22'!L10</f>
        <v>169922.64674124913</v>
      </c>
      <c r="N23" s="100">
        <f>+'Tab. 22'!M10</f>
        <v>169922.64674124913</v>
      </c>
      <c r="O23" s="100">
        <f>+'Tab. 22'!N10</f>
        <v>97098.655280713807</v>
      </c>
      <c r="P23" s="783">
        <f t="shared" si="0"/>
        <v>1901515.3325806451</v>
      </c>
    </row>
    <row r="24" spans="2:16" x14ac:dyDescent="0.2">
      <c r="B24" s="831" t="s">
        <v>1112</v>
      </c>
      <c r="C24" s="832" t="str">
        <f>VLOOKUP(B24,'All. 13'!$B$24:$C$42,2,0)</f>
        <v>semestrale posticipata</v>
      </c>
      <c r="D24" s="800">
        <f>'Tab. 22'!C28</f>
        <v>4583.333333333333</v>
      </c>
      <c r="E24" s="100">
        <f>'Tab. 22'!D28</f>
        <v>4583.333333333333</v>
      </c>
      <c r="F24" s="100">
        <f>'Tab. 22'!E28</f>
        <v>4583.333333333333</v>
      </c>
      <c r="G24" s="100">
        <f>'Tab. 22'!F28</f>
        <v>4583.333333333333</v>
      </c>
      <c r="H24" s="100">
        <f>'Tab. 22'!G28</f>
        <v>4583.333333333333</v>
      </c>
      <c r="I24" s="100">
        <f>'Tab. 22'!H28</f>
        <v>4583.333333333333</v>
      </c>
      <c r="J24" s="100">
        <f>'Tab. 22'!I28</f>
        <v>4583.333333333333</v>
      </c>
      <c r="K24" s="100">
        <f>'Tab. 22'!J28</f>
        <v>4583.333333333333</v>
      </c>
      <c r="L24" s="100">
        <f>'Tab. 22'!K28</f>
        <v>4583.333333333333</v>
      </c>
      <c r="M24" s="100">
        <f>'Tab. 22'!L28</f>
        <v>4583.333333333333</v>
      </c>
      <c r="N24" s="100">
        <f>'Tab. 22'!M28</f>
        <v>4583.333333333333</v>
      </c>
      <c r="O24" s="100">
        <f>'Tab. 22'!N28</f>
        <v>4583.333333333333</v>
      </c>
      <c r="P24" s="783">
        <f t="shared" si="0"/>
        <v>55000.000000000007</v>
      </c>
    </row>
    <row r="25" spans="2:16" x14ac:dyDescent="0.2">
      <c r="B25" s="831" t="s">
        <v>1379</v>
      </c>
      <c r="C25" s="832" t="e">
        <f>VLOOKUP(B25,'All. 13'!$B$24:$C$42,2,0)</f>
        <v>#N/A</v>
      </c>
      <c r="D25" s="800">
        <f>+'Tab. 22'!C17</f>
        <v>27561.446808510638</v>
      </c>
      <c r="E25" s="100">
        <f>+'Tab. 22'!D17</f>
        <v>30623.829787234044</v>
      </c>
      <c r="F25" s="100">
        <f>+'Tab. 22'!E17</f>
        <v>35217.404255319154</v>
      </c>
      <c r="G25" s="100">
        <f>+'Tab. 22'!F17</f>
        <v>32155.021276595744</v>
      </c>
      <c r="H25" s="100">
        <f>+'Tab. 22'!G17</f>
        <v>32155.021276595744</v>
      </c>
      <c r="I25" s="100">
        <f>+'Tab. 22'!H17</f>
        <v>33686.212765957447</v>
      </c>
      <c r="J25" s="100">
        <f>+'Tab. 22'!I17</f>
        <v>33686.212765957447</v>
      </c>
      <c r="K25" s="100">
        <f>+'Tab. 22'!J17</f>
        <v>18374.297872340423</v>
      </c>
      <c r="L25" s="100">
        <f>+'Tab. 22'!K17</f>
        <v>33686.212765957447</v>
      </c>
      <c r="M25" s="100">
        <f>+'Tab. 22'!L17</f>
        <v>32155.021276595744</v>
      </c>
      <c r="N25" s="100">
        <f>+'Tab. 22'!M17</f>
        <v>32155.021276595744</v>
      </c>
      <c r="O25" s="100">
        <f>+'Tab. 22'!N17</f>
        <v>18374.297872340423</v>
      </c>
      <c r="P25" s="783">
        <f t="shared" si="0"/>
        <v>359830.00000000006</v>
      </c>
    </row>
    <row r="26" spans="2:16" x14ac:dyDescent="0.2">
      <c r="B26" s="831" t="s">
        <v>1390</v>
      </c>
      <c r="C26" s="832"/>
      <c r="D26" s="800">
        <f>+'Mens costi industriali DIR'!C54+'Mens costi industriali IND'!C58</f>
        <v>9529.147982062781</v>
      </c>
      <c r="E26" s="100">
        <f>+'Mens costi industriali DIR'!D54+'Mens costi industriali IND'!D58</f>
        <v>10650.224215246635</v>
      </c>
      <c r="F26" s="100">
        <f>+'Mens costi industriali DIR'!E54+'Mens costi industriali IND'!E58</f>
        <v>12331.838565022421</v>
      </c>
      <c r="G26" s="100">
        <f>+'Mens costi industriali DIR'!F54+'Mens costi industriali IND'!F58</f>
        <v>11210.762331838565</v>
      </c>
      <c r="H26" s="100">
        <f>+'Mens costi industriali DIR'!G54+'Mens costi industriali IND'!G58</f>
        <v>11210.762331838565</v>
      </c>
      <c r="I26" s="100">
        <f>+'Mens costi industriali DIR'!H54+'Mens costi industriali IND'!H58</f>
        <v>11771.300448430491</v>
      </c>
      <c r="J26" s="100">
        <f>+'Mens costi industriali DIR'!I54+'Mens costi industriali IND'!I58</f>
        <v>11771.300448430491</v>
      </c>
      <c r="K26" s="100">
        <f>+'Mens costi industriali DIR'!J54+'Mens costi industriali IND'!J58</f>
        <v>6165.9192825112104</v>
      </c>
      <c r="L26" s="100">
        <f>+'Mens costi industriali DIR'!K54+'Mens costi industriali IND'!K58</f>
        <v>11771.300448430491</v>
      </c>
      <c r="M26" s="100">
        <f>+'Mens costi industriali DIR'!L54+'Mens costi industriali IND'!L58</f>
        <v>11210.762331838565</v>
      </c>
      <c r="N26" s="100">
        <f>+'Mens costi industriali DIR'!M54+'Mens costi industriali IND'!M58</f>
        <v>11210.762331838565</v>
      </c>
      <c r="O26" s="100">
        <f>+'Mens costi industriali DIR'!N54+'Mens costi industriali IND'!N58</f>
        <v>6165.9192825112104</v>
      </c>
      <c r="P26" s="783">
        <f t="shared" si="0"/>
        <v>124999.99999999999</v>
      </c>
    </row>
    <row r="27" spans="2:16" x14ac:dyDescent="0.2">
      <c r="B27" s="831" t="s">
        <v>1114</v>
      </c>
      <c r="C27" s="832" t="str">
        <f>VLOOKUP(B27,'All. 13'!$B$24:$C$42,2,0)</f>
        <v>annuale posticipata</v>
      </c>
      <c r="D27" s="952">
        <f>('All. 6'!$C$45-$P$25-$P$26)/12</f>
        <v>3833.3333333333298</v>
      </c>
      <c r="E27" s="100">
        <f>('All. 6'!$C$45-$P$25-$P$26)/12</f>
        <v>3833.3333333333298</v>
      </c>
      <c r="F27" s="100">
        <f>('All. 6'!$C$45-$P$25-$P$26)/12</f>
        <v>3833.3333333333298</v>
      </c>
      <c r="G27" s="100">
        <f>('All. 6'!$C$45-$P$25-$P$26)/12</f>
        <v>3833.3333333333298</v>
      </c>
      <c r="H27" s="100">
        <f>('All. 6'!$C$45-$P$25-$P$26)/12</f>
        <v>3833.3333333333298</v>
      </c>
      <c r="I27" s="100">
        <f>('All. 6'!$C$45-$P$25-$P$26)/12</f>
        <v>3833.3333333333298</v>
      </c>
      <c r="J27" s="100">
        <f>('All. 6'!$C$45-$P$25-$P$26)/12</f>
        <v>3833.3333333333298</v>
      </c>
      <c r="K27" s="100">
        <f>('All. 6'!$C$45-$P$25-$P$26)/12</f>
        <v>3833.3333333333298</v>
      </c>
      <c r="L27" s="100">
        <f>('All. 6'!$C$45-$P$25-$P$26)/12</f>
        <v>3833.3333333333298</v>
      </c>
      <c r="M27" s="100">
        <f>('All. 6'!$C$45-$P$25-$P$26)/12</f>
        <v>3833.3333333333298</v>
      </c>
      <c r="N27" s="100">
        <f>('All. 6'!$C$45-$P$25-$P$26)/12</f>
        <v>3833.3333333333298</v>
      </c>
      <c r="O27" s="100">
        <f>('All. 6'!$C$45-$P$25-$P$26)/12</f>
        <v>3833.3333333333298</v>
      </c>
      <c r="P27" s="783">
        <f t="shared" si="0"/>
        <v>45999.999999999949</v>
      </c>
    </row>
    <row r="28" spans="2:16" x14ac:dyDescent="0.2">
      <c r="B28" s="122" t="s">
        <v>1047</v>
      </c>
      <c r="C28" s="152" t="str">
        <f>VLOOKUP(B28,'All. 13'!$B$24:$C$42,2,0)</f>
        <v>trimestrale anticipata</v>
      </c>
      <c r="D28" s="951">
        <f>+'Tab. 22'!C11</f>
        <v>2541666.6666666665</v>
      </c>
      <c r="E28" s="100">
        <f>+'Tab. 22'!D11</f>
        <v>2541666.6666666665</v>
      </c>
      <c r="F28" s="100">
        <f>+'Tab. 22'!E11</f>
        <v>2541666.6666666665</v>
      </c>
      <c r="G28" s="100">
        <f>+'Tab. 22'!F11</f>
        <v>2541666.6666666665</v>
      </c>
      <c r="H28" s="100">
        <f>+'Tab. 22'!G11</f>
        <v>2541666.6666666665</v>
      </c>
      <c r="I28" s="100">
        <f>+'Tab. 22'!H11</f>
        <v>2541666.6666666665</v>
      </c>
      <c r="J28" s="100">
        <f>+'Tab. 22'!I11</f>
        <v>2541666.6666666665</v>
      </c>
      <c r="K28" s="100">
        <f>+'Tab. 22'!J11</f>
        <v>2541666.6666666665</v>
      </c>
      <c r="L28" s="100">
        <f>+'Tab. 22'!K11</f>
        <v>2541666.6666666665</v>
      </c>
      <c r="M28" s="100">
        <f>+'Tab. 22'!L11</f>
        <v>2541666.6666666665</v>
      </c>
      <c r="N28" s="100">
        <f>+'Tab. 22'!M11</f>
        <v>2541666.6666666665</v>
      </c>
      <c r="O28" s="100">
        <f>+'Tab. 22'!N11</f>
        <v>2541666.6666666665</v>
      </c>
      <c r="P28" s="783">
        <f t="shared" si="0"/>
        <v>30500000.000000004</v>
      </c>
    </row>
    <row r="29" spans="2:16" x14ac:dyDescent="0.2">
      <c r="B29" s="122" t="s">
        <v>1113</v>
      </c>
      <c r="C29" s="152" t="str">
        <f>VLOOKUP(B29,'All. 13'!$B$24:$C$42,2,0)</f>
        <v>annuale anticipata</v>
      </c>
      <c r="D29" s="800">
        <f>'Tab. 22'!C29</f>
        <v>6666.666666666667</v>
      </c>
      <c r="E29" s="100">
        <f>'Tab. 22'!D29</f>
        <v>6666.666666666667</v>
      </c>
      <c r="F29" s="100">
        <f>'Tab. 22'!E29</f>
        <v>6666.666666666667</v>
      </c>
      <c r="G29" s="100">
        <f>'Tab. 22'!F29</f>
        <v>6666.666666666667</v>
      </c>
      <c r="H29" s="100">
        <f>'Tab. 22'!G29</f>
        <v>6666.666666666667</v>
      </c>
      <c r="I29" s="100">
        <f>'Tab. 22'!H29</f>
        <v>6666.666666666667</v>
      </c>
      <c r="J29" s="100">
        <f>'Tab. 22'!I29</f>
        <v>6666.666666666667</v>
      </c>
      <c r="K29" s="100">
        <f>'Tab. 22'!J29</f>
        <v>6666.666666666667</v>
      </c>
      <c r="L29" s="100">
        <f>'Tab. 22'!K29</f>
        <v>6666.666666666667</v>
      </c>
      <c r="M29" s="100">
        <f>'Tab. 22'!L29</f>
        <v>6666.666666666667</v>
      </c>
      <c r="N29" s="100">
        <f>'Tab. 22'!M29</f>
        <v>6666.666666666667</v>
      </c>
      <c r="O29" s="100">
        <f>'Tab. 22'!N29</f>
        <v>6666.666666666667</v>
      </c>
      <c r="P29" s="783">
        <f t="shared" si="0"/>
        <v>80000</v>
      </c>
    </row>
    <row r="30" spans="2:16" ht="17" thickBot="1" x14ac:dyDescent="0.25">
      <c r="B30" s="817" t="s">
        <v>1145</v>
      </c>
      <c r="C30" s="822"/>
      <c r="D30" s="770">
        <f t="shared" ref="D30:P30" si="1">SUM(D7:D29)</f>
        <v>4099697.5302521707</v>
      </c>
      <c r="E30" s="770">
        <f t="shared" si="1"/>
        <v>4260475.2660706649</v>
      </c>
      <c r="F30" s="770">
        <f t="shared" si="1"/>
        <v>4500289.2760538543</v>
      </c>
      <c r="G30" s="770">
        <f t="shared" si="1"/>
        <v>4340245.5723727113</v>
      </c>
      <c r="H30" s="770">
        <f t="shared" si="1"/>
        <v>4339271.2266914193</v>
      </c>
      <c r="I30" s="770">
        <f t="shared" si="1"/>
        <v>4420788.7378003933</v>
      </c>
      <c r="J30" s="770">
        <f t="shared" si="1"/>
        <v>4417222.2512875395</v>
      </c>
      <c r="K30" s="770">
        <f t="shared" si="1"/>
        <v>3618274.7862773454</v>
      </c>
      <c r="L30" s="770">
        <f t="shared" si="1"/>
        <v>4418149.3646693211</v>
      </c>
      <c r="M30" s="770">
        <f t="shared" si="1"/>
        <v>4337235.3325636256</v>
      </c>
      <c r="N30" s="770">
        <f t="shared" si="1"/>
        <v>4336971.8561352352</v>
      </c>
      <c r="O30" s="770">
        <f t="shared" si="1"/>
        <v>3618274.7862773454</v>
      </c>
      <c r="P30" s="254">
        <f t="shared" si="1"/>
        <v>50706895.986451626</v>
      </c>
    </row>
    <row r="31" spans="2:16" x14ac:dyDescent="0.2">
      <c r="B31" s="814"/>
      <c r="C31" s="152"/>
      <c r="D31" s="146"/>
      <c r="P31" s="464"/>
    </row>
    <row r="32" spans="2:16" outlineLevel="1" x14ac:dyDescent="0.2">
      <c r="B32" s="818" t="str">
        <f>+B7</f>
        <v>Trasporti</v>
      </c>
      <c r="C32" s="152"/>
      <c r="D32" s="73"/>
      <c r="E32" s="73"/>
      <c r="P32" s="464"/>
    </row>
    <row r="33" spans="2:16" outlineLevel="1" x14ac:dyDescent="0.2">
      <c r="B33" s="415"/>
      <c r="C33" s="152"/>
      <c r="P33" s="464"/>
    </row>
    <row r="34" spans="2:16" outlineLevel="1" x14ac:dyDescent="0.2">
      <c r="B34" s="415" t="s">
        <v>1158</v>
      </c>
      <c r="C34" s="152" t="str">
        <f>VLOOKUP(B32,'All. 13'!$B$24:$E$42,2,0)</f>
        <v>mensile competenza</v>
      </c>
      <c r="P34" s="464"/>
    </row>
    <row r="35" spans="2:16" outlineLevel="1" x14ac:dyDescent="0.2">
      <c r="B35" s="415" t="s">
        <v>1123</v>
      </c>
      <c r="C35" s="418">
        <f>VLOOKUP(B32,'All. 13'!$B$24:$E$42,3,0)</f>
        <v>30</v>
      </c>
      <c r="P35" s="464"/>
    </row>
    <row r="36" spans="2:16" outlineLevel="1" x14ac:dyDescent="0.2">
      <c r="B36" s="815" t="s">
        <v>1159</v>
      </c>
      <c r="C36" s="833">
        <f>VLOOKUP(B32,'All. 13'!$B$24:$E$42,4,0)</f>
        <v>600000</v>
      </c>
      <c r="P36" s="464"/>
    </row>
    <row r="37" spans="2:16" outlineLevel="1" x14ac:dyDescent="0.2">
      <c r="B37" s="122"/>
      <c r="C37" s="152"/>
      <c r="P37" s="464"/>
    </row>
    <row r="38" spans="2:16" outlineLevel="1" x14ac:dyDescent="0.2">
      <c r="B38" s="122" t="str">
        <f>"RI debito verso fornitori per "&amp;B32</f>
        <v>RI debito verso fornitori per Trasporti</v>
      </c>
      <c r="C38" s="147"/>
      <c r="D38" s="73">
        <f>+C36</f>
        <v>600000</v>
      </c>
      <c r="E38" s="73">
        <f t="shared" ref="E38:O38" si="2">+D41</f>
        <v>677039</v>
      </c>
      <c r="F38" s="73">
        <f t="shared" si="2"/>
        <v>752276.39999999991</v>
      </c>
      <c r="G38" s="73">
        <f t="shared" si="2"/>
        <v>865114.19999999984</v>
      </c>
      <c r="H38" s="73">
        <f t="shared" si="2"/>
        <v>789888.99999999977</v>
      </c>
      <c r="I38" s="73">
        <f t="shared" si="2"/>
        <v>789888.99999999977</v>
      </c>
      <c r="J38" s="73">
        <f t="shared" si="2"/>
        <v>827501.59999999963</v>
      </c>
      <c r="K38" s="73">
        <f t="shared" si="2"/>
        <v>827501.59999999974</v>
      </c>
      <c r="L38" s="73">
        <f t="shared" si="2"/>
        <v>451363.39999999979</v>
      </c>
      <c r="M38" s="73">
        <f t="shared" si="2"/>
        <v>827501.59999999986</v>
      </c>
      <c r="N38" s="73">
        <f t="shared" si="2"/>
        <v>789888.99999999988</v>
      </c>
      <c r="O38" s="73">
        <f t="shared" si="2"/>
        <v>789889</v>
      </c>
      <c r="P38" s="464"/>
    </row>
    <row r="39" spans="2:16" outlineLevel="1" x14ac:dyDescent="0.2">
      <c r="B39" s="131" t="s">
        <v>1160</v>
      </c>
      <c r="C39" s="152"/>
      <c r="D39" s="73">
        <f>D$7*(1+'All. 13'!$C$20)</f>
        <v>677039</v>
      </c>
      <c r="E39" s="73">
        <f>E$7*(1+'All. 13'!$C$20)</f>
        <v>752276.4</v>
      </c>
      <c r="F39" s="73">
        <f>F$7*(1+'All. 13'!$C$20)</f>
        <v>865114.2</v>
      </c>
      <c r="G39" s="73">
        <f>G$7*(1+'All. 13'!$C$20)</f>
        <v>789889</v>
      </c>
      <c r="H39" s="73">
        <f>H$7*(1+'All. 13'!$C$20)</f>
        <v>789889</v>
      </c>
      <c r="I39" s="73">
        <f>I$7*(1+'All. 13'!$C$20)</f>
        <v>827501.6</v>
      </c>
      <c r="J39" s="73">
        <f>J$7*(1+'All. 13'!$C$20)</f>
        <v>827501.6</v>
      </c>
      <c r="K39" s="73">
        <f>K$7*(1+'All. 13'!$C$20)</f>
        <v>451363.39999999997</v>
      </c>
      <c r="L39" s="73">
        <f>L$7*(1+'All. 13'!$C$20)</f>
        <v>827501.6</v>
      </c>
      <c r="M39" s="73">
        <f>M$7*(1+'All. 13'!$C$20)</f>
        <v>789889</v>
      </c>
      <c r="N39" s="73">
        <f>N$7*(1+'All. 13'!$C$20)</f>
        <v>789889</v>
      </c>
      <c r="O39" s="73">
        <f>O$7*(1+'All. 13'!$C$20)</f>
        <v>451363.39999999997</v>
      </c>
      <c r="P39" s="464"/>
    </row>
    <row r="40" spans="2:16" outlineLevel="1" x14ac:dyDescent="0.2">
      <c r="B40" s="131" t="s">
        <v>1154</v>
      </c>
      <c r="C40" s="152"/>
      <c r="D40" s="73">
        <f>+D38</f>
        <v>600000</v>
      </c>
      <c r="E40" s="73">
        <f t="shared" ref="E40:O40" si="3">+D39</f>
        <v>677039</v>
      </c>
      <c r="F40" s="73">
        <f t="shared" si="3"/>
        <v>752276.4</v>
      </c>
      <c r="G40" s="73">
        <f t="shared" si="3"/>
        <v>865114.2</v>
      </c>
      <c r="H40" s="73">
        <f t="shared" si="3"/>
        <v>789889</v>
      </c>
      <c r="I40" s="73">
        <f t="shared" si="3"/>
        <v>789889</v>
      </c>
      <c r="J40" s="73">
        <f t="shared" si="3"/>
        <v>827501.6</v>
      </c>
      <c r="K40" s="73">
        <f t="shared" si="3"/>
        <v>827501.6</v>
      </c>
      <c r="L40" s="73">
        <f t="shared" si="3"/>
        <v>451363.39999999997</v>
      </c>
      <c r="M40" s="73">
        <f t="shared" si="3"/>
        <v>827501.6</v>
      </c>
      <c r="N40" s="73">
        <f t="shared" si="3"/>
        <v>789889</v>
      </c>
      <c r="O40" s="73">
        <f t="shared" si="3"/>
        <v>789889</v>
      </c>
      <c r="P40" s="464"/>
    </row>
    <row r="41" spans="2:16" ht="17" outlineLevel="1" thickBot="1" x14ac:dyDescent="0.25">
      <c r="B41" s="817" t="str">
        <f>"RF debito verso fornitori per "&amp;B32</f>
        <v>RF debito verso fornitori per Trasporti</v>
      </c>
      <c r="C41" s="822"/>
      <c r="D41" s="830">
        <f t="shared" ref="D41:O41" si="4">D38+D39-D40</f>
        <v>677039</v>
      </c>
      <c r="E41" s="830">
        <f t="shared" si="4"/>
        <v>752276.39999999991</v>
      </c>
      <c r="F41" s="830">
        <f t="shared" si="4"/>
        <v>865114.19999999984</v>
      </c>
      <c r="G41" s="830">
        <f t="shared" si="4"/>
        <v>789888.99999999977</v>
      </c>
      <c r="H41" s="830">
        <f t="shared" si="4"/>
        <v>789888.99999999977</v>
      </c>
      <c r="I41" s="830">
        <f t="shared" si="4"/>
        <v>827501.59999999963</v>
      </c>
      <c r="J41" s="830">
        <f t="shared" si="4"/>
        <v>827501.59999999974</v>
      </c>
      <c r="K41" s="830">
        <f t="shared" si="4"/>
        <v>451363.39999999979</v>
      </c>
      <c r="L41" s="830">
        <f t="shared" si="4"/>
        <v>827501.59999999986</v>
      </c>
      <c r="M41" s="830">
        <f t="shared" si="4"/>
        <v>789888.99999999988</v>
      </c>
      <c r="N41" s="830">
        <f t="shared" si="4"/>
        <v>789889</v>
      </c>
      <c r="O41" s="830">
        <f t="shared" si="4"/>
        <v>451363.39999999991</v>
      </c>
      <c r="P41" s="464"/>
    </row>
    <row r="42" spans="2:16" outlineLevel="1" x14ac:dyDescent="0.2">
      <c r="B42" s="122"/>
      <c r="C42" s="152"/>
      <c r="P42" s="464"/>
    </row>
    <row r="43" spans="2:16" outlineLevel="1" x14ac:dyDescent="0.2">
      <c r="B43" s="818" t="str">
        <f>+B8</f>
        <v>Provvigioni, incentivi e altri costi agenti</v>
      </c>
      <c r="C43" s="152"/>
      <c r="P43" s="464"/>
    </row>
    <row r="44" spans="2:16" outlineLevel="1" x14ac:dyDescent="0.2">
      <c r="B44" s="415"/>
      <c r="C44" s="152"/>
      <c r="P44" s="464"/>
    </row>
    <row r="45" spans="2:16" outlineLevel="1" x14ac:dyDescent="0.2">
      <c r="B45" s="415" t="s">
        <v>1158</v>
      </c>
      <c r="C45" s="152" t="str">
        <f>VLOOKUP(B43,'All. 13'!$B$24:$E$42,2,0)</f>
        <v>mensile competenza</v>
      </c>
      <c r="P45" s="464"/>
    </row>
    <row r="46" spans="2:16" outlineLevel="1" x14ac:dyDescent="0.2">
      <c r="B46" s="415" t="s">
        <v>1123</v>
      </c>
      <c r="C46" s="418">
        <f>VLOOKUP(B43,'All. 13'!$B$24:$E$42,3,0)</f>
        <v>30</v>
      </c>
      <c r="P46" s="464"/>
    </row>
    <row r="47" spans="2:16" outlineLevel="1" x14ac:dyDescent="0.2">
      <c r="B47" s="815" t="s">
        <v>1159</v>
      </c>
      <c r="C47" s="833">
        <f>VLOOKUP(B43,'All. 13'!$B$24:$E$42,4,0)</f>
        <v>600000</v>
      </c>
      <c r="P47" s="464"/>
    </row>
    <row r="48" spans="2:16" outlineLevel="1" x14ac:dyDescent="0.2">
      <c r="B48" s="122"/>
      <c r="C48" s="152"/>
      <c r="P48" s="464"/>
    </row>
    <row r="49" spans="2:16" outlineLevel="1" x14ac:dyDescent="0.2">
      <c r="B49" s="122" t="str">
        <f>"RI debito verso fornitori per "&amp;B43</f>
        <v>RI debito verso fornitori per Provvigioni, incentivi e altri costi agenti</v>
      </c>
      <c r="C49" s="147"/>
      <c r="D49" s="73">
        <f>+C47</f>
        <v>600000</v>
      </c>
      <c r="E49" s="73">
        <f t="shared" ref="E49:O49" si="5">+D52</f>
        <v>752358.07131492207</v>
      </c>
      <c r="F49" s="73">
        <f t="shared" si="5"/>
        <v>835953.41257213557</v>
      </c>
      <c r="G49" s="73">
        <f t="shared" si="5"/>
        <v>961346.42445795611</v>
      </c>
      <c r="H49" s="73">
        <f t="shared" si="5"/>
        <v>877751.08320074249</v>
      </c>
      <c r="I49" s="73">
        <f t="shared" si="5"/>
        <v>877751.08320074237</v>
      </c>
      <c r="J49" s="73">
        <f t="shared" si="5"/>
        <v>919548.75382934918</v>
      </c>
      <c r="K49" s="73">
        <f t="shared" si="5"/>
        <v>919548.7538293493</v>
      </c>
      <c r="L49" s="73">
        <f t="shared" si="5"/>
        <v>501572.04754328146</v>
      </c>
      <c r="M49" s="73">
        <f t="shared" si="5"/>
        <v>919548.7538293493</v>
      </c>
      <c r="N49" s="73">
        <f t="shared" si="5"/>
        <v>877751.08320074249</v>
      </c>
      <c r="O49" s="73">
        <f t="shared" si="5"/>
        <v>877751.08320074237</v>
      </c>
      <c r="P49" s="464"/>
    </row>
    <row r="50" spans="2:16" outlineLevel="1" x14ac:dyDescent="0.2">
      <c r="B50" s="131" t="s">
        <v>1160</v>
      </c>
      <c r="C50" s="152"/>
      <c r="D50" s="73">
        <f>D$8*(1+'All. 13'!$C$20)</f>
        <v>752358.07131492218</v>
      </c>
      <c r="E50" s="73">
        <f>E$8*(1+'All. 13'!$C$20)</f>
        <v>835953.41257213568</v>
      </c>
      <c r="F50" s="73">
        <f>F$8*(1+'All. 13'!$C$20)</f>
        <v>961346.42445795611</v>
      </c>
      <c r="G50" s="73">
        <f>G$8*(1+'All. 13'!$C$20)</f>
        <v>877751.08320074261</v>
      </c>
      <c r="H50" s="73">
        <f>H$8*(1+'All. 13'!$C$20)</f>
        <v>877751.08320074261</v>
      </c>
      <c r="I50" s="73">
        <f>I$8*(1+'All. 13'!$C$20)</f>
        <v>919548.7538293493</v>
      </c>
      <c r="J50" s="73">
        <f>J$8*(1+'All. 13'!$C$20)</f>
        <v>919548.7538293493</v>
      </c>
      <c r="K50" s="73">
        <f>K$8*(1+'All. 13'!$C$20)</f>
        <v>501572.04754328151</v>
      </c>
      <c r="L50" s="73">
        <f>L$8*(1+'All. 13'!$C$20)</f>
        <v>919548.7538293493</v>
      </c>
      <c r="M50" s="73">
        <f>M$8*(1+'All. 13'!$C$20)</f>
        <v>877751.08320074261</v>
      </c>
      <c r="N50" s="73">
        <f>N$8*(1+'All. 13'!$C$20)</f>
        <v>877751.08320074261</v>
      </c>
      <c r="O50" s="73">
        <f>O$8*(1+'All. 13'!$C$20)</f>
        <v>501572.04754328151</v>
      </c>
      <c r="P50" s="464"/>
    </row>
    <row r="51" spans="2:16" outlineLevel="1" x14ac:dyDescent="0.2">
      <c r="B51" s="131" t="s">
        <v>1154</v>
      </c>
      <c r="C51" s="152"/>
      <c r="D51" s="73">
        <f>+D49</f>
        <v>600000</v>
      </c>
      <c r="E51" s="73">
        <f t="shared" ref="E51:O51" si="6">+D50</f>
        <v>752358.07131492218</v>
      </c>
      <c r="F51" s="73">
        <f t="shared" si="6"/>
        <v>835953.41257213568</v>
      </c>
      <c r="G51" s="73">
        <f t="shared" si="6"/>
        <v>961346.42445795611</v>
      </c>
      <c r="H51" s="73">
        <f t="shared" si="6"/>
        <v>877751.08320074261</v>
      </c>
      <c r="I51" s="73">
        <f t="shared" si="6"/>
        <v>877751.08320074261</v>
      </c>
      <c r="J51" s="73">
        <f t="shared" si="6"/>
        <v>919548.7538293493</v>
      </c>
      <c r="K51" s="73">
        <f t="shared" si="6"/>
        <v>919548.7538293493</v>
      </c>
      <c r="L51" s="73">
        <f t="shared" si="6"/>
        <v>501572.04754328151</v>
      </c>
      <c r="M51" s="73">
        <f t="shared" si="6"/>
        <v>919548.7538293493</v>
      </c>
      <c r="N51" s="73">
        <f t="shared" si="6"/>
        <v>877751.08320074261</v>
      </c>
      <c r="O51" s="73">
        <f t="shared" si="6"/>
        <v>877751.08320074261</v>
      </c>
      <c r="P51" s="464"/>
    </row>
    <row r="52" spans="2:16" ht="35" outlineLevel="1" thickBot="1" x14ac:dyDescent="0.25">
      <c r="B52" s="834" t="str">
        <f>"RF debito verso fornitori per "&amp;B43</f>
        <v>RF debito verso fornitori per Provvigioni, incentivi e altri costi agenti</v>
      </c>
      <c r="C52" s="822"/>
      <c r="D52" s="830">
        <f t="shared" ref="D52:O52" si="7">D49+D50-D51</f>
        <v>752358.07131492207</v>
      </c>
      <c r="E52" s="830">
        <f t="shared" si="7"/>
        <v>835953.41257213557</v>
      </c>
      <c r="F52" s="830">
        <f t="shared" si="7"/>
        <v>961346.42445795611</v>
      </c>
      <c r="G52" s="830">
        <f t="shared" si="7"/>
        <v>877751.08320074249</v>
      </c>
      <c r="H52" s="830">
        <f t="shared" si="7"/>
        <v>877751.08320074237</v>
      </c>
      <c r="I52" s="830">
        <f t="shared" si="7"/>
        <v>919548.75382934918</v>
      </c>
      <c r="J52" s="830">
        <f t="shared" si="7"/>
        <v>919548.7538293493</v>
      </c>
      <c r="K52" s="830">
        <f t="shared" si="7"/>
        <v>501572.04754328146</v>
      </c>
      <c r="L52" s="830">
        <f t="shared" si="7"/>
        <v>919548.7538293493</v>
      </c>
      <c r="M52" s="830">
        <f t="shared" si="7"/>
        <v>877751.08320074249</v>
      </c>
      <c r="N52" s="830">
        <f t="shared" si="7"/>
        <v>877751.08320074237</v>
      </c>
      <c r="O52" s="830">
        <f t="shared" si="7"/>
        <v>501572.04754328134</v>
      </c>
      <c r="P52" s="464"/>
    </row>
    <row r="53" spans="2:16" outlineLevel="1" x14ac:dyDescent="0.2">
      <c r="B53" s="122"/>
      <c r="C53" s="152"/>
      <c r="P53" s="464"/>
    </row>
    <row r="54" spans="2:16" outlineLevel="1" x14ac:dyDescent="0.2">
      <c r="B54" s="818" t="str">
        <f>+B10</f>
        <v>Affitti</v>
      </c>
      <c r="C54" s="152"/>
      <c r="P54" s="464"/>
    </row>
    <row r="55" spans="2:16" outlineLevel="1" x14ac:dyDescent="0.2">
      <c r="B55" s="415"/>
      <c r="C55" s="152"/>
      <c r="P55" s="464"/>
    </row>
    <row r="56" spans="2:16" outlineLevel="1" x14ac:dyDescent="0.2">
      <c r="B56" s="415" t="s">
        <v>1158</v>
      </c>
      <c r="C56" s="152" t="str">
        <f>VLOOKUP(B54,'All. 13'!$B$24:$E$42,2,0)</f>
        <v>mensile competenza</v>
      </c>
      <c r="P56" s="464"/>
    </row>
    <row r="57" spans="2:16" outlineLevel="1" x14ac:dyDescent="0.2">
      <c r="B57" s="415" t="s">
        <v>1123</v>
      </c>
      <c r="C57" s="418">
        <f>VLOOKUP(B54,'All. 13'!$B$24:$E$42,3,0)</f>
        <v>30</v>
      </c>
      <c r="P57" s="464"/>
    </row>
    <row r="58" spans="2:16" outlineLevel="1" x14ac:dyDescent="0.2">
      <c r="B58" s="815" t="s">
        <v>1159</v>
      </c>
      <c r="C58" s="833">
        <f>VLOOKUP(B54,'All. 13'!$B$24:$E$42,4,0)</f>
        <v>75000</v>
      </c>
      <c r="P58" s="464"/>
    </row>
    <row r="59" spans="2:16" outlineLevel="1" x14ac:dyDescent="0.2">
      <c r="B59" s="122"/>
      <c r="C59" s="152"/>
      <c r="P59" s="464"/>
    </row>
    <row r="60" spans="2:16" outlineLevel="1" x14ac:dyDescent="0.2">
      <c r="B60" s="122" t="str">
        <f>"RI debito verso fornitori per "&amp;B54</f>
        <v>RI debito verso fornitori per Affitti</v>
      </c>
      <c r="C60" s="147"/>
      <c r="D60" s="73">
        <f>+C58</f>
        <v>75000</v>
      </c>
      <c r="E60" s="73">
        <f t="shared" ref="E60:O60" si="8">+D63</f>
        <v>82582.511210762314</v>
      </c>
      <c r="F60" s="73">
        <f t="shared" si="8"/>
        <v>88709.86547085199</v>
      </c>
      <c r="G60" s="73">
        <f t="shared" si="8"/>
        <v>97900.896860986541</v>
      </c>
      <c r="H60" s="73">
        <f t="shared" si="8"/>
        <v>91773.54260089685</v>
      </c>
      <c r="I60" s="73">
        <f t="shared" si="8"/>
        <v>91773.542600896835</v>
      </c>
      <c r="J60" s="73">
        <f t="shared" si="8"/>
        <v>94837.219730941681</v>
      </c>
      <c r="K60" s="73">
        <f t="shared" si="8"/>
        <v>94837.219730941681</v>
      </c>
      <c r="L60" s="73">
        <f t="shared" si="8"/>
        <v>64200.448430493227</v>
      </c>
      <c r="M60" s="73">
        <f t="shared" si="8"/>
        <v>94837.219730941666</v>
      </c>
      <c r="N60" s="73">
        <f t="shared" si="8"/>
        <v>91773.542600896835</v>
      </c>
      <c r="O60" s="73">
        <f t="shared" si="8"/>
        <v>91773.542600896835</v>
      </c>
      <c r="P60" s="464"/>
    </row>
    <row r="61" spans="2:16" outlineLevel="1" x14ac:dyDescent="0.2">
      <c r="B61" s="131" t="s">
        <v>1160</v>
      </c>
      <c r="C61" s="152"/>
      <c r="D61" s="73">
        <f>(D$10+D$9)*(1+'All. 13'!$C$20)</f>
        <v>82582.511210762328</v>
      </c>
      <c r="E61" s="73">
        <f>(E$10+E$9)*(1+'All. 13'!$C$20)</f>
        <v>88709.865470852004</v>
      </c>
      <c r="F61" s="73">
        <f>(F$10+F$9)*(1+'All. 13'!$C$20)</f>
        <v>97900.896860986541</v>
      </c>
      <c r="G61" s="73">
        <f>(G$10+G$9)*(1+'All. 13'!$C$20)</f>
        <v>91773.542600896864</v>
      </c>
      <c r="H61" s="73">
        <f>(H$10+H$9)*(1+'All. 13'!$C$20)</f>
        <v>91773.542600896864</v>
      </c>
      <c r="I61" s="73">
        <f>(I$10+I$9)*(1+'All. 13'!$C$20)</f>
        <v>94837.21973094171</v>
      </c>
      <c r="J61" s="73">
        <f>(J$10+J$9)*(1+'All. 13'!$C$20)</f>
        <v>94837.21973094171</v>
      </c>
      <c r="K61" s="73">
        <f>(K$10+K$9)*(1+'All. 13'!$C$20)</f>
        <v>64200.44843049327</v>
      </c>
      <c r="L61" s="73">
        <f>(L$10+L$9)*(1+'All. 13'!$C$20)</f>
        <v>94837.21973094171</v>
      </c>
      <c r="M61" s="73">
        <f>(M$10+M$9)*(1+'All. 13'!$C$20)</f>
        <v>91773.542600896864</v>
      </c>
      <c r="N61" s="73">
        <f>(N$10+N$9)*(1+'All. 13'!$C$20)</f>
        <v>91773.542600896864</v>
      </c>
      <c r="O61" s="73">
        <f>(O$10+O$9)*(1+'All. 13'!$C$20)</f>
        <v>64200.44843049327</v>
      </c>
      <c r="P61" s="464"/>
    </row>
    <row r="62" spans="2:16" outlineLevel="1" x14ac:dyDescent="0.2">
      <c r="B62" s="131" t="s">
        <v>1154</v>
      </c>
      <c r="C62" s="152"/>
      <c r="D62" s="73">
        <f>+D60</f>
        <v>75000</v>
      </c>
      <c r="E62" s="73">
        <f t="shared" ref="E62:O62" si="9">+D61</f>
        <v>82582.511210762328</v>
      </c>
      <c r="F62" s="73">
        <f t="shared" si="9"/>
        <v>88709.865470852004</v>
      </c>
      <c r="G62" s="73">
        <f t="shared" si="9"/>
        <v>97900.896860986541</v>
      </c>
      <c r="H62" s="73">
        <f t="shared" si="9"/>
        <v>91773.542600896864</v>
      </c>
      <c r="I62" s="73">
        <f t="shared" si="9"/>
        <v>91773.542600896864</v>
      </c>
      <c r="J62" s="73">
        <f t="shared" si="9"/>
        <v>94837.21973094171</v>
      </c>
      <c r="K62" s="73">
        <f t="shared" si="9"/>
        <v>94837.21973094171</v>
      </c>
      <c r="L62" s="73">
        <f t="shared" si="9"/>
        <v>64200.44843049327</v>
      </c>
      <c r="M62" s="73">
        <f t="shared" si="9"/>
        <v>94837.21973094171</v>
      </c>
      <c r="N62" s="73">
        <f t="shared" si="9"/>
        <v>91773.542600896864</v>
      </c>
      <c r="O62" s="73">
        <f t="shared" si="9"/>
        <v>91773.542600896864</v>
      </c>
      <c r="P62" s="464"/>
    </row>
    <row r="63" spans="2:16" ht="18" customHeight="1" outlineLevel="1" thickBot="1" x14ac:dyDescent="0.25">
      <c r="B63" s="834" t="str">
        <f>"RF debito verso fornitori per "&amp;B54</f>
        <v>RF debito verso fornitori per Affitti</v>
      </c>
      <c r="C63" s="822"/>
      <c r="D63" s="830">
        <f t="shared" ref="D63:O63" si="10">D60+D61-D62</f>
        <v>82582.511210762314</v>
      </c>
      <c r="E63" s="830">
        <f t="shared" si="10"/>
        <v>88709.86547085199</v>
      </c>
      <c r="F63" s="830">
        <f t="shared" si="10"/>
        <v>97900.896860986541</v>
      </c>
      <c r="G63" s="830">
        <f t="shared" si="10"/>
        <v>91773.54260089685</v>
      </c>
      <c r="H63" s="830">
        <f t="shared" si="10"/>
        <v>91773.542600896835</v>
      </c>
      <c r="I63" s="830">
        <f t="shared" si="10"/>
        <v>94837.219730941681</v>
      </c>
      <c r="J63" s="830">
        <f t="shared" si="10"/>
        <v>94837.219730941681</v>
      </c>
      <c r="K63" s="830">
        <f t="shared" si="10"/>
        <v>64200.448430493227</v>
      </c>
      <c r="L63" s="830">
        <f t="shared" si="10"/>
        <v>94837.219730941666</v>
      </c>
      <c r="M63" s="830">
        <f t="shared" si="10"/>
        <v>91773.542600896835</v>
      </c>
      <c r="N63" s="830">
        <f t="shared" si="10"/>
        <v>91773.542600896835</v>
      </c>
      <c r="O63" s="830">
        <f t="shared" si="10"/>
        <v>64200.448430493227</v>
      </c>
      <c r="P63" s="464"/>
    </row>
    <row r="64" spans="2:16" outlineLevel="1" x14ac:dyDescent="0.2">
      <c r="B64" s="122"/>
      <c r="C64" s="152"/>
      <c r="P64" s="464"/>
    </row>
    <row r="65" spans="2:16" outlineLevel="1" x14ac:dyDescent="0.2">
      <c r="B65" s="818" t="str">
        <f>+B11</f>
        <v>Manutenzioni</v>
      </c>
      <c r="C65" s="152"/>
      <c r="P65" s="464"/>
    </row>
    <row r="66" spans="2:16" outlineLevel="1" x14ac:dyDescent="0.2">
      <c r="B66" s="415"/>
      <c r="C66" s="152"/>
      <c r="P66" s="464"/>
    </row>
    <row r="67" spans="2:16" outlineLevel="1" x14ac:dyDescent="0.2">
      <c r="B67" s="415" t="s">
        <v>1158</v>
      </c>
      <c r="C67" s="152" t="str">
        <f>VLOOKUP(B65,'All. 13'!$B$24:$E$42,2,0)</f>
        <v>mensile competenza</v>
      </c>
      <c r="P67" s="464"/>
    </row>
    <row r="68" spans="2:16" outlineLevel="1" x14ac:dyDescent="0.2">
      <c r="B68" s="415" t="s">
        <v>1123</v>
      </c>
      <c r="C68" s="418">
        <f>VLOOKUP(B65,'All. 13'!$B$24:$E$42,3,0)</f>
        <v>30</v>
      </c>
      <c r="P68" s="464"/>
    </row>
    <row r="69" spans="2:16" outlineLevel="1" x14ac:dyDescent="0.2">
      <c r="B69" s="815" t="s">
        <v>1159</v>
      </c>
      <c r="C69" s="833">
        <f>VLOOKUP(B65,'All. 13'!$B$24:$E$42,4,0)</f>
        <v>4000</v>
      </c>
      <c r="P69" s="464"/>
    </row>
    <row r="70" spans="2:16" outlineLevel="1" x14ac:dyDescent="0.2">
      <c r="B70" s="122"/>
      <c r="C70" s="152"/>
      <c r="P70" s="464"/>
    </row>
    <row r="71" spans="2:16" outlineLevel="1" x14ac:dyDescent="0.2">
      <c r="B71" s="122" t="str">
        <f>"RI debito verso fornitori per "&amp;B65</f>
        <v>RI debito verso fornitori per Manutenzioni</v>
      </c>
      <c r="C71" s="147"/>
      <c r="D71" s="73">
        <f>+C69</f>
        <v>4000</v>
      </c>
      <c r="E71" s="73">
        <f t="shared" ref="E71:O71" si="11">+D74</f>
        <v>4464.2152466367716</v>
      </c>
      <c r="F71" s="73">
        <f t="shared" si="11"/>
        <v>4989.4170403587432</v>
      </c>
      <c r="G71" s="73">
        <f t="shared" si="11"/>
        <v>5777.2197309417033</v>
      </c>
      <c r="H71" s="73">
        <f t="shared" si="11"/>
        <v>5252.0179372197299</v>
      </c>
      <c r="I71" s="73">
        <f t="shared" si="11"/>
        <v>5252.0179372197299</v>
      </c>
      <c r="J71" s="73">
        <f t="shared" si="11"/>
        <v>5514.6188340807175</v>
      </c>
      <c r="K71" s="73">
        <f t="shared" si="11"/>
        <v>5514.6188340807166</v>
      </c>
      <c r="L71" s="73">
        <f t="shared" si="11"/>
        <v>2888.6098654708512</v>
      </c>
      <c r="M71" s="73">
        <f t="shared" si="11"/>
        <v>5514.6188340807166</v>
      </c>
      <c r="N71" s="73">
        <f t="shared" si="11"/>
        <v>5252.0179372197308</v>
      </c>
      <c r="O71" s="73">
        <f t="shared" si="11"/>
        <v>5252.0179372197317</v>
      </c>
      <c r="P71" s="464"/>
    </row>
    <row r="72" spans="2:16" outlineLevel="1" x14ac:dyDescent="0.2">
      <c r="B72" s="131" t="s">
        <v>1160</v>
      </c>
      <c r="C72" s="152"/>
      <c r="D72" s="73">
        <f>D$11*(1+'All. 13'!$C$20)</f>
        <v>4464.2152466367716</v>
      </c>
      <c r="E72" s="73">
        <f>E$11*(1+'All. 13'!$C$20)</f>
        <v>4989.4170403587441</v>
      </c>
      <c r="F72" s="73">
        <f>F$11*(1+'All. 13'!$C$20)</f>
        <v>5777.2197309417033</v>
      </c>
      <c r="G72" s="73">
        <f>G$11*(1+'All. 13'!$C$20)</f>
        <v>5252.0179372197299</v>
      </c>
      <c r="H72" s="73">
        <f>H$11*(1+'All. 13'!$C$20)</f>
        <v>5252.0179372197299</v>
      </c>
      <c r="I72" s="73">
        <f>I$11*(1+'All. 13'!$C$20)</f>
        <v>5514.6188340807166</v>
      </c>
      <c r="J72" s="73">
        <f>J$11*(1+'All. 13'!$C$20)</f>
        <v>5514.6188340807166</v>
      </c>
      <c r="K72" s="73">
        <f>K$11*(1+'All. 13'!$C$20)</f>
        <v>2888.6098654708517</v>
      </c>
      <c r="L72" s="73">
        <f>L$11*(1+'All. 13'!$C$20)</f>
        <v>5514.6188340807166</v>
      </c>
      <c r="M72" s="73">
        <f>M$11*(1+'All. 13'!$C$20)</f>
        <v>5252.0179372197299</v>
      </c>
      <c r="N72" s="73">
        <f>N$11*(1+'All. 13'!$C$20)</f>
        <v>5252.0179372197299</v>
      </c>
      <c r="O72" s="73">
        <f>O$11*(1+'All. 13'!$C$20)</f>
        <v>2888.6098654708517</v>
      </c>
      <c r="P72" s="464"/>
    </row>
    <row r="73" spans="2:16" outlineLevel="1" x14ac:dyDescent="0.2">
      <c r="B73" s="131" t="s">
        <v>1154</v>
      </c>
      <c r="C73" s="152"/>
      <c r="D73" s="73">
        <f>+D71</f>
        <v>4000</v>
      </c>
      <c r="E73" s="73">
        <f t="shared" ref="E73:O73" si="12">+D72</f>
        <v>4464.2152466367716</v>
      </c>
      <c r="F73" s="73">
        <f t="shared" si="12"/>
        <v>4989.4170403587441</v>
      </c>
      <c r="G73" s="73">
        <f t="shared" si="12"/>
        <v>5777.2197309417033</v>
      </c>
      <c r="H73" s="73">
        <f t="shared" si="12"/>
        <v>5252.0179372197299</v>
      </c>
      <c r="I73" s="73">
        <f t="shared" si="12"/>
        <v>5252.0179372197299</v>
      </c>
      <c r="J73" s="73">
        <f t="shared" si="12"/>
        <v>5514.6188340807166</v>
      </c>
      <c r="K73" s="73">
        <f t="shared" si="12"/>
        <v>5514.6188340807166</v>
      </c>
      <c r="L73" s="73">
        <f t="shared" si="12"/>
        <v>2888.6098654708517</v>
      </c>
      <c r="M73" s="73">
        <f t="shared" si="12"/>
        <v>5514.6188340807166</v>
      </c>
      <c r="N73" s="73">
        <f t="shared" si="12"/>
        <v>5252.0179372197299</v>
      </c>
      <c r="O73" s="73">
        <f t="shared" si="12"/>
        <v>5252.0179372197299</v>
      </c>
      <c r="P73" s="464"/>
    </row>
    <row r="74" spans="2:16" ht="18" customHeight="1" outlineLevel="1" thickBot="1" x14ac:dyDescent="0.25">
      <c r="B74" s="834" t="str">
        <f>"RF debito verso fornitori per "&amp;B65</f>
        <v>RF debito verso fornitori per Manutenzioni</v>
      </c>
      <c r="C74" s="822"/>
      <c r="D74" s="830">
        <f t="shared" ref="D74:O74" si="13">D71+D72-D73</f>
        <v>4464.2152466367716</v>
      </c>
      <c r="E74" s="830">
        <f t="shared" si="13"/>
        <v>4989.4170403587432</v>
      </c>
      <c r="F74" s="830">
        <f t="shared" si="13"/>
        <v>5777.2197309417033</v>
      </c>
      <c r="G74" s="830">
        <f t="shared" si="13"/>
        <v>5252.0179372197299</v>
      </c>
      <c r="H74" s="830">
        <f t="shared" si="13"/>
        <v>5252.0179372197299</v>
      </c>
      <c r="I74" s="830">
        <f t="shared" si="13"/>
        <v>5514.6188340807175</v>
      </c>
      <c r="J74" s="830">
        <f t="shared" si="13"/>
        <v>5514.6188340807166</v>
      </c>
      <c r="K74" s="830">
        <f t="shared" si="13"/>
        <v>2888.6098654708512</v>
      </c>
      <c r="L74" s="830">
        <f t="shared" si="13"/>
        <v>5514.6188340807166</v>
      </c>
      <c r="M74" s="830">
        <f t="shared" si="13"/>
        <v>5252.0179372197308</v>
      </c>
      <c r="N74" s="830">
        <f t="shared" si="13"/>
        <v>5252.0179372197317</v>
      </c>
      <c r="O74" s="830">
        <f t="shared" si="13"/>
        <v>2888.6098654708539</v>
      </c>
      <c r="P74" s="464"/>
    </row>
    <row r="75" spans="2:16" outlineLevel="1" x14ac:dyDescent="0.2">
      <c r="B75" s="122"/>
      <c r="C75" s="152"/>
      <c r="P75" s="464"/>
    </row>
    <row r="76" spans="2:16" outlineLevel="1" x14ac:dyDescent="0.2">
      <c r="B76" s="818" t="str">
        <f>+B12</f>
        <v>Consulenze g&amp;a</v>
      </c>
      <c r="C76" s="152"/>
      <c r="P76" s="464"/>
    </row>
    <row r="77" spans="2:16" outlineLevel="1" x14ac:dyDescent="0.2">
      <c r="B77" s="415"/>
      <c r="C77" s="152"/>
      <c r="P77" s="464"/>
    </row>
    <row r="78" spans="2:16" outlineLevel="1" x14ac:dyDescent="0.2">
      <c r="B78" s="415" t="s">
        <v>1158</v>
      </c>
      <c r="C78" s="152" t="str">
        <f>VLOOKUP(B76,'All. 13'!$B$24:$E$42,2,0)</f>
        <v>mensile competenza</v>
      </c>
      <c r="P78" s="464"/>
    </row>
    <row r="79" spans="2:16" outlineLevel="1" x14ac:dyDescent="0.2">
      <c r="B79" s="415" t="s">
        <v>1123</v>
      </c>
      <c r="C79" s="418">
        <f>VLOOKUP(B76,'All. 13'!$B$24:$E$42,3,0)</f>
        <v>30</v>
      </c>
      <c r="P79" s="464"/>
    </row>
    <row r="80" spans="2:16" outlineLevel="1" x14ac:dyDescent="0.2">
      <c r="B80" s="815" t="s">
        <v>1159</v>
      </c>
      <c r="C80" s="833">
        <f>VLOOKUP(B76,'All. 13'!$B$24:$E$42,4,0)</f>
        <v>0</v>
      </c>
      <c r="P80" s="464"/>
    </row>
    <row r="81" spans="2:16" outlineLevel="1" x14ac:dyDescent="0.2">
      <c r="B81" s="122"/>
      <c r="C81" s="152"/>
      <c r="P81" s="464"/>
    </row>
    <row r="82" spans="2:16" outlineLevel="1" x14ac:dyDescent="0.2">
      <c r="B82" s="122" t="str">
        <f>"RI debito verso fornitori per "&amp;B76</f>
        <v>RI debito verso fornitori per Consulenze g&amp;a</v>
      </c>
      <c r="C82" s="147"/>
      <c r="D82" s="73">
        <f>+C80</f>
        <v>0</v>
      </c>
      <c r="E82" s="73">
        <f t="shared" ref="E82:O82" si="14">+D85</f>
        <v>15809.166666666668</v>
      </c>
      <c r="F82" s="73">
        <f t="shared" si="14"/>
        <v>15809.166666666668</v>
      </c>
      <c r="G82" s="73">
        <f t="shared" si="14"/>
        <v>15809.166666666668</v>
      </c>
      <c r="H82" s="73">
        <f t="shared" si="14"/>
        <v>15809.166666666668</v>
      </c>
      <c r="I82" s="73">
        <f t="shared" si="14"/>
        <v>15809.166666666668</v>
      </c>
      <c r="J82" s="73">
        <f t="shared" si="14"/>
        <v>15809.166666666668</v>
      </c>
      <c r="K82" s="73">
        <f t="shared" si="14"/>
        <v>15809.166666666668</v>
      </c>
      <c r="L82" s="73">
        <f t="shared" si="14"/>
        <v>15809.166666666668</v>
      </c>
      <c r="M82" s="73">
        <f t="shared" si="14"/>
        <v>15809.166666666668</v>
      </c>
      <c r="N82" s="73">
        <f t="shared" si="14"/>
        <v>15809.166666666668</v>
      </c>
      <c r="O82" s="73">
        <f t="shared" si="14"/>
        <v>15809.166666666668</v>
      </c>
      <c r="P82" s="464"/>
    </row>
    <row r="83" spans="2:16" outlineLevel="1" x14ac:dyDescent="0.2">
      <c r="B83" s="131" t="s">
        <v>1160</v>
      </c>
      <c r="C83" s="152"/>
      <c r="D83" s="73">
        <f>D$12*(1+'All. 13'!$C$20)</f>
        <v>15809.166666666668</v>
      </c>
      <c r="E83" s="73">
        <f>E$12*(1+'All. 13'!$C$20)</f>
        <v>15809.166666666668</v>
      </c>
      <c r="F83" s="73">
        <f>F$12*(1+'All. 13'!$C$20)</f>
        <v>15809.166666666668</v>
      </c>
      <c r="G83" s="73">
        <f>G$12*(1+'All. 13'!$C$20)</f>
        <v>15809.166666666668</v>
      </c>
      <c r="H83" s="73">
        <f>H$12*(1+'All. 13'!$C$20)</f>
        <v>15809.166666666668</v>
      </c>
      <c r="I83" s="73">
        <f>I$12*(1+'All. 13'!$C$20)</f>
        <v>15809.166666666668</v>
      </c>
      <c r="J83" s="73">
        <f>J$12*(1+'All. 13'!$C$20)</f>
        <v>15809.166666666668</v>
      </c>
      <c r="K83" s="73">
        <f>K$12*(1+'All. 13'!$C$20)</f>
        <v>15809.166666666668</v>
      </c>
      <c r="L83" s="73">
        <f>L$12*(1+'All. 13'!$C$20)</f>
        <v>15809.166666666668</v>
      </c>
      <c r="M83" s="73">
        <f>M$12*(1+'All. 13'!$C$20)</f>
        <v>15809.166666666668</v>
      </c>
      <c r="N83" s="73">
        <f>N$12*(1+'All. 13'!$C$20)</f>
        <v>15809.166666666668</v>
      </c>
      <c r="O83" s="73">
        <f>O$12*(1+'All. 13'!$C$20)</f>
        <v>15809.166666666668</v>
      </c>
      <c r="P83" s="464"/>
    </row>
    <row r="84" spans="2:16" outlineLevel="1" x14ac:dyDescent="0.2">
      <c r="B84" s="131" t="s">
        <v>1154</v>
      </c>
      <c r="C84" s="152"/>
      <c r="D84" s="73">
        <f>+D82</f>
        <v>0</v>
      </c>
      <c r="E84" s="73">
        <f t="shared" ref="E84:O84" si="15">+D83</f>
        <v>15809.166666666668</v>
      </c>
      <c r="F84" s="73">
        <f t="shared" si="15"/>
        <v>15809.166666666668</v>
      </c>
      <c r="G84" s="73">
        <f t="shared" si="15"/>
        <v>15809.166666666668</v>
      </c>
      <c r="H84" s="73">
        <f t="shared" si="15"/>
        <v>15809.166666666668</v>
      </c>
      <c r="I84" s="73">
        <f t="shared" si="15"/>
        <v>15809.166666666668</v>
      </c>
      <c r="J84" s="73">
        <f t="shared" si="15"/>
        <v>15809.166666666668</v>
      </c>
      <c r="K84" s="73">
        <f t="shared" si="15"/>
        <v>15809.166666666668</v>
      </c>
      <c r="L84" s="73">
        <f t="shared" si="15"/>
        <v>15809.166666666668</v>
      </c>
      <c r="M84" s="73">
        <f t="shared" si="15"/>
        <v>15809.166666666668</v>
      </c>
      <c r="N84" s="73">
        <f t="shared" si="15"/>
        <v>15809.166666666668</v>
      </c>
      <c r="O84" s="73">
        <f t="shared" si="15"/>
        <v>15809.166666666668</v>
      </c>
      <c r="P84" s="464"/>
    </row>
    <row r="85" spans="2:16" ht="18" customHeight="1" outlineLevel="1" thickBot="1" x14ac:dyDescent="0.25">
      <c r="B85" s="834" t="str">
        <f>"RF debito verso fornitori per "&amp;B76</f>
        <v>RF debito verso fornitori per Consulenze g&amp;a</v>
      </c>
      <c r="C85" s="822"/>
      <c r="D85" s="830">
        <f t="shared" ref="D85:O85" si="16">D82+D83-D84</f>
        <v>15809.166666666668</v>
      </c>
      <c r="E85" s="830">
        <f t="shared" si="16"/>
        <v>15809.166666666668</v>
      </c>
      <c r="F85" s="830">
        <f t="shared" si="16"/>
        <v>15809.166666666668</v>
      </c>
      <c r="G85" s="830">
        <f t="shared" si="16"/>
        <v>15809.166666666668</v>
      </c>
      <c r="H85" s="830">
        <f t="shared" si="16"/>
        <v>15809.166666666668</v>
      </c>
      <c r="I85" s="830">
        <f t="shared" si="16"/>
        <v>15809.166666666668</v>
      </c>
      <c r="J85" s="830">
        <f t="shared" si="16"/>
        <v>15809.166666666668</v>
      </c>
      <c r="K85" s="830">
        <f t="shared" si="16"/>
        <v>15809.166666666668</v>
      </c>
      <c r="L85" s="830">
        <f t="shared" si="16"/>
        <v>15809.166666666668</v>
      </c>
      <c r="M85" s="830">
        <f t="shared" si="16"/>
        <v>15809.166666666668</v>
      </c>
      <c r="N85" s="830">
        <f t="shared" si="16"/>
        <v>15809.166666666668</v>
      </c>
      <c r="O85" s="830">
        <f t="shared" si="16"/>
        <v>15809.166666666668</v>
      </c>
      <c r="P85" s="464"/>
    </row>
    <row r="86" spans="2:16" outlineLevel="1" x14ac:dyDescent="0.2">
      <c r="B86" s="122"/>
      <c r="C86" s="152"/>
      <c r="P86" s="464"/>
    </row>
    <row r="87" spans="2:16" outlineLevel="1" x14ac:dyDescent="0.2">
      <c r="B87" s="818" t="str">
        <f>+B13</f>
        <v>Consulenze commerciali</v>
      </c>
      <c r="C87" s="152"/>
      <c r="P87" s="464"/>
    </row>
    <row r="88" spans="2:16" outlineLevel="1" x14ac:dyDescent="0.2">
      <c r="B88" s="415"/>
      <c r="C88" s="152"/>
      <c r="P88" s="464"/>
    </row>
    <row r="89" spans="2:16" outlineLevel="1" x14ac:dyDescent="0.2">
      <c r="B89" s="415" t="s">
        <v>1158</v>
      </c>
      <c r="C89" s="152" t="str">
        <f>VLOOKUP(B87,'All. 13'!$B$24:$E$42,2,0)</f>
        <v>mensile competenza</v>
      </c>
      <c r="P89" s="464"/>
    </row>
    <row r="90" spans="2:16" outlineLevel="1" x14ac:dyDescent="0.2">
      <c r="B90" s="415" t="s">
        <v>1123</v>
      </c>
      <c r="C90" s="418">
        <f>VLOOKUP(B87,'All. 13'!$B$24:$E$42,3,0)</f>
        <v>30</v>
      </c>
      <c r="P90" s="464"/>
    </row>
    <row r="91" spans="2:16" outlineLevel="1" x14ac:dyDescent="0.2">
      <c r="B91" s="815" t="s">
        <v>1159</v>
      </c>
      <c r="C91" s="833">
        <f>VLOOKUP(B87,'All. 13'!$B$24:$E$42,4,0)</f>
        <v>40000</v>
      </c>
      <c r="P91" s="464"/>
    </row>
    <row r="92" spans="2:16" outlineLevel="1" x14ac:dyDescent="0.2">
      <c r="B92" s="122"/>
      <c r="C92" s="152"/>
      <c r="P92" s="464"/>
    </row>
    <row r="93" spans="2:16" outlineLevel="1" x14ac:dyDescent="0.2">
      <c r="B93" s="122" t="str">
        <f>"RI debito verso fornitori per "&amp;B87</f>
        <v>RI debito verso fornitori per Consulenze commerciali</v>
      </c>
      <c r="C93" s="147"/>
      <c r="D93" s="73">
        <f>+C91</f>
        <v>40000</v>
      </c>
      <c r="E93" s="73">
        <f t="shared" ref="E93:O93" si="17">+D96</f>
        <v>37576</v>
      </c>
      <c r="F93" s="73">
        <f t="shared" si="17"/>
        <v>37576</v>
      </c>
      <c r="G93" s="73">
        <f t="shared" si="17"/>
        <v>37576</v>
      </c>
      <c r="H93" s="73">
        <f t="shared" si="17"/>
        <v>37576</v>
      </c>
      <c r="I93" s="73">
        <f t="shared" si="17"/>
        <v>37576</v>
      </c>
      <c r="J93" s="73">
        <f t="shared" si="17"/>
        <v>37576</v>
      </c>
      <c r="K93" s="73">
        <f t="shared" si="17"/>
        <v>37576</v>
      </c>
      <c r="L93" s="73">
        <f t="shared" si="17"/>
        <v>37576</v>
      </c>
      <c r="M93" s="73">
        <f t="shared" si="17"/>
        <v>37576</v>
      </c>
      <c r="N93" s="73">
        <f t="shared" si="17"/>
        <v>37576</v>
      </c>
      <c r="O93" s="73">
        <f t="shared" si="17"/>
        <v>37576</v>
      </c>
      <c r="P93" s="464"/>
    </row>
    <row r="94" spans="2:16" outlineLevel="1" x14ac:dyDescent="0.2">
      <c r="B94" s="131" t="s">
        <v>1160</v>
      </c>
      <c r="C94" s="152"/>
      <c r="D94" s="73">
        <f>D$13*(1+'All. 13'!$C$20)</f>
        <v>37576</v>
      </c>
      <c r="E94" s="73">
        <f>E$13*(1+'All. 13'!$C$20)</f>
        <v>37576</v>
      </c>
      <c r="F94" s="73">
        <f>F$13*(1+'All. 13'!$C$20)</f>
        <v>37576</v>
      </c>
      <c r="G94" s="73">
        <f>G$13*(1+'All. 13'!$C$20)</f>
        <v>37576</v>
      </c>
      <c r="H94" s="73">
        <f>H$13*(1+'All. 13'!$C$20)</f>
        <v>37576</v>
      </c>
      <c r="I94" s="73">
        <f>I$13*(1+'All. 13'!$C$20)</f>
        <v>37576</v>
      </c>
      <c r="J94" s="73">
        <f>J$13*(1+'All. 13'!$C$20)</f>
        <v>37576</v>
      </c>
      <c r="K94" s="73">
        <f>K$13*(1+'All. 13'!$C$20)</f>
        <v>37576</v>
      </c>
      <c r="L94" s="73">
        <f>L$13*(1+'All. 13'!$C$20)</f>
        <v>37576</v>
      </c>
      <c r="M94" s="73">
        <f>M$13*(1+'All. 13'!$C$20)</f>
        <v>37576</v>
      </c>
      <c r="N94" s="73">
        <f>N$13*(1+'All. 13'!$C$20)</f>
        <v>37576</v>
      </c>
      <c r="O94" s="73">
        <f>O$13*(1+'All. 13'!$C$20)</f>
        <v>37576</v>
      </c>
      <c r="P94" s="464"/>
    </row>
    <row r="95" spans="2:16" outlineLevel="1" x14ac:dyDescent="0.2">
      <c r="B95" s="131" t="s">
        <v>1154</v>
      </c>
      <c r="C95" s="152"/>
      <c r="D95" s="73">
        <f>+D93</f>
        <v>40000</v>
      </c>
      <c r="E95" s="73">
        <f t="shared" ref="E95:O95" si="18">+D94</f>
        <v>37576</v>
      </c>
      <c r="F95" s="73">
        <f t="shared" si="18"/>
        <v>37576</v>
      </c>
      <c r="G95" s="73">
        <f t="shared" si="18"/>
        <v>37576</v>
      </c>
      <c r="H95" s="73">
        <f t="shared" si="18"/>
        <v>37576</v>
      </c>
      <c r="I95" s="73">
        <f t="shared" si="18"/>
        <v>37576</v>
      </c>
      <c r="J95" s="73">
        <f t="shared" si="18"/>
        <v>37576</v>
      </c>
      <c r="K95" s="73">
        <f t="shared" si="18"/>
        <v>37576</v>
      </c>
      <c r="L95" s="73">
        <f t="shared" si="18"/>
        <v>37576</v>
      </c>
      <c r="M95" s="73">
        <f t="shared" si="18"/>
        <v>37576</v>
      </c>
      <c r="N95" s="73">
        <f t="shared" si="18"/>
        <v>37576</v>
      </c>
      <c r="O95" s="73">
        <f t="shared" si="18"/>
        <v>37576</v>
      </c>
      <c r="P95" s="464"/>
    </row>
    <row r="96" spans="2:16" ht="33" customHeight="1" outlineLevel="1" thickBot="1" x14ac:dyDescent="0.25">
      <c r="B96" s="834" t="str">
        <f>"RF debito verso fornitori per "&amp;B87</f>
        <v>RF debito verso fornitori per Consulenze commerciali</v>
      </c>
      <c r="C96" s="822"/>
      <c r="D96" s="830">
        <f t="shared" ref="D96:O96" si="19">D93+D94-D95</f>
        <v>37576</v>
      </c>
      <c r="E96" s="830">
        <f t="shared" si="19"/>
        <v>37576</v>
      </c>
      <c r="F96" s="830">
        <f t="shared" si="19"/>
        <v>37576</v>
      </c>
      <c r="G96" s="830">
        <f t="shared" si="19"/>
        <v>37576</v>
      </c>
      <c r="H96" s="830">
        <f t="shared" si="19"/>
        <v>37576</v>
      </c>
      <c r="I96" s="830">
        <f t="shared" si="19"/>
        <v>37576</v>
      </c>
      <c r="J96" s="830">
        <f t="shared" si="19"/>
        <v>37576</v>
      </c>
      <c r="K96" s="830">
        <f t="shared" si="19"/>
        <v>37576</v>
      </c>
      <c r="L96" s="830">
        <f t="shared" si="19"/>
        <v>37576</v>
      </c>
      <c r="M96" s="830">
        <f t="shared" si="19"/>
        <v>37576</v>
      </c>
      <c r="N96" s="830">
        <f t="shared" si="19"/>
        <v>37576</v>
      </c>
      <c r="O96" s="830">
        <f t="shared" si="19"/>
        <v>37576</v>
      </c>
      <c r="P96" s="464"/>
    </row>
    <row r="97" spans="2:16" outlineLevel="1" x14ac:dyDescent="0.2">
      <c r="B97" s="122"/>
      <c r="C97" s="152"/>
      <c r="P97" s="464"/>
    </row>
    <row r="98" spans="2:16" outlineLevel="1" x14ac:dyDescent="0.2">
      <c r="B98" s="818" t="str">
        <f>+B14</f>
        <v>Legali</v>
      </c>
      <c r="C98" s="152"/>
      <c r="P98" s="464"/>
    </row>
    <row r="99" spans="2:16" outlineLevel="1" x14ac:dyDescent="0.2">
      <c r="B99" s="415"/>
      <c r="C99" s="152"/>
      <c r="P99" s="464"/>
    </row>
    <row r="100" spans="2:16" outlineLevel="1" x14ac:dyDescent="0.2">
      <c r="B100" s="415" t="s">
        <v>1158</v>
      </c>
      <c r="C100" s="152" t="str">
        <f>VLOOKUP(B98,'All. 13'!$B$24:$E$42,2,0)</f>
        <v>mensile competenza</v>
      </c>
      <c r="P100" s="464"/>
    </row>
    <row r="101" spans="2:16" outlineLevel="1" x14ac:dyDescent="0.2">
      <c r="B101" s="415" t="s">
        <v>1123</v>
      </c>
      <c r="C101" s="418">
        <f>VLOOKUP(B98,'All. 13'!$B$24:$E$42,3,0)</f>
        <v>30</v>
      </c>
      <c r="P101" s="464"/>
    </row>
    <row r="102" spans="2:16" outlineLevel="1" x14ac:dyDescent="0.2">
      <c r="B102" s="815" t="s">
        <v>1159</v>
      </c>
      <c r="C102" s="833">
        <f>VLOOKUP(B98,'All. 13'!$B$24:$E$42,4,0)</f>
        <v>5000</v>
      </c>
      <c r="P102" s="464"/>
    </row>
    <row r="103" spans="2:16" outlineLevel="1" x14ac:dyDescent="0.2">
      <c r="B103" s="122"/>
      <c r="C103" s="152"/>
      <c r="P103" s="464"/>
    </row>
    <row r="104" spans="2:16" outlineLevel="1" x14ac:dyDescent="0.2">
      <c r="B104" s="122" t="str">
        <f>"RI debito verso fornitori per "&amp;B98</f>
        <v>RI debito verso fornitori per Legali</v>
      </c>
      <c r="C104" s="147"/>
      <c r="D104" s="73">
        <f>+C102</f>
        <v>5000</v>
      </c>
      <c r="E104" s="73">
        <f t="shared" ref="E104:O104" si="20">+D107</f>
        <v>9150</v>
      </c>
      <c r="F104" s="73">
        <f t="shared" si="20"/>
        <v>9150</v>
      </c>
      <c r="G104" s="73">
        <f t="shared" si="20"/>
        <v>9150</v>
      </c>
      <c r="H104" s="73">
        <f t="shared" si="20"/>
        <v>9150</v>
      </c>
      <c r="I104" s="73">
        <f t="shared" si="20"/>
        <v>9150</v>
      </c>
      <c r="J104" s="73">
        <f t="shared" si="20"/>
        <v>9150</v>
      </c>
      <c r="K104" s="73">
        <f t="shared" si="20"/>
        <v>9150</v>
      </c>
      <c r="L104" s="73">
        <f t="shared" si="20"/>
        <v>9150</v>
      </c>
      <c r="M104" s="73">
        <f t="shared" si="20"/>
        <v>9150</v>
      </c>
      <c r="N104" s="73">
        <f t="shared" si="20"/>
        <v>9150</v>
      </c>
      <c r="O104" s="73">
        <f t="shared" si="20"/>
        <v>9150</v>
      </c>
      <c r="P104" s="464"/>
    </row>
    <row r="105" spans="2:16" outlineLevel="1" x14ac:dyDescent="0.2">
      <c r="B105" s="131" t="s">
        <v>1160</v>
      </c>
      <c r="C105" s="152"/>
      <c r="D105" s="73">
        <f>D$14*(1+'All. 13'!$C$20)</f>
        <v>9150</v>
      </c>
      <c r="E105" s="73">
        <f>E$14*(1+'All. 13'!$C$20)</f>
        <v>9150</v>
      </c>
      <c r="F105" s="73">
        <f>F$14*(1+'All. 13'!$C$20)</f>
        <v>9150</v>
      </c>
      <c r="G105" s="73">
        <f>G$14*(1+'All. 13'!$C$20)</f>
        <v>9150</v>
      </c>
      <c r="H105" s="73">
        <f>H$14*(1+'All. 13'!$C$20)</f>
        <v>9150</v>
      </c>
      <c r="I105" s="73">
        <f>I$14*(1+'All. 13'!$C$20)</f>
        <v>9150</v>
      </c>
      <c r="J105" s="73">
        <f>J$14*(1+'All. 13'!$C$20)</f>
        <v>9150</v>
      </c>
      <c r="K105" s="73">
        <f>K$14*(1+'All. 13'!$C$20)</f>
        <v>9150</v>
      </c>
      <c r="L105" s="73">
        <f>L$14*(1+'All. 13'!$C$20)</f>
        <v>9150</v>
      </c>
      <c r="M105" s="73">
        <f>M$14*(1+'All. 13'!$C$20)</f>
        <v>9150</v>
      </c>
      <c r="N105" s="73">
        <f>N$14*(1+'All. 13'!$C$20)</f>
        <v>9150</v>
      </c>
      <c r="O105" s="73">
        <f>O$14*(1+'All. 13'!$C$20)</f>
        <v>9150</v>
      </c>
      <c r="P105" s="464"/>
    </row>
    <row r="106" spans="2:16" outlineLevel="1" x14ac:dyDescent="0.2">
      <c r="B106" s="131" t="s">
        <v>1154</v>
      </c>
      <c r="C106" s="152"/>
      <c r="D106" s="73">
        <f>+D104</f>
        <v>5000</v>
      </c>
      <c r="E106" s="73">
        <f>+D105</f>
        <v>9150</v>
      </c>
      <c r="F106" s="73">
        <f t="shared" ref="F106:O106" si="21">+E105</f>
        <v>9150</v>
      </c>
      <c r="G106" s="73">
        <f t="shared" si="21"/>
        <v>9150</v>
      </c>
      <c r="H106" s="73">
        <f t="shared" si="21"/>
        <v>9150</v>
      </c>
      <c r="I106" s="73">
        <f t="shared" si="21"/>
        <v>9150</v>
      </c>
      <c r="J106" s="73">
        <f t="shared" si="21"/>
        <v>9150</v>
      </c>
      <c r="K106" s="73">
        <f t="shared" si="21"/>
        <v>9150</v>
      </c>
      <c r="L106" s="73">
        <f t="shared" si="21"/>
        <v>9150</v>
      </c>
      <c r="M106" s="73">
        <f t="shared" si="21"/>
        <v>9150</v>
      </c>
      <c r="N106" s="73">
        <f t="shared" si="21"/>
        <v>9150</v>
      </c>
      <c r="O106" s="73">
        <f t="shared" si="21"/>
        <v>9150</v>
      </c>
      <c r="P106" s="464"/>
    </row>
    <row r="107" spans="2:16" ht="18" outlineLevel="1" thickBot="1" x14ac:dyDescent="0.25">
      <c r="B107" s="834" t="str">
        <f>"RF debito verso fornitori per "&amp;B98</f>
        <v>RF debito verso fornitori per Legali</v>
      </c>
      <c r="C107" s="822"/>
      <c r="D107" s="830">
        <f t="shared" ref="D107:O107" si="22">D104+D105-D106</f>
        <v>9150</v>
      </c>
      <c r="E107" s="830">
        <f t="shared" si="22"/>
        <v>9150</v>
      </c>
      <c r="F107" s="830">
        <f t="shared" si="22"/>
        <v>9150</v>
      </c>
      <c r="G107" s="830">
        <f t="shared" si="22"/>
        <v>9150</v>
      </c>
      <c r="H107" s="830">
        <f t="shared" si="22"/>
        <v>9150</v>
      </c>
      <c r="I107" s="830">
        <f t="shared" si="22"/>
        <v>9150</v>
      </c>
      <c r="J107" s="830">
        <f t="shared" si="22"/>
        <v>9150</v>
      </c>
      <c r="K107" s="830">
        <f t="shared" si="22"/>
        <v>9150</v>
      </c>
      <c r="L107" s="830">
        <f t="shared" si="22"/>
        <v>9150</v>
      </c>
      <c r="M107" s="830">
        <f t="shared" si="22"/>
        <v>9150</v>
      </c>
      <c r="N107" s="830">
        <f t="shared" si="22"/>
        <v>9150</v>
      </c>
      <c r="O107" s="830">
        <f t="shared" si="22"/>
        <v>9150</v>
      </c>
      <c r="P107" s="464"/>
    </row>
    <row r="108" spans="2:16" outlineLevel="1" x14ac:dyDescent="0.2">
      <c r="B108" s="122"/>
      <c r="C108" s="152"/>
      <c r="P108" s="464"/>
    </row>
    <row r="109" spans="2:16" outlineLevel="1" x14ac:dyDescent="0.2">
      <c r="B109" s="818" t="str">
        <f>+B15</f>
        <v>IT</v>
      </c>
      <c r="C109" s="152"/>
      <c r="P109" s="464"/>
    </row>
    <row r="110" spans="2:16" outlineLevel="1" x14ac:dyDescent="0.2">
      <c r="B110" s="415"/>
      <c r="C110" s="152"/>
      <c r="P110" s="464"/>
    </row>
    <row r="111" spans="2:16" outlineLevel="1" x14ac:dyDescent="0.2">
      <c r="B111" s="415" t="s">
        <v>1158</v>
      </c>
      <c r="C111" s="152" t="str">
        <f>VLOOKUP(B109,'All. 13'!$B$24:$E$42,2,0)</f>
        <v>mensile competenza</v>
      </c>
      <c r="P111" s="464"/>
    </row>
    <row r="112" spans="2:16" outlineLevel="1" x14ac:dyDescent="0.2">
      <c r="B112" s="415" t="s">
        <v>1123</v>
      </c>
      <c r="C112" s="418">
        <f>VLOOKUP(B109,'All. 13'!$B$24:$E$42,3,0)</f>
        <v>30</v>
      </c>
      <c r="P112" s="464"/>
    </row>
    <row r="113" spans="2:16" outlineLevel="1" x14ac:dyDescent="0.2">
      <c r="B113" s="815" t="s">
        <v>1159</v>
      </c>
      <c r="C113" s="833">
        <f>VLOOKUP(B109,'All. 13'!$B$24:$E$42,4,0)</f>
        <v>10000</v>
      </c>
      <c r="P113" s="464"/>
    </row>
    <row r="114" spans="2:16" outlineLevel="1" x14ac:dyDescent="0.2">
      <c r="B114" s="122"/>
      <c r="C114" s="152"/>
      <c r="P114" s="464"/>
    </row>
    <row r="115" spans="2:16" outlineLevel="1" x14ac:dyDescent="0.2">
      <c r="B115" s="122" t="str">
        <f>"RI debito verso fornitori per "&amp;B109</f>
        <v>RI debito verso fornitori per IT</v>
      </c>
      <c r="C115" s="147"/>
      <c r="D115" s="73">
        <f>+C113</f>
        <v>10000</v>
      </c>
      <c r="E115" s="73">
        <f t="shared" ref="E115:O115" si="23">+D118</f>
        <v>15453.333333333332</v>
      </c>
      <c r="F115" s="73">
        <f t="shared" si="23"/>
        <v>15453.333333333332</v>
      </c>
      <c r="G115" s="73">
        <f t="shared" si="23"/>
        <v>15453.333333333332</v>
      </c>
      <c r="H115" s="73">
        <f t="shared" si="23"/>
        <v>15453.333333333332</v>
      </c>
      <c r="I115" s="73">
        <f t="shared" si="23"/>
        <v>15453.333333333332</v>
      </c>
      <c r="J115" s="73">
        <f t="shared" si="23"/>
        <v>15453.333333333332</v>
      </c>
      <c r="K115" s="73">
        <f t="shared" si="23"/>
        <v>15453.333333333332</v>
      </c>
      <c r="L115" s="73">
        <f t="shared" si="23"/>
        <v>15453.333333333332</v>
      </c>
      <c r="M115" s="73">
        <f t="shared" si="23"/>
        <v>15453.333333333332</v>
      </c>
      <c r="N115" s="73">
        <f t="shared" si="23"/>
        <v>15453.333333333332</v>
      </c>
      <c r="O115" s="73">
        <f t="shared" si="23"/>
        <v>15453.333333333332</v>
      </c>
      <c r="P115" s="464"/>
    </row>
    <row r="116" spans="2:16" outlineLevel="1" x14ac:dyDescent="0.2">
      <c r="B116" s="131" t="s">
        <v>1160</v>
      </c>
      <c r="C116" s="152"/>
      <c r="D116" s="73">
        <f>D$15*(1+'All. 13'!$C$20)</f>
        <v>15453.333333333332</v>
      </c>
      <c r="E116" s="73">
        <f>E$15*(1+'All. 13'!$C$20)</f>
        <v>15453.333333333332</v>
      </c>
      <c r="F116" s="73">
        <f>F$15*(1+'All. 13'!$C$20)</f>
        <v>15453.333333333332</v>
      </c>
      <c r="G116" s="73">
        <f>G$15*(1+'All. 13'!$C$20)</f>
        <v>15453.333333333332</v>
      </c>
      <c r="H116" s="73">
        <f>H$15*(1+'All. 13'!$C$20)</f>
        <v>15453.333333333332</v>
      </c>
      <c r="I116" s="73">
        <f>I$15*(1+'All. 13'!$C$20)</f>
        <v>15453.333333333332</v>
      </c>
      <c r="J116" s="73">
        <f>J$15*(1+'All. 13'!$C$20)</f>
        <v>15453.333333333332</v>
      </c>
      <c r="K116" s="73">
        <f>K$15*(1+'All. 13'!$C$20)</f>
        <v>15453.333333333332</v>
      </c>
      <c r="L116" s="73">
        <f>L$15*(1+'All. 13'!$C$20)</f>
        <v>15453.333333333332</v>
      </c>
      <c r="M116" s="73">
        <f>M$15*(1+'All. 13'!$C$20)</f>
        <v>15453.333333333332</v>
      </c>
      <c r="N116" s="73">
        <f>N$15*(1+'All. 13'!$C$20)</f>
        <v>15453.333333333332</v>
      </c>
      <c r="O116" s="73">
        <f>O$15*(1+'All. 13'!$C$20)</f>
        <v>15453.333333333332</v>
      </c>
      <c r="P116" s="464"/>
    </row>
    <row r="117" spans="2:16" outlineLevel="1" x14ac:dyDescent="0.2">
      <c r="B117" s="131" t="s">
        <v>1154</v>
      </c>
      <c r="C117" s="152"/>
      <c r="D117" s="73">
        <f>+D115</f>
        <v>10000</v>
      </c>
      <c r="E117" s="73">
        <f t="shared" ref="E117:O117" si="24">+D116</f>
        <v>15453.333333333332</v>
      </c>
      <c r="F117" s="73">
        <f t="shared" si="24"/>
        <v>15453.333333333332</v>
      </c>
      <c r="G117" s="73">
        <f t="shared" si="24"/>
        <v>15453.333333333332</v>
      </c>
      <c r="H117" s="73">
        <f t="shared" si="24"/>
        <v>15453.333333333332</v>
      </c>
      <c r="I117" s="73">
        <f t="shared" si="24"/>
        <v>15453.333333333332</v>
      </c>
      <c r="J117" s="73">
        <f t="shared" si="24"/>
        <v>15453.333333333332</v>
      </c>
      <c r="K117" s="73">
        <f t="shared" si="24"/>
        <v>15453.333333333332</v>
      </c>
      <c r="L117" s="73">
        <f t="shared" si="24"/>
        <v>15453.333333333332</v>
      </c>
      <c r="M117" s="73">
        <f t="shared" si="24"/>
        <v>15453.333333333332</v>
      </c>
      <c r="N117" s="73">
        <f t="shared" si="24"/>
        <v>15453.333333333332</v>
      </c>
      <c r="O117" s="73">
        <f t="shared" si="24"/>
        <v>15453.333333333332</v>
      </c>
      <c r="P117" s="464"/>
    </row>
    <row r="118" spans="2:16" ht="18" outlineLevel="1" thickBot="1" x14ac:dyDescent="0.25">
      <c r="B118" s="834" t="str">
        <f>"RF debito verso fornitori per "&amp;B109</f>
        <v>RF debito verso fornitori per IT</v>
      </c>
      <c r="C118" s="822"/>
      <c r="D118" s="830">
        <f t="shared" ref="D118:O118" si="25">D115+D116-D117</f>
        <v>15453.333333333332</v>
      </c>
      <c r="E118" s="830">
        <f t="shared" si="25"/>
        <v>15453.333333333332</v>
      </c>
      <c r="F118" s="830">
        <f t="shared" si="25"/>
        <v>15453.333333333332</v>
      </c>
      <c r="G118" s="830">
        <f t="shared" si="25"/>
        <v>15453.333333333332</v>
      </c>
      <c r="H118" s="830">
        <f t="shared" si="25"/>
        <v>15453.333333333332</v>
      </c>
      <c r="I118" s="830">
        <f t="shared" si="25"/>
        <v>15453.333333333332</v>
      </c>
      <c r="J118" s="830">
        <f t="shared" si="25"/>
        <v>15453.333333333332</v>
      </c>
      <c r="K118" s="830">
        <f t="shared" si="25"/>
        <v>15453.333333333332</v>
      </c>
      <c r="L118" s="830">
        <f t="shared" si="25"/>
        <v>15453.333333333332</v>
      </c>
      <c r="M118" s="830">
        <f t="shared" si="25"/>
        <v>15453.333333333332</v>
      </c>
      <c r="N118" s="830">
        <f t="shared" si="25"/>
        <v>15453.333333333332</v>
      </c>
      <c r="O118" s="830">
        <f t="shared" si="25"/>
        <v>15453.333333333332</v>
      </c>
      <c r="P118" s="464"/>
    </row>
    <row r="119" spans="2:16" outlineLevel="1" x14ac:dyDescent="0.2">
      <c r="B119" s="122"/>
      <c r="C119" s="152"/>
      <c r="P119" s="464"/>
    </row>
    <row r="120" spans="2:16" outlineLevel="1" x14ac:dyDescent="0.2">
      <c r="B120" s="818" t="str">
        <f>+B16</f>
        <v>Postali/telefono</v>
      </c>
      <c r="C120" s="152"/>
      <c r="P120" s="464"/>
    </row>
    <row r="121" spans="2:16" outlineLevel="1" x14ac:dyDescent="0.2">
      <c r="B121" s="415"/>
      <c r="C121" s="152"/>
      <c r="P121" s="464"/>
    </row>
    <row r="122" spans="2:16" outlineLevel="1" x14ac:dyDescent="0.2">
      <c r="B122" s="415" t="s">
        <v>1158</v>
      </c>
      <c r="C122" s="152" t="str">
        <f>VLOOKUP(B120,'All. 13'!$B$24:$E$42,2,0)</f>
        <v>mensile competenza</v>
      </c>
      <c r="P122" s="464"/>
    </row>
    <row r="123" spans="2:16" outlineLevel="1" x14ac:dyDescent="0.2">
      <c r="B123" s="415" t="s">
        <v>1123</v>
      </c>
      <c r="C123" s="418">
        <f>VLOOKUP(B120,'All. 13'!$B$24:$E$42,3,0)</f>
        <v>30</v>
      </c>
      <c r="P123" s="464"/>
    </row>
    <row r="124" spans="2:16" outlineLevel="1" x14ac:dyDescent="0.2">
      <c r="B124" s="815" t="s">
        <v>1159</v>
      </c>
      <c r="C124" s="833">
        <f>VLOOKUP(B120,'All. 13'!$B$24:$E$42,4,0)</f>
        <v>5000</v>
      </c>
      <c r="P124" s="464"/>
    </row>
    <row r="125" spans="2:16" outlineLevel="1" x14ac:dyDescent="0.2">
      <c r="B125" s="122"/>
      <c r="C125" s="152"/>
      <c r="P125" s="464"/>
    </row>
    <row r="126" spans="2:16" outlineLevel="1" x14ac:dyDescent="0.2">
      <c r="B126" s="122" t="str">
        <f>"RI debito verso fornitori per "&amp;B120</f>
        <v>RI debito verso fornitori per Postali/telefono</v>
      </c>
      <c r="C126" s="147"/>
      <c r="D126" s="73">
        <f>+C124</f>
        <v>5000</v>
      </c>
      <c r="E126" s="73">
        <f t="shared" ref="E126:O126" si="26">+D129</f>
        <v>5896.6666666666661</v>
      </c>
      <c r="F126" s="73">
        <f t="shared" si="26"/>
        <v>5896.6666666666661</v>
      </c>
      <c r="G126" s="73">
        <f t="shared" si="26"/>
        <v>5896.6666666666661</v>
      </c>
      <c r="H126" s="73">
        <f t="shared" si="26"/>
        <v>5896.6666666666661</v>
      </c>
      <c r="I126" s="73">
        <f t="shared" si="26"/>
        <v>5896.6666666666661</v>
      </c>
      <c r="J126" s="73">
        <f t="shared" si="26"/>
        <v>5896.6666666666661</v>
      </c>
      <c r="K126" s="73">
        <f t="shared" si="26"/>
        <v>5896.6666666666661</v>
      </c>
      <c r="L126" s="73">
        <f t="shared" si="26"/>
        <v>5896.6666666666661</v>
      </c>
      <c r="M126" s="73">
        <f t="shared" si="26"/>
        <v>5896.6666666666661</v>
      </c>
      <c r="N126" s="73">
        <f t="shared" si="26"/>
        <v>5896.6666666666661</v>
      </c>
      <c r="O126" s="73">
        <f t="shared" si="26"/>
        <v>5896.6666666666661</v>
      </c>
      <c r="P126" s="464"/>
    </row>
    <row r="127" spans="2:16" outlineLevel="1" x14ac:dyDescent="0.2">
      <c r="B127" s="131" t="s">
        <v>1160</v>
      </c>
      <c r="C127" s="152"/>
      <c r="D127" s="73">
        <f>D$16*(1+'All. 13'!$C$20)</f>
        <v>5896.6666666666661</v>
      </c>
      <c r="E127" s="73">
        <f>E$16*(1+'All. 13'!$C$20)</f>
        <v>5896.6666666666661</v>
      </c>
      <c r="F127" s="73">
        <f>F$16*(1+'All. 13'!$C$20)</f>
        <v>5896.6666666666661</v>
      </c>
      <c r="G127" s="73">
        <f>G$16*(1+'All. 13'!$C$20)</f>
        <v>5896.6666666666661</v>
      </c>
      <c r="H127" s="73">
        <f>H$16*(1+'All. 13'!$C$20)</f>
        <v>5896.6666666666661</v>
      </c>
      <c r="I127" s="73">
        <f>I$16*(1+'All. 13'!$C$20)</f>
        <v>5896.6666666666661</v>
      </c>
      <c r="J127" s="73">
        <f>J$16*(1+'All. 13'!$C$20)</f>
        <v>5896.6666666666661</v>
      </c>
      <c r="K127" s="73">
        <f>K$16*(1+'All. 13'!$C$20)</f>
        <v>5896.6666666666661</v>
      </c>
      <c r="L127" s="73">
        <f>L$16*(1+'All. 13'!$C$20)</f>
        <v>5896.6666666666661</v>
      </c>
      <c r="M127" s="73">
        <f>M$16*(1+'All. 13'!$C$20)</f>
        <v>5896.6666666666661</v>
      </c>
      <c r="N127" s="73">
        <f>N$16*(1+'All. 13'!$C$20)</f>
        <v>5896.6666666666661</v>
      </c>
      <c r="O127" s="73">
        <f>O$16*(1+'All. 13'!$C$20)</f>
        <v>5896.6666666666661</v>
      </c>
      <c r="P127" s="464"/>
    </row>
    <row r="128" spans="2:16" outlineLevel="1" x14ac:dyDescent="0.2">
      <c r="B128" s="131" t="s">
        <v>1154</v>
      </c>
      <c r="C128" s="152"/>
      <c r="D128" s="73">
        <f>+D126</f>
        <v>5000</v>
      </c>
      <c r="E128" s="73">
        <f t="shared" ref="E128:O128" si="27">+D127</f>
        <v>5896.6666666666661</v>
      </c>
      <c r="F128" s="73">
        <f t="shared" si="27"/>
        <v>5896.6666666666661</v>
      </c>
      <c r="G128" s="73">
        <f t="shared" si="27"/>
        <v>5896.6666666666661</v>
      </c>
      <c r="H128" s="73">
        <f t="shared" si="27"/>
        <v>5896.6666666666661</v>
      </c>
      <c r="I128" s="73">
        <f t="shared" si="27"/>
        <v>5896.6666666666661</v>
      </c>
      <c r="J128" s="73">
        <f t="shared" si="27"/>
        <v>5896.6666666666661</v>
      </c>
      <c r="K128" s="73">
        <f t="shared" si="27"/>
        <v>5896.6666666666661</v>
      </c>
      <c r="L128" s="73">
        <f t="shared" si="27"/>
        <v>5896.6666666666661</v>
      </c>
      <c r="M128" s="73">
        <f t="shared" si="27"/>
        <v>5896.6666666666661</v>
      </c>
      <c r="N128" s="73">
        <f t="shared" si="27"/>
        <v>5896.6666666666661</v>
      </c>
      <c r="O128" s="73">
        <f t="shared" si="27"/>
        <v>5896.6666666666661</v>
      </c>
      <c r="P128" s="464"/>
    </row>
    <row r="129" spans="2:16" ht="18" outlineLevel="1" thickBot="1" x14ac:dyDescent="0.25">
      <c r="B129" s="834" t="str">
        <f>"RF debito verso fornitori per "&amp;B120</f>
        <v>RF debito verso fornitori per Postali/telefono</v>
      </c>
      <c r="C129" s="822"/>
      <c r="D129" s="830">
        <f t="shared" ref="D129:O129" si="28">D126+D127-D128</f>
        <v>5896.6666666666661</v>
      </c>
      <c r="E129" s="830">
        <f t="shared" si="28"/>
        <v>5896.6666666666661</v>
      </c>
      <c r="F129" s="830">
        <f t="shared" si="28"/>
        <v>5896.6666666666661</v>
      </c>
      <c r="G129" s="830">
        <f t="shared" si="28"/>
        <v>5896.6666666666661</v>
      </c>
      <c r="H129" s="830">
        <f t="shared" si="28"/>
        <v>5896.6666666666661</v>
      </c>
      <c r="I129" s="830">
        <f t="shared" si="28"/>
        <v>5896.6666666666661</v>
      </c>
      <c r="J129" s="830">
        <f t="shared" si="28"/>
        <v>5896.6666666666661</v>
      </c>
      <c r="K129" s="830">
        <f t="shared" si="28"/>
        <v>5896.6666666666661</v>
      </c>
      <c r="L129" s="830">
        <f t="shared" si="28"/>
        <v>5896.6666666666661</v>
      </c>
      <c r="M129" s="830">
        <f t="shared" si="28"/>
        <v>5896.6666666666661</v>
      </c>
      <c r="N129" s="830">
        <f t="shared" si="28"/>
        <v>5896.6666666666661</v>
      </c>
      <c r="O129" s="830">
        <f t="shared" si="28"/>
        <v>5896.6666666666661</v>
      </c>
      <c r="P129" s="464"/>
    </row>
    <row r="130" spans="2:16" outlineLevel="1" x14ac:dyDescent="0.2">
      <c r="B130" s="122"/>
      <c r="C130" s="152"/>
      <c r="P130" s="464"/>
    </row>
    <row r="131" spans="2:16" outlineLevel="1" x14ac:dyDescent="0.2">
      <c r="B131" s="818" t="str">
        <f>+B17</f>
        <v>Auto</v>
      </c>
      <c r="C131" s="152"/>
      <c r="P131" s="464"/>
    </row>
    <row r="132" spans="2:16" outlineLevel="1" x14ac:dyDescent="0.2">
      <c r="B132" s="415"/>
      <c r="C132" s="152"/>
      <c r="P132" s="464"/>
    </row>
    <row r="133" spans="2:16" outlineLevel="1" x14ac:dyDescent="0.2">
      <c r="B133" s="415" t="s">
        <v>1158</v>
      </c>
      <c r="C133" s="152" t="str">
        <f>VLOOKUP(B131,'All. 13'!$B$24:$E$42,2,0)</f>
        <v>mensile competenza</v>
      </c>
      <c r="P133" s="464"/>
    </row>
    <row r="134" spans="2:16" outlineLevel="1" x14ac:dyDescent="0.2">
      <c r="B134" s="415" t="s">
        <v>1123</v>
      </c>
      <c r="C134" s="418">
        <f>VLOOKUP(B131,'All. 13'!$B$24:$E$42,3,0)</f>
        <v>30</v>
      </c>
      <c r="P134" s="464"/>
    </row>
    <row r="135" spans="2:16" outlineLevel="1" x14ac:dyDescent="0.2">
      <c r="B135" s="815" t="s">
        <v>1159</v>
      </c>
      <c r="C135" s="833">
        <f>VLOOKUP(B131,'All. 13'!$B$24:$E$42,4,0)</f>
        <v>5000</v>
      </c>
      <c r="P135" s="464"/>
    </row>
    <row r="136" spans="2:16" outlineLevel="1" x14ac:dyDescent="0.2">
      <c r="B136" s="122"/>
      <c r="C136" s="152"/>
      <c r="P136" s="464"/>
    </row>
    <row r="137" spans="2:16" outlineLevel="1" x14ac:dyDescent="0.2">
      <c r="B137" s="122" t="str">
        <f>"RI debito verso fornitori per "&amp;B131</f>
        <v>RI debito verso fornitori per Auto</v>
      </c>
      <c r="C137" s="147"/>
      <c r="D137" s="73">
        <f>+C135</f>
        <v>5000</v>
      </c>
      <c r="E137" s="73">
        <f t="shared" ref="E137:O137" si="29">+D140</f>
        <v>3558.3333333333321</v>
      </c>
      <c r="F137" s="73">
        <f t="shared" si="29"/>
        <v>3558.3333333333321</v>
      </c>
      <c r="G137" s="73">
        <f t="shared" si="29"/>
        <v>3558.3333333333321</v>
      </c>
      <c r="H137" s="73">
        <f t="shared" si="29"/>
        <v>3558.3333333333321</v>
      </c>
      <c r="I137" s="73">
        <f t="shared" si="29"/>
        <v>3558.3333333333321</v>
      </c>
      <c r="J137" s="73">
        <f t="shared" si="29"/>
        <v>3558.3333333333321</v>
      </c>
      <c r="K137" s="73">
        <f t="shared" si="29"/>
        <v>3558.3333333333321</v>
      </c>
      <c r="L137" s="73">
        <f t="shared" si="29"/>
        <v>3558.3333333333321</v>
      </c>
      <c r="M137" s="73">
        <f t="shared" si="29"/>
        <v>3558.3333333333321</v>
      </c>
      <c r="N137" s="73">
        <f t="shared" si="29"/>
        <v>3558.3333333333321</v>
      </c>
      <c r="O137" s="73">
        <f t="shared" si="29"/>
        <v>3558.3333333333321</v>
      </c>
      <c r="P137" s="464"/>
    </row>
    <row r="138" spans="2:16" outlineLevel="1" x14ac:dyDescent="0.2">
      <c r="B138" s="131" t="s">
        <v>1160</v>
      </c>
      <c r="C138" s="152"/>
      <c r="D138" s="73">
        <f>D$17*(1+'All. 13'!$C$20)</f>
        <v>3558.333333333333</v>
      </c>
      <c r="E138" s="73">
        <f>E$17*(1+'All. 13'!$C$20)</f>
        <v>3558.333333333333</v>
      </c>
      <c r="F138" s="73">
        <f>F$17*(1+'All. 13'!$C$20)</f>
        <v>3558.333333333333</v>
      </c>
      <c r="G138" s="73">
        <f>G$17*(1+'All. 13'!$C$20)</f>
        <v>3558.333333333333</v>
      </c>
      <c r="H138" s="73">
        <f>H$17*(1+'All. 13'!$C$20)</f>
        <v>3558.333333333333</v>
      </c>
      <c r="I138" s="73">
        <f>I$17*(1+'All. 13'!$C$20)</f>
        <v>3558.333333333333</v>
      </c>
      <c r="J138" s="73">
        <f>J$17*(1+'All. 13'!$C$20)</f>
        <v>3558.333333333333</v>
      </c>
      <c r="K138" s="73">
        <f>K$17*(1+'All. 13'!$C$20)</f>
        <v>3558.333333333333</v>
      </c>
      <c r="L138" s="73">
        <f>L$17*(1+'All. 13'!$C$20)</f>
        <v>3558.333333333333</v>
      </c>
      <c r="M138" s="73">
        <f>M$17*(1+'All. 13'!$C$20)</f>
        <v>3558.333333333333</v>
      </c>
      <c r="N138" s="73">
        <f>N$17*(1+'All. 13'!$C$20)</f>
        <v>3558.333333333333</v>
      </c>
      <c r="O138" s="73">
        <f>O$17*(1+'All. 13'!$C$20)</f>
        <v>3558.333333333333</v>
      </c>
      <c r="P138" s="464"/>
    </row>
    <row r="139" spans="2:16" outlineLevel="1" x14ac:dyDescent="0.2">
      <c r="B139" s="131" t="s">
        <v>1154</v>
      </c>
      <c r="C139" s="152"/>
      <c r="D139" s="73">
        <f>+D137</f>
        <v>5000</v>
      </c>
      <c r="E139" s="73">
        <f t="shared" ref="E139:O139" si="30">+D138</f>
        <v>3558.333333333333</v>
      </c>
      <c r="F139" s="73">
        <f t="shared" si="30"/>
        <v>3558.333333333333</v>
      </c>
      <c r="G139" s="73">
        <f t="shared" si="30"/>
        <v>3558.333333333333</v>
      </c>
      <c r="H139" s="73">
        <f t="shared" si="30"/>
        <v>3558.333333333333</v>
      </c>
      <c r="I139" s="73">
        <f t="shared" si="30"/>
        <v>3558.333333333333</v>
      </c>
      <c r="J139" s="73">
        <f t="shared" si="30"/>
        <v>3558.333333333333</v>
      </c>
      <c r="K139" s="73">
        <f t="shared" si="30"/>
        <v>3558.333333333333</v>
      </c>
      <c r="L139" s="73">
        <f t="shared" si="30"/>
        <v>3558.333333333333</v>
      </c>
      <c r="M139" s="73">
        <f t="shared" si="30"/>
        <v>3558.333333333333</v>
      </c>
      <c r="N139" s="73">
        <f t="shared" si="30"/>
        <v>3558.333333333333</v>
      </c>
      <c r="O139" s="73">
        <f t="shared" si="30"/>
        <v>3558.333333333333</v>
      </c>
      <c r="P139" s="464"/>
    </row>
    <row r="140" spans="2:16" ht="18" outlineLevel="1" thickBot="1" x14ac:dyDescent="0.25">
      <c r="B140" s="834" t="str">
        <f>"RF debito verso fornitori per "&amp;B131</f>
        <v>RF debito verso fornitori per Auto</v>
      </c>
      <c r="C140" s="822"/>
      <c r="D140" s="830">
        <f t="shared" ref="D140:O140" si="31">D137+D138-D139</f>
        <v>3558.3333333333321</v>
      </c>
      <c r="E140" s="830">
        <f t="shared" si="31"/>
        <v>3558.3333333333321</v>
      </c>
      <c r="F140" s="830">
        <f t="shared" si="31"/>
        <v>3558.3333333333321</v>
      </c>
      <c r="G140" s="830">
        <f t="shared" si="31"/>
        <v>3558.3333333333321</v>
      </c>
      <c r="H140" s="830">
        <f t="shared" si="31"/>
        <v>3558.3333333333321</v>
      </c>
      <c r="I140" s="830">
        <f t="shared" si="31"/>
        <v>3558.3333333333321</v>
      </c>
      <c r="J140" s="830">
        <f t="shared" si="31"/>
        <v>3558.3333333333321</v>
      </c>
      <c r="K140" s="830">
        <f t="shared" si="31"/>
        <v>3558.3333333333321</v>
      </c>
      <c r="L140" s="830">
        <f t="shared" si="31"/>
        <v>3558.3333333333321</v>
      </c>
      <c r="M140" s="830">
        <f t="shared" si="31"/>
        <v>3558.3333333333321</v>
      </c>
      <c r="N140" s="830">
        <f t="shared" si="31"/>
        <v>3558.3333333333321</v>
      </c>
      <c r="O140" s="830">
        <f t="shared" si="31"/>
        <v>3558.3333333333321</v>
      </c>
      <c r="P140" s="464"/>
    </row>
    <row r="141" spans="2:16" x14ac:dyDescent="0.2">
      <c r="B141" s="122"/>
      <c r="C141" s="152"/>
      <c r="P141" s="464"/>
    </row>
    <row r="142" spans="2:16" x14ac:dyDescent="0.2">
      <c r="B142" s="122"/>
      <c r="C142" s="152"/>
      <c r="P142" s="464"/>
    </row>
    <row r="143" spans="2:16" outlineLevel="1" x14ac:dyDescent="0.2">
      <c r="B143" s="122"/>
      <c r="C143" s="152"/>
      <c r="P143" s="464"/>
    </row>
    <row r="144" spans="2:16" outlineLevel="1" x14ac:dyDescent="0.2">
      <c r="B144" s="818" t="str">
        <f>+B18</f>
        <v>Forza motrice</v>
      </c>
      <c r="C144" s="152"/>
      <c r="P144" s="464"/>
    </row>
    <row r="145" spans="2:16" outlineLevel="1" x14ac:dyDescent="0.2">
      <c r="B145" s="415"/>
      <c r="C145" s="152"/>
      <c r="P145" s="464"/>
    </row>
    <row r="146" spans="2:16" outlineLevel="1" x14ac:dyDescent="0.2">
      <c r="B146" s="415" t="s">
        <v>1158</v>
      </c>
      <c r="C146" s="152" t="str">
        <f>VLOOKUP(B144,'All. 13'!$B$24:$E$42,2,0)</f>
        <v>bimestrale posticipata</v>
      </c>
      <c r="P146" s="464"/>
    </row>
    <row r="147" spans="2:16" outlineLevel="1" x14ac:dyDescent="0.2">
      <c r="B147" s="415" t="s">
        <v>1123</v>
      </c>
      <c r="C147" s="418">
        <f>VLOOKUP(B144,'All. 13'!$B$24:$E$42,3,0)</f>
        <v>30</v>
      </c>
      <c r="P147" s="464"/>
    </row>
    <row r="148" spans="2:16" outlineLevel="1" x14ac:dyDescent="0.2">
      <c r="B148" s="815" t="s">
        <v>1159</v>
      </c>
      <c r="C148" s="833">
        <f>VLOOKUP(B144,'All. 13'!$B$24:$E$42,4,0)</f>
        <v>0</v>
      </c>
      <c r="P148" s="464"/>
    </row>
    <row r="149" spans="2:16" outlineLevel="1" x14ac:dyDescent="0.2">
      <c r="B149" s="122"/>
      <c r="C149" s="152"/>
      <c r="P149" s="464"/>
    </row>
    <row r="150" spans="2:16" outlineLevel="1" x14ac:dyDescent="0.2">
      <c r="B150" s="122" t="str">
        <f>"RI debito verso fornitori per "&amp;B144</f>
        <v>RI debito verso fornitori per Forza motrice</v>
      </c>
      <c r="C150" s="147"/>
      <c r="D150" s="73">
        <f>+C148</f>
        <v>0</v>
      </c>
      <c r="E150" s="73">
        <f t="shared" ref="E150:O150" si="32">+D153</f>
        <v>0</v>
      </c>
      <c r="F150" s="73">
        <f t="shared" si="32"/>
        <v>62328.237509186962</v>
      </c>
      <c r="G150" s="73">
        <f t="shared" si="32"/>
        <v>0</v>
      </c>
      <c r="H150" s="73">
        <f t="shared" si="32"/>
        <v>70745.404410352829</v>
      </c>
      <c r="I150" s="73">
        <f t="shared" si="32"/>
        <v>0</v>
      </c>
      <c r="J150" s="73">
        <f t="shared" si="32"/>
        <v>68834.768787518333</v>
      </c>
      <c r="K150" s="73">
        <f t="shared" si="32"/>
        <v>0</v>
      </c>
      <c r="L150" s="73">
        <f t="shared" si="32"/>
        <v>51298.702934743516</v>
      </c>
      <c r="M150" s="73">
        <f t="shared" si="32"/>
        <v>0</v>
      </c>
      <c r="N150" s="73">
        <f t="shared" si="32"/>
        <v>63130.942731702613</v>
      </c>
      <c r="O150" s="73">
        <f t="shared" si="32"/>
        <v>0</v>
      </c>
      <c r="P150" s="464"/>
    </row>
    <row r="151" spans="2:16" outlineLevel="1" x14ac:dyDescent="0.2">
      <c r="B151" s="131" t="s">
        <v>1160</v>
      </c>
      <c r="C151" s="152"/>
      <c r="D151" s="73"/>
      <c r="E151" s="73">
        <f>SUM(D18:E18)*(1+'All. 13'!$C$20)</f>
        <v>62328.237509186962</v>
      </c>
      <c r="F151" s="73"/>
      <c r="G151" s="73">
        <f>SUM(F18:G18)*(1+'All. 13'!$C$20)</f>
        <v>70745.404410352829</v>
      </c>
      <c r="H151" s="73"/>
      <c r="I151" s="73">
        <f>SUM(H18:I18)*(1+'All. 13'!$C$20)</f>
        <v>68834.768787518333</v>
      </c>
      <c r="J151" s="73"/>
      <c r="K151" s="73">
        <f>SUM(J18:K18)*(1+'All. 13'!$C$20)</f>
        <v>51298.702934743516</v>
      </c>
      <c r="L151" s="73"/>
      <c r="M151" s="73">
        <f>SUM(L18:M18)*(1+'All. 13'!$C$20)</f>
        <v>63130.942731702613</v>
      </c>
      <c r="N151" s="73"/>
      <c r="O151" s="73">
        <f>SUM(N18:O18)*(1+'All. 13'!$C$20)</f>
        <v>49661.943626495711</v>
      </c>
      <c r="P151" s="464"/>
    </row>
    <row r="152" spans="2:16" outlineLevel="1" x14ac:dyDescent="0.2">
      <c r="B152" s="131" t="s">
        <v>1154</v>
      </c>
      <c r="C152" s="152"/>
      <c r="D152" s="73">
        <f>+D150</f>
        <v>0</v>
      </c>
      <c r="E152" s="73">
        <f t="shared" ref="E152:O152" si="33">+D151</f>
        <v>0</v>
      </c>
      <c r="F152" s="73">
        <f t="shared" si="33"/>
        <v>62328.237509186962</v>
      </c>
      <c r="G152" s="73">
        <f t="shared" si="33"/>
        <v>0</v>
      </c>
      <c r="H152" s="73">
        <f t="shared" si="33"/>
        <v>70745.404410352829</v>
      </c>
      <c r="I152" s="73">
        <f t="shared" si="33"/>
        <v>0</v>
      </c>
      <c r="J152" s="73">
        <f t="shared" si="33"/>
        <v>68834.768787518333</v>
      </c>
      <c r="K152" s="73">
        <f t="shared" si="33"/>
        <v>0</v>
      </c>
      <c r="L152" s="73">
        <f t="shared" si="33"/>
        <v>51298.702934743516</v>
      </c>
      <c r="M152" s="73">
        <f t="shared" si="33"/>
        <v>0</v>
      </c>
      <c r="N152" s="73">
        <f t="shared" si="33"/>
        <v>63130.942731702613</v>
      </c>
      <c r="O152" s="73">
        <f t="shared" si="33"/>
        <v>0</v>
      </c>
      <c r="P152" s="464"/>
    </row>
    <row r="153" spans="2:16" ht="18" outlineLevel="1" thickBot="1" x14ac:dyDescent="0.25">
      <c r="B153" s="834" t="str">
        <f>"RF debito verso fornitori per "&amp;B144</f>
        <v>RF debito verso fornitori per Forza motrice</v>
      </c>
      <c r="C153" s="822"/>
      <c r="D153" s="830">
        <f t="shared" ref="D153:O153" si="34">D150+D151-D152</f>
        <v>0</v>
      </c>
      <c r="E153" s="830">
        <f t="shared" si="34"/>
        <v>62328.237509186962</v>
      </c>
      <c r="F153" s="830">
        <f t="shared" si="34"/>
        <v>0</v>
      </c>
      <c r="G153" s="830">
        <f t="shared" si="34"/>
        <v>70745.404410352829</v>
      </c>
      <c r="H153" s="830">
        <f t="shared" si="34"/>
        <v>0</v>
      </c>
      <c r="I153" s="830">
        <f t="shared" si="34"/>
        <v>68834.768787518333</v>
      </c>
      <c r="J153" s="830">
        <f t="shared" si="34"/>
        <v>0</v>
      </c>
      <c r="K153" s="830">
        <f t="shared" si="34"/>
        <v>51298.702934743516</v>
      </c>
      <c r="L153" s="830">
        <f t="shared" si="34"/>
        <v>0</v>
      </c>
      <c r="M153" s="830">
        <f t="shared" si="34"/>
        <v>63130.942731702613</v>
      </c>
      <c r="N153" s="830">
        <f t="shared" si="34"/>
        <v>0</v>
      </c>
      <c r="O153" s="830">
        <f t="shared" si="34"/>
        <v>49661.943626495711</v>
      </c>
      <c r="P153" s="464"/>
    </row>
    <row r="154" spans="2:16" outlineLevel="1" x14ac:dyDescent="0.2">
      <c r="B154" s="122"/>
      <c r="C154" s="152"/>
      <c r="P154" s="464"/>
    </row>
    <row r="155" spans="2:16" outlineLevel="1" x14ac:dyDescent="0.2">
      <c r="B155" s="122" t="str">
        <f>"RI ratei passivi per "&amp;B144</f>
        <v>RI ratei passivi per Forza motrice</v>
      </c>
      <c r="C155" s="147"/>
      <c r="D155" s="73">
        <f>+C153</f>
        <v>0</v>
      </c>
      <c r="E155" s="73">
        <f t="shared" ref="E155:O155" si="35">+D158</f>
        <v>24069.280887603691</v>
      </c>
      <c r="F155" s="73">
        <f t="shared" si="35"/>
        <v>0</v>
      </c>
      <c r="G155" s="73">
        <f t="shared" si="35"/>
        <v>30107.080879598518</v>
      </c>
      <c r="H155" s="73">
        <f t="shared" si="35"/>
        <v>0</v>
      </c>
      <c r="I155" s="73">
        <f t="shared" si="35"/>
        <v>26906.609841038524</v>
      </c>
      <c r="J155" s="73">
        <f t="shared" si="35"/>
        <v>0</v>
      </c>
      <c r="K155" s="73">
        <f t="shared" si="35"/>
        <v>25948.845275221345</v>
      </c>
      <c r="L155" s="73">
        <f t="shared" si="35"/>
        <v>0</v>
      </c>
      <c r="M155" s="73">
        <f t="shared" si="35"/>
        <v>26875.958657003313</v>
      </c>
      <c r="N155" s="73">
        <f t="shared" si="35"/>
        <v>0</v>
      </c>
      <c r="O155" s="73">
        <f t="shared" si="35"/>
        <v>24607.239284854291</v>
      </c>
      <c r="P155" s="464"/>
    </row>
    <row r="156" spans="2:16" outlineLevel="1" x14ac:dyDescent="0.2">
      <c r="B156" s="131" t="s">
        <v>1161</v>
      </c>
      <c r="C156" s="152"/>
      <c r="D156" s="73">
        <f t="shared" ref="D156:O156" si="36">D18</f>
        <v>24069.280887603691</v>
      </c>
      <c r="E156" s="73">
        <f t="shared" si="36"/>
        <v>27019.438382221684</v>
      </c>
      <c r="F156" s="73">
        <f t="shared" si="36"/>
        <v>30107.080879598518</v>
      </c>
      <c r="G156" s="73">
        <f t="shared" si="36"/>
        <v>27880.95552233003</v>
      </c>
      <c r="H156" s="73">
        <f t="shared" si="36"/>
        <v>26906.609841038524</v>
      </c>
      <c r="I156" s="73">
        <f t="shared" si="36"/>
        <v>29515.331788074865</v>
      </c>
      <c r="J156" s="73">
        <f t="shared" si="36"/>
        <v>25948.845275221345</v>
      </c>
      <c r="K156" s="73">
        <f t="shared" si="36"/>
        <v>16099.271884404487</v>
      </c>
      <c r="L156" s="73">
        <f t="shared" si="36"/>
        <v>26875.958657003313</v>
      </c>
      <c r="M156" s="73">
        <f t="shared" si="36"/>
        <v>24870.715713244728</v>
      </c>
      <c r="N156" s="73">
        <f t="shared" si="36"/>
        <v>24607.239284854291</v>
      </c>
      <c r="O156" s="73">
        <f t="shared" si="36"/>
        <v>16099.271884404487</v>
      </c>
      <c r="P156" s="464"/>
    </row>
    <row r="157" spans="2:16" outlineLevel="1" x14ac:dyDescent="0.2">
      <c r="B157" s="131" t="s">
        <v>1162</v>
      </c>
      <c r="C157" s="152"/>
      <c r="D157" s="73">
        <f>D151/(1+'All. 13'!$C$20)</f>
        <v>0</v>
      </c>
      <c r="E157" s="73">
        <f>E151/(1+'All. 13'!$C$20)</f>
        <v>51088.719269825378</v>
      </c>
      <c r="F157" s="73">
        <f>F151/(1+'All. 13'!$C$20)</f>
        <v>0</v>
      </c>
      <c r="G157" s="73">
        <f>G151/(1+'All. 13'!$C$20)</f>
        <v>57988.036401928548</v>
      </c>
      <c r="H157" s="73">
        <f>H151/(1+'All. 13'!$C$20)</f>
        <v>0</v>
      </c>
      <c r="I157" s="73">
        <f>I151/(1+'All. 13'!$C$20)</f>
        <v>56421.941629113389</v>
      </c>
      <c r="J157" s="73">
        <f>J151/(1+'All. 13'!$C$20)</f>
        <v>0</v>
      </c>
      <c r="K157" s="73">
        <f>K151/(1+'All. 13'!$C$20)</f>
        <v>42048.117159625835</v>
      </c>
      <c r="L157" s="73">
        <f>L151/(1+'All. 13'!$C$20)</f>
        <v>0</v>
      </c>
      <c r="M157" s="73">
        <f>M151/(1+'All. 13'!$C$20)</f>
        <v>51746.674370248045</v>
      </c>
      <c r="N157" s="73">
        <f>N151/(1+'All. 13'!$C$20)</f>
        <v>0</v>
      </c>
      <c r="O157" s="73">
        <f>O151/(1+'All. 13'!$C$20)</f>
        <v>40706.511169258782</v>
      </c>
      <c r="P157" s="464"/>
    </row>
    <row r="158" spans="2:16" ht="18" outlineLevel="1" thickBot="1" x14ac:dyDescent="0.25">
      <c r="B158" s="834" t="str">
        <f>"RF ratei passivi per "&amp;B144</f>
        <v>RF ratei passivi per Forza motrice</v>
      </c>
      <c r="C158" s="822"/>
      <c r="D158" s="830">
        <f t="shared" ref="D158:O158" si="37">D155+D156-D157</f>
        <v>24069.280887603691</v>
      </c>
      <c r="E158" s="830">
        <f t="shared" si="37"/>
        <v>0</v>
      </c>
      <c r="F158" s="830">
        <f t="shared" si="37"/>
        <v>30107.080879598518</v>
      </c>
      <c r="G158" s="830">
        <f t="shared" si="37"/>
        <v>0</v>
      </c>
      <c r="H158" s="830">
        <f t="shared" si="37"/>
        <v>26906.609841038524</v>
      </c>
      <c r="I158" s="830">
        <f t="shared" si="37"/>
        <v>0</v>
      </c>
      <c r="J158" s="830">
        <f t="shared" si="37"/>
        <v>25948.845275221345</v>
      </c>
      <c r="K158" s="830">
        <f t="shared" si="37"/>
        <v>0</v>
      </c>
      <c r="L158" s="830">
        <f t="shared" si="37"/>
        <v>26875.958657003313</v>
      </c>
      <c r="M158" s="830">
        <f t="shared" si="37"/>
        <v>0</v>
      </c>
      <c r="N158" s="830">
        <f t="shared" si="37"/>
        <v>24607.239284854291</v>
      </c>
      <c r="O158" s="830">
        <f t="shared" si="37"/>
        <v>0</v>
      </c>
      <c r="P158" s="464"/>
    </row>
    <row r="159" spans="2:16" outlineLevel="1" x14ac:dyDescent="0.2">
      <c r="B159" s="122"/>
      <c r="C159" s="152"/>
      <c r="P159" s="464"/>
    </row>
    <row r="160" spans="2:16" outlineLevel="1" x14ac:dyDescent="0.2">
      <c r="B160" s="818" t="str">
        <f>+B20</f>
        <v>Luce</v>
      </c>
      <c r="C160" s="152"/>
      <c r="P160" s="464"/>
    </row>
    <row r="161" spans="2:16" outlineLevel="1" x14ac:dyDescent="0.2">
      <c r="B161" s="415"/>
      <c r="C161" s="152"/>
      <c r="P161" s="464"/>
    </row>
    <row r="162" spans="2:16" outlineLevel="1" x14ac:dyDescent="0.2">
      <c r="B162" s="415" t="s">
        <v>1158</v>
      </c>
      <c r="C162" s="152" t="str">
        <f>VLOOKUP(B160,'All. 13'!$B$24:$E$42,2,0)</f>
        <v>bimestrale posticipta</v>
      </c>
      <c r="P162" s="464"/>
    </row>
    <row r="163" spans="2:16" outlineLevel="1" x14ac:dyDescent="0.2">
      <c r="B163" s="415" t="s">
        <v>1123</v>
      </c>
      <c r="C163" s="418">
        <f>VLOOKUP(B160,'All. 13'!$B$24:$E$42,3,0)</f>
        <v>30</v>
      </c>
      <c r="P163" s="464"/>
    </row>
    <row r="164" spans="2:16" outlineLevel="1" x14ac:dyDescent="0.2">
      <c r="B164" s="815" t="s">
        <v>1159</v>
      </c>
      <c r="C164" s="833">
        <f>VLOOKUP(B160,'All. 13'!$B$24:$E$42,4,0)</f>
        <v>25000</v>
      </c>
      <c r="P164" s="464"/>
    </row>
    <row r="165" spans="2:16" outlineLevel="1" x14ac:dyDescent="0.2">
      <c r="B165" s="122"/>
      <c r="C165" s="152"/>
      <c r="P165" s="464"/>
    </row>
    <row r="166" spans="2:16" outlineLevel="1" x14ac:dyDescent="0.2">
      <c r="B166" s="122" t="str">
        <f>"RI debito verso fornitori per "&amp;B160</f>
        <v>RI debito verso fornitori per Luce</v>
      </c>
      <c r="C166" s="147"/>
      <c r="D166" s="73">
        <f>+C164</f>
        <v>25000</v>
      </c>
      <c r="E166" s="73">
        <f t="shared" ref="E166:O166" si="38">+D169</f>
        <v>0</v>
      </c>
      <c r="F166" s="73">
        <f t="shared" si="38"/>
        <v>24828.790024388323</v>
      </c>
      <c r="G166" s="73">
        <f t="shared" si="38"/>
        <v>0</v>
      </c>
      <c r="H166" s="73">
        <f t="shared" si="38"/>
        <v>27852.155613248367</v>
      </c>
      <c r="I166" s="73">
        <f t="shared" si="38"/>
        <v>0</v>
      </c>
      <c r="J166" s="73">
        <f t="shared" si="38"/>
        <v>27348.261348438362</v>
      </c>
      <c r="K166" s="73">
        <f t="shared" si="38"/>
        <v>0</v>
      </c>
      <c r="L166" s="73">
        <f t="shared" si="38"/>
        <v>22813.212965148294</v>
      </c>
      <c r="M166" s="73">
        <f t="shared" si="38"/>
        <v>0</v>
      </c>
      <c r="N166" s="73">
        <f t="shared" si="38"/>
        <v>27348.261348438362</v>
      </c>
      <c r="O166" s="73">
        <f t="shared" si="38"/>
        <v>0</v>
      </c>
      <c r="P166" s="464"/>
    </row>
    <row r="167" spans="2:16" outlineLevel="1" x14ac:dyDescent="0.2">
      <c r="B167" s="131" t="s">
        <v>1160</v>
      </c>
      <c r="C167" s="152"/>
      <c r="D167" s="73"/>
      <c r="E167" s="73">
        <f>SUM(D19:E20)*(1+'All. 13'!$C$20)</f>
        <v>24828.790024388323</v>
      </c>
      <c r="F167" s="73"/>
      <c r="G167" s="73">
        <f>SUM(F19:G20)*(1+'All. 13'!$C$20)</f>
        <v>27852.155613248367</v>
      </c>
      <c r="H167" s="73"/>
      <c r="I167" s="73">
        <f>SUM(H19:I20)*(1+'All. 13'!$C$20)</f>
        <v>27348.261348438362</v>
      </c>
      <c r="J167" s="73"/>
      <c r="K167" s="73">
        <f>SUM(J19:K20)*(1+'All. 13'!$C$20)</f>
        <v>22813.212965148294</v>
      </c>
      <c r="L167" s="73"/>
      <c r="M167" s="73">
        <f>SUM(L19:M20)*(1+'All. 13'!$C$20)</f>
        <v>27348.261348438362</v>
      </c>
      <c r="N167" s="73"/>
      <c r="O167" s="73">
        <f>SUM(N19:O20)*(1+'All. 13'!$C$20)</f>
        <v>22309.318700338288</v>
      </c>
      <c r="P167" s="464"/>
    </row>
    <row r="168" spans="2:16" outlineLevel="1" x14ac:dyDescent="0.2">
      <c r="B168" s="131" t="s">
        <v>1154</v>
      </c>
      <c r="C168" s="152"/>
      <c r="D168" s="73">
        <f>+D166</f>
        <v>25000</v>
      </c>
      <c r="E168" s="73">
        <f t="shared" ref="E168:O168" si="39">+D167</f>
        <v>0</v>
      </c>
      <c r="F168" s="73">
        <f t="shared" si="39"/>
        <v>24828.790024388323</v>
      </c>
      <c r="G168" s="73">
        <f t="shared" si="39"/>
        <v>0</v>
      </c>
      <c r="H168" s="73">
        <f t="shared" si="39"/>
        <v>27852.155613248367</v>
      </c>
      <c r="I168" s="73">
        <f t="shared" si="39"/>
        <v>0</v>
      </c>
      <c r="J168" s="73">
        <f t="shared" si="39"/>
        <v>27348.261348438362</v>
      </c>
      <c r="K168" s="73">
        <f t="shared" si="39"/>
        <v>0</v>
      </c>
      <c r="L168" s="73">
        <f t="shared" si="39"/>
        <v>22813.212965148294</v>
      </c>
      <c r="M168" s="73">
        <f t="shared" si="39"/>
        <v>0</v>
      </c>
      <c r="N168" s="73">
        <f t="shared" si="39"/>
        <v>27348.261348438362</v>
      </c>
      <c r="O168" s="73">
        <f t="shared" si="39"/>
        <v>0</v>
      </c>
      <c r="P168" s="464"/>
    </row>
    <row r="169" spans="2:16" ht="18" outlineLevel="1" thickBot="1" x14ac:dyDescent="0.25">
      <c r="B169" s="834" t="str">
        <f>"RF debito verso fornitori per "&amp;B160</f>
        <v>RF debito verso fornitori per Luce</v>
      </c>
      <c r="C169" s="822"/>
      <c r="D169" s="830">
        <f t="shared" ref="D169:O169" si="40">D166+D167-D168</f>
        <v>0</v>
      </c>
      <c r="E169" s="830">
        <f t="shared" si="40"/>
        <v>24828.790024388323</v>
      </c>
      <c r="F169" s="830">
        <f t="shared" si="40"/>
        <v>0</v>
      </c>
      <c r="G169" s="830">
        <f t="shared" si="40"/>
        <v>27852.155613248367</v>
      </c>
      <c r="H169" s="830">
        <f t="shared" si="40"/>
        <v>0</v>
      </c>
      <c r="I169" s="830">
        <f t="shared" si="40"/>
        <v>27348.261348438362</v>
      </c>
      <c r="J169" s="830">
        <f t="shared" si="40"/>
        <v>0</v>
      </c>
      <c r="K169" s="830">
        <f t="shared" si="40"/>
        <v>22813.212965148294</v>
      </c>
      <c r="L169" s="830">
        <f t="shared" si="40"/>
        <v>0</v>
      </c>
      <c r="M169" s="830">
        <f t="shared" si="40"/>
        <v>27348.261348438362</v>
      </c>
      <c r="N169" s="830">
        <f t="shared" si="40"/>
        <v>0</v>
      </c>
      <c r="O169" s="830">
        <f t="shared" si="40"/>
        <v>22309.318700338288</v>
      </c>
      <c r="P169" s="464"/>
    </row>
    <row r="170" spans="2:16" outlineLevel="1" x14ac:dyDescent="0.2">
      <c r="B170" s="122"/>
      <c r="C170" s="152"/>
      <c r="P170" s="464"/>
    </row>
    <row r="171" spans="2:16" outlineLevel="1" x14ac:dyDescent="0.2">
      <c r="B171" s="122" t="str">
        <f>"RI ratei passivi per "&amp;B160</f>
        <v>RI ratei passivi per Luce</v>
      </c>
      <c r="C171" s="147"/>
      <c r="D171" s="73">
        <f>+C169</f>
        <v>0</v>
      </c>
      <c r="E171" s="73">
        <f t="shared" ref="E171:O171" si="41">+D174</f>
        <v>9762.7055306427501</v>
      </c>
      <c r="F171" s="73">
        <f t="shared" si="41"/>
        <v>0</v>
      </c>
      <c r="G171" s="73">
        <f t="shared" si="41"/>
        <v>11827.845960191959</v>
      </c>
      <c r="H171" s="73">
        <f t="shared" si="41"/>
        <v>0</v>
      </c>
      <c r="I171" s="73">
        <f t="shared" si="41"/>
        <v>11001.789788372276</v>
      </c>
      <c r="J171" s="73">
        <f t="shared" si="41"/>
        <v>0</v>
      </c>
      <c r="K171" s="73">
        <f t="shared" si="41"/>
        <v>11414.817874282116</v>
      </c>
      <c r="L171" s="73">
        <f t="shared" si="41"/>
        <v>0</v>
      </c>
      <c r="M171" s="73">
        <f t="shared" si="41"/>
        <v>11414.817874282116</v>
      </c>
      <c r="N171" s="73">
        <f t="shared" si="41"/>
        <v>0</v>
      </c>
      <c r="O171" s="73">
        <f t="shared" si="41"/>
        <v>11001.789788372276</v>
      </c>
      <c r="P171" s="464"/>
    </row>
    <row r="172" spans="2:16" outlineLevel="1" x14ac:dyDescent="0.2">
      <c r="B172" s="131" t="s">
        <v>1161</v>
      </c>
      <c r="C172" s="152"/>
      <c r="D172" s="73">
        <f>D20+D19</f>
        <v>9762.7055306427501</v>
      </c>
      <c r="E172" s="73">
        <f>E20+E19</f>
        <v>10588.761702462434</v>
      </c>
      <c r="F172" s="73">
        <f t="shared" ref="F172:O172" si="42">F20+F19</f>
        <v>11827.845960191959</v>
      </c>
      <c r="G172" s="73">
        <f t="shared" si="42"/>
        <v>11001.789788372276</v>
      </c>
      <c r="H172" s="73">
        <f t="shared" si="42"/>
        <v>11001.789788372276</v>
      </c>
      <c r="I172" s="73">
        <f t="shared" si="42"/>
        <v>11414.817874282116</v>
      </c>
      <c r="J172" s="73">
        <f t="shared" si="42"/>
        <v>11414.817874282116</v>
      </c>
      <c r="K172" s="73">
        <f t="shared" si="42"/>
        <v>7284.5370151836987</v>
      </c>
      <c r="L172" s="73">
        <f t="shared" si="42"/>
        <v>11414.817874282116</v>
      </c>
      <c r="M172" s="73">
        <f t="shared" si="42"/>
        <v>11001.789788372276</v>
      </c>
      <c r="N172" s="73">
        <f t="shared" si="42"/>
        <v>11001.789788372276</v>
      </c>
      <c r="O172" s="73">
        <f t="shared" si="42"/>
        <v>7284.5370151836987</v>
      </c>
      <c r="P172" s="464"/>
    </row>
    <row r="173" spans="2:16" outlineLevel="1" x14ac:dyDescent="0.2">
      <c r="B173" s="131" t="s">
        <v>1162</v>
      </c>
      <c r="C173" s="152"/>
      <c r="D173" s="73">
        <f>D167/(1+'All. 13'!$C$20)</f>
        <v>0</v>
      </c>
      <c r="E173" s="73">
        <f>E167/(1+'All. 13'!$C$20)</f>
        <v>20351.467233105184</v>
      </c>
      <c r="F173" s="73">
        <f>F167/(1+'All. 13'!$C$20)</f>
        <v>0</v>
      </c>
      <c r="G173" s="73">
        <f>G167/(1+'All. 13'!$C$20)</f>
        <v>22829.635748564237</v>
      </c>
      <c r="H173" s="73">
        <f>H167/(1+'All. 13'!$C$20)</f>
        <v>0</v>
      </c>
      <c r="I173" s="73">
        <f>I167/(1+'All. 13'!$C$20)</f>
        <v>22416.607662654395</v>
      </c>
      <c r="J173" s="73">
        <f>J167/(1+'All. 13'!$C$20)</f>
        <v>0</v>
      </c>
      <c r="K173" s="73">
        <f>K167/(1+'All. 13'!$C$20)</f>
        <v>18699.354889465816</v>
      </c>
      <c r="L173" s="73">
        <f>L167/(1+'All. 13'!$C$20)</f>
        <v>0</v>
      </c>
      <c r="M173" s="73">
        <f>M167/(1+'All. 13'!$C$20)</f>
        <v>22416.607662654395</v>
      </c>
      <c r="N173" s="73">
        <f>N167/(1+'All. 13'!$C$20)</f>
        <v>0</v>
      </c>
      <c r="O173" s="73">
        <f>O167/(1+'All. 13'!$C$20)</f>
        <v>18286.326803555974</v>
      </c>
      <c r="P173" s="464"/>
    </row>
    <row r="174" spans="2:16" ht="18" outlineLevel="1" thickBot="1" x14ac:dyDescent="0.25">
      <c r="B174" s="834" t="str">
        <f>"RF ratei passivi per "&amp;B160</f>
        <v>RF ratei passivi per Luce</v>
      </c>
      <c r="C174" s="822"/>
      <c r="D174" s="830">
        <f t="shared" ref="D174:O174" si="43">D171+D172-D173</f>
        <v>9762.7055306427501</v>
      </c>
      <c r="E174" s="830">
        <f t="shared" si="43"/>
        <v>0</v>
      </c>
      <c r="F174" s="830">
        <f t="shared" si="43"/>
        <v>11827.845960191959</v>
      </c>
      <c r="G174" s="830">
        <f t="shared" si="43"/>
        <v>0</v>
      </c>
      <c r="H174" s="830">
        <f t="shared" si="43"/>
        <v>11001.789788372276</v>
      </c>
      <c r="I174" s="830">
        <f t="shared" si="43"/>
        <v>0</v>
      </c>
      <c r="J174" s="830">
        <f t="shared" si="43"/>
        <v>11414.817874282116</v>
      </c>
      <c r="K174" s="830">
        <f t="shared" si="43"/>
        <v>0</v>
      </c>
      <c r="L174" s="830">
        <f t="shared" si="43"/>
        <v>11414.817874282116</v>
      </c>
      <c r="M174" s="830">
        <f t="shared" si="43"/>
        <v>0</v>
      </c>
      <c r="N174" s="830">
        <f t="shared" si="43"/>
        <v>11001.789788372276</v>
      </c>
      <c r="O174" s="830">
        <f t="shared" si="43"/>
        <v>0</v>
      </c>
      <c r="P174" s="464"/>
    </row>
    <row r="175" spans="2:16" outlineLevel="1" x14ac:dyDescent="0.2">
      <c r="B175" s="122"/>
      <c r="C175" s="152"/>
      <c r="P175" s="464"/>
    </row>
    <row r="176" spans="2:16" outlineLevel="1" x14ac:dyDescent="0.2">
      <c r="B176" s="818" t="str">
        <f>+B22</f>
        <v>Riscaldamento</v>
      </c>
      <c r="C176" s="152"/>
      <c r="P176" s="464"/>
    </row>
    <row r="177" spans="2:16" outlineLevel="1" x14ac:dyDescent="0.2">
      <c r="B177" s="415"/>
      <c r="C177" s="152"/>
      <c r="P177" s="464"/>
    </row>
    <row r="178" spans="2:16" outlineLevel="1" x14ac:dyDescent="0.2">
      <c r="B178" s="415" t="s">
        <v>1158</v>
      </c>
      <c r="C178" s="152" t="str">
        <f>VLOOKUP(B176,'All. 13'!$B$24:$E$42,2,0)</f>
        <v>bimestrale posticipata</v>
      </c>
      <c r="P178" s="464"/>
    </row>
    <row r="179" spans="2:16" outlineLevel="1" x14ac:dyDescent="0.2">
      <c r="B179" s="415" t="s">
        <v>1123</v>
      </c>
      <c r="C179" s="418">
        <f>VLOOKUP(B176,'All. 13'!$B$24:$E$42,3,0)</f>
        <v>30</v>
      </c>
      <c r="P179" s="464"/>
    </row>
    <row r="180" spans="2:16" outlineLevel="1" x14ac:dyDescent="0.2">
      <c r="B180" s="815" t="s">
        <v>1159</v>
      </c>
      <c r="C180" s="833">
        <f>VLOOKUP(B176,'All. 13'!$B$24:$E$42,4,0)</f>
        <v>30000</v>
      </c>
      <c r="P180" s="464"/>
    </row>
    <row r="181" spans="2:16" outlineLevel="1" x14ac:dyDescent="0.2">
      <c r="B181" s="122"/>
      <c r="C181" s="152"/>
      <c r="P181" s="464"/>
    </row>
    <row r="182" spans="2:16" outlineLevel="1" x14ac:dyDescent="0.2">
      <c r="B182" s="122" t="str">
        <f>"RI debito verso fornitori per "&amp;B176</f>
        <v>RI debito verso fornitori per Riscaldamento</v>
      </c>
      <c r="C182" s="147"/>
      <c r="D182" s="73">
        <f>+C180</f>
        <v>30000</v>
      </c>
      <c r="E182" s="73">
        <f t="shared" ref="E182:O182" si="44">+D185</f>
        <v>0</v>
      </c>
      <c r="F182" s="73">
        <f t="shared" si="44"/>
        <v>29794.548029265989</v>
      </c>
      <c r="G182" s="73">
        <f t="shared" si="44"/>
        <v>0</v>
      </c>
      <c r="H182" s="73">
        <f t="shared" si="44"/>
        <v>33422.586735898047</v>
      </c>
      <c r="I182" s="73">
        <f t="shared" si="44"/>
        <v>0</v>
      </c>
      <c r="J182" s="73">
        <f t="shared" si="44"/>
        <v>32817.913618126033</v>
      </c>
      <c r="K182" s="73">
        <f t="shared" si="44"/>
        <v>0</v>
      </c>
      <c r="L182" s="73">
        <f t="shared" si="44"/>
        <v>27375.855558177958</v>
      </c>
      <c r="M182" s="73">
        <f t="shared" si="44"/>
        <v>0</v>
      </c>
      <c r="N182" s="73">
        <f t="shared" si="44"/>
        <v>32817.913618126033</v>
      </c>
      <c r="O182" s="73">
        <f t="shared" si="44"/>
        <v>0</v>
      </c>
      <c r="P182" s="464"/>
    </row>
    <row r="183" spans="2:16" outlineLevel="1" x14ac:dyDescent="0.2">
      <c r="B183" s="131" t="s">
        <v>1160</v>
      </c>
      <c r="C183" s="152"/>
      <c r="D183" s="73"/>
      <c r="E183" s="73">
        <f>SUM(D21:E22)*(1+'All. 13'!$C$20)</f>
        <v>29794.548029265989</v>
      </c>
      <c r="F183" s="73"/>
      <c r="G183" s="73">
        <f>SUM(F21:G22)*(1+'All. 13'!$C$20)</f>
        <v>33422.586735898047</v>
      </c>
      <c r="H183" s="73"/>
      <c r="I183" s="73">
        <f>SUM(H21:I22)*(1+'All. 13'!$C$20)</f>
        <v>32817.913618126033</v>
      </c>
      <c r="J183" s="73"/>
      <c r="K183" s="73">
        <f>SUM(J21:K22)*(1+'All. 13'!$C$20)</f>
        <v>27375.855558177958</v>
      </c>
      <c r="L183" s="73"/>
      <c r="M183" s="73">
        <f>SUM(L21:M22)*(1+'All. 13'!$C$20)</f>
        <v>32817.913618126033</v>
      </c>
      <c r="N183" s="73"/>
      <c r="O183" s="73">
        <f>SUM(N21:O22)*(1+'All. 13'!$C$20)</f>
        <v>26771.182440405948</v>
      </c>
      <c r="P183" s="464"/>
    </row>
    <row r="184" spans="2:16" outlineLevel="1" x14ac:dyDescent="0.2">
      <c r="B184" s="131" t="s">
        <v>1154</v>
      </c>
      <c r="C184" s="152"/>
      <c r="D184" s="73">
        <f>+D182</f>
        <v>30000</v>
      </c>
      <c r="E184" s="73">
        <f t="shared" ref="E184:O184" si="45">+D183</f>
        <v>0</v>
      </c>
      <c r="F184" s="73">
        <f t="shared" si="45"/>
        <v>29794.548029265989</v>
      </c>
      <c r="G184" s="73">
        <f t="shared" si="45"/>
        <v>0</v>
      </c>
      <c r="H184" s="73">
        <f t="shared" si="45"/>
        <v>33422.586735898047</v>
      </c>
      <c r="I184" s="73">
        <f t="shared" si="45"/>
        <v>0</v>
      </c>
      <c r="J184" s="73">
        <f t="shared" si="45"/>
        <v>32817.913618126033</v>
      </c>
      <c r="K184" s="73">
        <f t="shared" si="45"/>
        <v>0</v>
      </c>
      <c r="L184" s="73">
        <f t="shared" si="45"/>
        <v>27375.855558177958</v>
      </c>
      <c r="M184" s="73">
        <f t="shared" si="45"/>
        <v>0</v>
      </c>
      <c r="N184" s="73">
        <f t="shared" si="45"/>
        <v>32817.913618126033</v>
      </c>
      <c r="O184" s="73">
        <f t="shared" si="45"/>
        <v>0</v>
      </c>
      <c r="P184" s="464"/>
    </row>
    <row r="185" spans="2:16" ht="18" outlineLevel="1" thickBot="1" x14ac:dyDescent="0.25">
      <c r="B185" s="834" t="str">
        <f>"RF debito verso fornitori per "&amp;B176</f>
        <v>RF debito verso fornitori per Riscaldamento</v>
      </c>
      <c r="C185" s="822"/>
      <c r="D185" s="830">
        <f t="shared" ref="D185:O185" si="46">D182+D183-D184</f>
        <v>0</v>
      </c>
      <c r="E185" s="830">
        <f t="shared" si="46"/>
        <v>29794.548029265989</v>
      </c>
      <c r="F185" s="830">
        <f t="shared" si="46"/>
        <v>0</v>
      </c>
      <c r="G185" s="830">
        <f t="shared" si="46"/>
        <v>33422.586735898047</v>
      </c>
      <c r="H185" s="830">
        <f t="shared" si="46"/>
        <v>0</v>
      </c>
      <c r="I185" s="830">
        <f t="shared" si="46"/>
        <v>32817.913618126033</v>
      </c>
      <c r="J185" s="830">
        <f t="shared" si="46"/>
        <v>0</v>
      </c>
      <c r="K185" s="830">
        <f t="shared" si="46"/>
        <v>27375.855558177958</v>
      </c>
      <c r="L185" s="830">
        <f t="shared" si="46"/>
        <v>0</v>
      </c>
      <c r="M185" s="830">
        <f t="shared" si="46"/>
        <v>32817.913618126033</v>
      </c>
      <c r="N185" s="830">
        <f t="shared" si="46"/>
        <v>0</v>
      </c>
      <c r="O185" s="830">
        <f t="shared" si="46"/>
        <v>26771.182440405948</v>
      </c>
      <c r="P185" s="464"/>
    </row>
    <row r="186" spans="2:16" outlineLevel="1" x14ac:dyDescent="0.2">
      <c r="B186" s="122"/>
      <c r="C186" s="152"/>
      <c r="P186" s="464"/>
    </row>
    <row r="187" spans="2:16" outlineLevel="1" x14ac:dyDescent="0.2">
      <c r="B187" s="122" t="str">
        <f>"RI ratei passivi per "&amp;B176</f>
        <v>RI ratei passivi per Riscaldamento</v>
      </c>
      <c r="C187" s="147"/>
      <c r="D187" s="73">
        <f>+C185</f>
        <v>0</v>
      </c>
      <c r="E187" s="73">
        <f t="shared" ref="E187:O187" si="47">+D190</f>
        <v>11715.246636771299</v>
      </c>
      <c r="F187" s="73">
        <f t="shared" si="47"/>
        <v>0</v>
      </c>
      <c r="G187" s="73">
        <f t="shared" si="47"/>
        <v>14193.415152230351</v>
      </c>
      <c r="H187" s="73">
        <f t="shared" si="47"/>
        <v>0</v>
      </c>
      <c r="I187" s="73">
        <f t="shared" si="47"/>
        <v>13202.14774604673</v>
      </c>
      <c r="J187" s="73">
        <f t="shared" si="47"/>
        <v>0</v>
      </c>
      <c r="K187" s="73">
        <f t="shared" si="47"/>
        <v>13697.78144913854</v>
      </c>
      <c r="L187" s="73">
        <f t="shared" si="47"/>
        <v>0</v>
      </c>
      <c r="M187" s="73">
        <f t="shared" si="47"/>
        <v>13697.78144913854</v>
      </c>
      <c r="N187" s="73">
        <f t="shared" si="47"/>
        <v>0</v>
      </c>
      <c r="O187" s="73">
        <f t="shared" si="47"/>
        <v>13202.14774604673</v>
      </c>
      <c r="P187" s="464"/>
    </row>
    <row r="188" spans="2:16" outlineLevel="1" x14ac:dyDescent="0.2">
      <c r="B188" s="131" t="s">
        <v>1161</v>
      </c>
      <c r="C188" s="152"/>
      <c r="D188" s="73">
        <f>D22+D21</f>
        <v>11715.246636771299</v>
      </c>
      <c r="E188" s="73">
        <f t="shared" ref="E188:O188" si="48">E22+E21</f>
        <v>12706.514042954919</v>
      </c>
      <c r="F188" s="73">
        <f t="shared" si="48"/>
        <v>14193.415152230351</v>
      </c>
      <c r="G188" s="73">
        <f t="shared" si="48"/>
        <v>13202.14774604673</v>
      </c>
      <c r="H188" s="73">
        <f t="shared" si="48"/>
        <v>13202.14774604673</v>
      </c>
      <c r="I188" s="73">
        <f t="shared" si="48"/>
        <v>13697.78144913854</v>
      </c>
      <c r="J188" s="73">
        <f t="shared" si="48"/>
        <v>13697.78144913854</v>
      </c>
      <c r="K188" s="73">
        <f t="shared" si="48"/>
        <v>8741.4444182204388</v>
      </c>
      <c r="L188" s="73">
        <f t="shared" si="48"/>
        <v>13697.78144913854</v>
      </c>
      <c r="M188" s="73">
        <f t="shared" si="48"/>
        <v>13202.14774604673</v>
      </c>
      <c r="N188" s="73">
        <f t="shared" si="48"/>
        <v>13202.14774604673</v>
      </c>
      <c r="O188" s="73">
        <f t="shared" si="48"/>
        <v>8741.4444182204388</v>
      </c>
      <c r="P188" s="464"/>
    </row>
    <row r="189" spans="2:16" outlineLevel="1" x14ac:dyDescent="0.2">
      <c r="B189" s="131" t="s">
        <v>1162</v>
      </c>
      <c r="C189" s="152"/>
      <c r="D189" s="73">
        <f>D183/(1+'All. 13'!$C$20)</f>
        <v>0</v>
      </c>
      <c r="E189" s="73">
        <f>E183/(1+'All. 13'!$C$20)</f>
        <v>24421.76067972622</v>
      </c>
      <c r="F189" s="73">
        <f>F183/(1+'All. 13'!$C$20)</f>
        <v>0</v>
      </c>
      <c r="G189" s="73">
        <f>G183/(1+'All. 13'!$C$20)</f>
        <v>27395.562898277087</v>
      </c>
      <c r="H189" s="73">
        <f>H183/(1+'All. 13'!$C$20)</f>
        <v>0</v>
      </c>
      <c r="I189" s="73">
        <f>I183/(1+'All. 13'!$C$20)</f>
        <v>26899.929195185272</v>
      </c>
      <c r="J189" s="73">
        <f>J183/(1+'All. 13'!$C$20)</f>
        <v>0</v>
      </c>
      <c r="K189" s="73">
        <f>K183/(1+'All. 13'!$C$20)</f>
        <v>22439.225867358982</v>
      </c>
      <c r="L189" s="73">
        <f>L183/(1+'All. 13'!$C$20)</f>
        <v>0</v>
      </c>
      <c r="M189" s="73">
        <f>M183/(1+'All. 13'!$C$20)</f>
        <v>26899.929195185272</v>
      </c>
      <c r="N189" s="73">
        <f>N183/(1+'All. 13'!$C$20)</f>
        <v>0</v>
      </c>
      <c r="O189" s="73">
        <f>O183/(1+'All. 13'!$C$20)</f>
        <v>21943.592164267171</v>
      </c>
      <c r="P189" s="464"/>
    </row>
    <row r="190" spans="2:16" ht="18" outlineLevel="1" thickBot="1" x14ac:dyDescent="0.25">
      <c r="B190" s="834" t="str">
        <f>"RF ratei passivi per "&amp;B176</f>
        <v>RF ratei passivi per Riscaldamento</v>
      </c>
      <c r="C190" s="822"/>
      <c r="D190" s="830">
        <f t="shared" ref="D190:O190" si="49">D187+D188-D189</f>
        <v>11715.246636771299</v>
      </c>
      <c r="E190" s="830">
        <f t="shared" si="49"/>
        <v>0</v>
      </c>
      <c r="F190" s="830">
        <f t="shared" si="49"/>
        <v>14193.415152230351</v>
      </c>
      <c r="G190" s="830">
        <f t="shared" si="49"/>
        <v>0</v>
      </c>
      <c r="H190" s="830">
        <f t="shared" si="49"/>
        <v>13202.14774604673</v>
      </c>
      <c r="I190" s="830">
        <f t="shared" si="49"/>
        <v>0</v>
      </c>
      <c r="J190" s="830">
        <f t="shared" si="49"/>
        <v>13697.78144913854</v>
      </c>
      <c r="K190" s="830">
        <f t="shared" si="49"/>
        <v>0</v>
      </c>
      <c r="L190" s="830">
        <f t="shared" si="49"/>
        <v>13697.78144913854</v>
      </c>
      <c r="M190" s="830">
        <f t="shared" si="49"/>
        <v>0</v>
      </c>
      <c r="N190" s="830">
        <f t="shared" si="49"/>
        <v>13202.14774604673</v>
      </c>
      <c r="O190" s="830">
        <f t="shared" si="49"/>
        <v>0</v>
      </c>
      <c r="P190" s="464"/>
    </row>
    <row r="191" spans="2:16" outlineLevel="1" x14ac:dyDescent="0.2">
      <c r="B191" s="122"/>
      <c r="C191" s="152"/>
      <c r="P191" s="464"/>
    </row>
    <row r="192" spans="2:16" outlineLevel="1" x14ac:dyDescent="0.2">
      <c r="B192" s="818" t="str">
        <f>+B23</f>
        <v>Premi alla clientela</v>
      </c>
      <c r="C192" s="152"/>
      <c r="P192" s="464"/>
    </row>
    <row r="193" spans="2:16" outlineLevel="1" x14ac:dyDescent="0.2">
      <c r="B193" s="415"/>
      <c r="C193" s="152"/>
      <c r="P193" s="464"/>
    </row>
    <row r="194" spans="2:16" outlineLevel="1" x14ac:dyDescent="0.2">
      <c r="B194" s="415" t="s">
        <v>1158</v>
      </c>
      <c r="C194" s="152" t="str">
        <f>VLOOKUP(B192,'All. 13'!$B$24:$E$42,2,0)</f>
        <v>trimestrale posticipata</v>
      </c>
      <c r="P194" s="464"/>
    </row>
    <row r="195" spans="2:16" outlineLevel="1" x14ac:dyDescent="0.2">
      <c r="B195" s="415" t="s">
        <v>1123</v>
      </c>
      <c r="C195" s="418">
        <f>VLOOKUP(B192,'All. 13'!$B$24:$E$42,3,0)</f>
        <v>30</v>
      </c>
      <c r="P195" s="464"/>
    </row>
    <row r="196" spans="2:16" outlineLevel="1" x14ac:dyDescent="0.2">
      <c r="B196" s="815" t="s">
        <v>1159</v>
      </c>
      <c r="C196" s="833">
        <f>VLOOKUP(B192,'All. 13'!$B$24:$E$42,4,0)</f>
        <v>400000</v>
      </c>
      <c r="P196" s="464"/>
    </row>
    <row r="197" spans="2:16" outlineLevel="1" x14ac:dyDescent="0.2">
      <c r="B197" s="122"/>
      <c r="C197" s="152"/>
      <c r="P197" s="464"/>
    </row>
    <row r="198" spans="2:16" outlineLevel="1" x14ac:dyDescent="0.2">
      <c r="B198" s="122" t="str">
        <f>"RI debito verso fornitori per "&amp;B192</f>
        <v>RI debito verso fornitori per Premi alla clientela</v>
      </c>
      <c r="C198" s="147"/>
      <c r="D198" s="73">
        <f>+C196</f>
        <v>400000</v>
      </c>
      <c r="E198" s="73">
        <f t="shared" ref="E198:O198" si="50">+D201</f>
        <v>0</v>
      </c>
      <c r="F198" s="73">
        <f t="shared" si="50"/>
        <v>0</v>
      </c>
      <c r="G198" s="73">
        <f t="shared" si="50"/>
        <v>602173.49383256014</v>
      </c>
      <c r="H198" s="73">
        <f t="shared" si="50"/>
        <v>0</v>
      </c>
      <c r="I198" s="73">
        <f t="shared" si="50"/>
        <v>0</v>
      </c>
      <c r="J198" s="73">
        <f t="shared" si="50"/>
        <v>631788.58369317767</v>
      </c>
      <c r="K198" s="73">
        <f t="shared" si="50"/>
        <v>0</v>
      </c>
      <c r="L198" s="73">
        <f t="shared" si="50"/>
        <v>0</v>
      </c>
      <c r="M198" s="73">
        <f t="shared" si="50"/>
        <v>552815.01073153049</v>
      </c>
      <c r="N198" s="73">
        <f t="shared" si="50"/>
        <v>0</v>
      </c>
      <c r="O198" s="73">
        <f t="shared" si="50"/>
        <v>0</v>
      </c>
      <c r="P198" s="464"/>
    </row>
    <row r="199" spans="2:16" outlineLevel="1" x14ac:dyDescent="0.2">
      <c r="B199" s="131" t="s">
        <v>1160</v>
      </c>
      <c r="C199" s="152"/>
      <c r="D199" s="73"/>
      <c r="E199" s="73"/>
      <c r="F199" s="73">
        <f>SUM(D23:F23)*(1+'All. 13'!$C$20)</f>
        <v>602173.49383256014</v>
      </c>
      <c r="G199" s="73"/>
      <c r="H199" s="73"/>
      <c r="I199" s="73">
        <f>SUM(G23:I23)*(1+'All. 13'!$C$20)</f>
        <v>631788.58369317767</v>
      </c>
      <c r="J199" s="73"/>
      <c r="K199" s="73"/>
      <c r="L199" s="73">
        <f>SUM(J23:L23)*(1+'All. 13'!$C$20)</f>
        <v>552815.01073153049</v>
      </c>
      <c r="M199" s="73"/>
      <c r="N199" s="73"/>
      <c r="O199" s="73">
        <f>SUM(M23:O23)*(1+'All. 13'!$C$20)</f>
        <v>533071.61749111873</v>
      </c>
      <c r="P199" s="464"/>
    </row>
    <row r="200" spans="2:16" outlineLevel="1" x14ac:dyDescent="0.2">
      <c r="B200" s="131" t="s">
        <v>1154</v>
      </c>
      <c r="C200" s="152"/>
      <c r="D200" s="73">
        <f>+D198</f>
        <v>400000</v>
      </c>
      <c r="E200" s="73">
        <f t="shared" ref="E200:O200" si="51">+D199</f>
        <v>0</v>
      </c>
      <c r="F200" s="73">
        <f t="shared" si="51"/>
        <v>0</v>
      </c>
      <c r="G200" s="73">
        <f t="shared" si="51"/>
        <v>602173.49383256014</v>
      </c>
      <c r="H200" s="73">
        <f t="shared" si="51"/>
        <v>0</v>
      </c>
      <c r="I200" s="73">
        <f t="shared" si="51"/>
        <v>0</v>
      </c>
      <c r="J200" s="73">
        <f t="shared" si="51"/>
        <v>631788.58369317767</v>
      </c>
      <c r="K200" s="73">
        <f t="shared" si="51"/>
        <v>0</v>
      </c>
      <c r="L200" s="73">
        <f t="shared" si="51"/>
        <v>0</v>
      </c>
      <c r="M200" s="73">
        <f t="shared" si="51"/>
        <v>552815.01073153049</v>
      </c>
      <c r="N200" s="73">
        <f t="shared" si="51"/>
        <v>0</v>
      </c>
      <c r="O200" s="73">
        <f t="shared" si="51"/>
        <v>0</v>
      </c>
      <c r="P200" s="464"/>
    </row>
    <row r="201" spans="2:16" ht="18" outlineLevel="1" thickBot="1" x14ac:dyDescent="0.25">
      <c r="B201" s="834" t="str">
        <f>"RF debito verso fornitori per "&amp;B192</f>
        <v>RF debito verso fornitori per Premi alla clientela</v>
      </c>
      <c r="C201" s="822"/>
      <c r="D201" s="830">
        <f t="shared" ref="D201:O201" si="52">D198+D199-D200</f>
        <v>0</v>
      </c>
      <c r="E201" s="830">
        <f t="shared" si="52"/>
        <v>0</v>
      </c>
      <c r="F201" s="830">
        <f t="shared" si="52"/>
        <v>602173.49383256014</v>
      </c>
      <c r="G201" s="830">
        <f t="shared" si="52"/>
        <v>0</v>
      </c>
      <c r="H201" s="830">
        <f t="shared" si="52"/>
        <v>0</v>
      </c>
      <c r="I201" s="830">
        <f t="shared" si="52"/>
        <v>631788.58369317767</v>
      </c>
      <c r="J201" s="830">
        <f t="shared" si="52"/>
        <v>0</v>
      </c>
      <c r="K201" s="830">
        <f t="shared" si="52"/>
        <v>0</v>
      </c>
      <c r="L201" s="830">
        <f t="shared" si="52"/>
        <v>552815.01073153049</v>
      </c>
      <c r="M201" s="830">
        <f t="shared" si="52"/>
        <v>0</v>
      </c>
      <c r="N201" s="830">
        <f t="shared" si="52"/>
        <v>0</v>
      </c>
      <c r="O201" s="830">
        <f t="shared" si="52"/>
        <v>533071.61749111873</v>
      </c>
      <c r="P201" s="464"/>
    </row>
    <row r="202" spans="2:16" outlineLevel="1" x14ac:dyDescent="0.2">
      <c r="B202" s="122"/>
      <c r="C202" s="152"/>
      <c r="P202" s="464"/>
    </row>
    <row r="203" spans="2:16" outlineLevel="1" x14ac:dyDescent="0.2">
      <c r="B203" s="122" t="str">
        <f>"RI ratei passivi per "&amp;B192</f>
        <v>RI ratei passivi per Premi alla clientela</v>
      </c>
      <c r="C203" s="147"/>
      <c r="D203" s="73">
        <f>+C201</f>
        <v>0</v>
      </c>
      <c r="E203" s="73">
        <f t="shared" ref="E203:O203" si="53">+D206</f>
        <v>145647.98292107071</v>
      </c>
      <c r="F203" s="73">
        <f t="shared" si="53"/>
        <v>307479.07505559374</v>
      </c>
      <c r="G203" s="73">
        <f t="shared" si="53"/>
        <v>0</v>
      </c>
      <c r="H203" s="73">
        <f t="shared" si="53"/>
        <v>169922.64674124913</v>
      </c>
      <c r="I203" s="73">
        <f t="shared" si="53"/>
        <v>339845.29348249827</v>
      </c>
      <c r="J203" s="73">
        <f t="shared" si="53"/>
        <v>0</v>
      </c>
      <c r="K203" s="73">
        <f t="shared" si="53"/>
        <v>178014.20134797529</v>
      </c>
      <c r="L203" s="73">
        <f t="shared" si="53"/>
        <v>275112.8566286891</v>
      </c>
      <c r="M203" s="73">
        <f t="shared" si="53"/>
        <v>0</v>
      </c>
      <c r="N203" s="73">
        <f t="shared" si="53"/>
        <v>169922.64674124913</v>
      </c>
      <c r="O203" s="73">
        <f t="shared" si="53"/>
        <v>339845.29348249827</v>
      </c>
      <c r="P203" s="464"/>
    </row>
    <row r="204" spans="2:16" outlineLevel="1" x14ac:dyDescent="0.2">
      <c r="B204" s="131" t="s">
        <v>1161</v>
      </c>
      <c r="C204" s="152"/>
      <c r="D204" s="73">
        <f t="shared" ref="D204:O204" si="54">D23</f>
        <v>145647.98292107071</v>
      </c>
      <c r="E204" s="73">
        <f t="shared" si="54"/>
        <v>161831.092134523</v>
      </c>
      <c r="F204" s="73">
        <f t="shared" si="54"/>
        <v>186105.75595470148</v>
      </c>
      <c r="G204" s="73">
        <f t="shared" si="54"/>
        <v>169922.64674124913</v>
      </c>
      <c r="H204" s="73">
        <f t="shared" si="54"/>
        <v>169922.64674124913</v>
      </c>
      <c r="I204" s="73">
        <f t="shared" si="54"/>
        <v>178014.20134797529</v>
      </c>
      <c r="J204" s="73">
        <f t="shared" si="54"/>
        <v>178014.20134797529</v>
      </c>
      <c r="K204" s="73">
        <f t="shared" si="54"/>
        <v>97098.655280713807</v>
      </c>
      <c r="L204" s="73">
        <f t="shared" si="54"/>
        <v>178014.20134797529</v>
      </c>
      <c r="M204" s="73">
        <f t="shared" si="54"/>
        <v>169922.64674124913</v>
      </c>
      <c r="N204" s="73">
        <f t="shared" si="54"/>
        <v>169922.64674124913</v>
      </c>
      <c r="O204" s="73">
        <f t="shared" si="54"/>
        <v>97098.655280713807</v>
      </c>
      <c r="P204" s="464"/>
    </row>
    <row r="205" spans="2:16" outlineLevel="1" x14ac:dyDescent="0.2">
      <c r="B205" s="131" t="s">
        <v>1162</v>
      </c>
      <c r="C205" s="152"/>
      <c r="D205" s="73">
        <f>D199/(1+'All. 13'!$C$20)</f>
        <v>0</v>
      </c>
      <c r="E205" s="73">
        <f>E199/(1+'All. 13'!$C$20)</f>
        <v>0</v>
      </c>
      <c r="F205" s="73">
        <f>F199/(1+'All. 13'!$C$20)</f>
        <v>493584.83101029519</v>
      </c>
      <c r="G205" s="73">
        <f>G199/(1+'All. 13'!$C$20)</f>
        <v>0</v>
      </c>
      <c r="H205" s="73">
        <f>H199/(1+'All. 13'!$C$20)</f>
        <v>0</v>
      </c>
      <c r="I205" s="73">
        <f>I199/(1+'All. 13'!$C$20)</f>
        <v>517859.4948304735</v>
      </c>
      <c r="J205" s="73">
        <f>J199/(1+'All. 13'!$C$20)</f>
        <v>0</v>
      </c>
      <c r="K205" s="73">
        <f>K199/(1+'All. 13'!$C$20)</f>
        <v>0</v>
      </c>
      <c r="L205" s="73">
        <f>L199/(1+'All. 13'!$C$20)</f>
        <v>453127.05797666434</v>
      </c>
      <c r="M205" s="73">
        <f>M199/(1+'All. 13'!$C$20)</f>
        <v>0</v>
      </c>
      <c r="N205" s="73">
        <f>N199/(1+'All. 13'!$C$20)</f>
        <v>0</v>
      </c>
      <c r="O205" s="73">
        <f>O199/(1+'All. 13'!$C$20)</f>
        <v>436943.94876321207</v>
      </c>
      <c r="P205" s="464"/>
    </row>
    <row r="206" spans="2:16" ht="18" outlineLevel="1" thickBot="1" x14ac:dyDescent="0.25">
      <c r="B206" s="834" t="str">
        <f>"RF ratei passivi per "&amp;B192</f>
        <v>RF ratei passivi per Premi alla clientela</v>
      </c>
      <c r="C206" s="822"/>
      <c r="D206" s="830">
        <f t="shared" ref="D206:O206" si="55">D203+D204-D205</f>
        <v>145647.98292107071</v>
      </c>
      <c r="E206" s="830">
        <f t="shared" si="55"/>
        <v>307479.07505559374</v>
      </c>
      <c r="F206" s="830">
        <f t="shared" si="55"/>
        <v>0</v>
      </c>
      <c r="G206" s="830">
        <f t="shared" si="55"/>
        <v>169922.64674124913</v>
      </c>
      <c r="H206" s="830">
        <f t="shared" si="55"/>
        <v>339845.29348249827</v>
      </c>
      <c r="I206" s="830">
        <f t="shared" si="55"/>
        <v>0</v>
      </c>
      <c r="J206" s="830">
        <f t="shared" si="55"/>
        <v>178014.20134797529</v>
      </c>
      <c r="K206" s="830">
        <f t="shared" si="55"/>
        <v>275112.8566286891</v>
      </c>
      <c r="L206" s="830">
        <f t="shared" si="55"/>
        <v>0</v>
      </c>
      <c r="M206" s="830">
        <f t="shared" si="55"/>
        <v>169922.64674124913</v>
      </c>
      <c r="N206" s="830">
        <f t="shared" si="55"/>
        <v>339845.29348249827</v>
      </c>
      <c r="O206" s="830">
        <f t="shared" si="55"/>
        <v>0</v>
      </c>
      <c r="P206" s="464"/>
    </row>
    <row r="207" spans="2:16" outlineLevel="1" x14ac:dyDescent="0.2">
      <c r="B207" s="122"/>
      <c r="C207" s="152"/>
      <c r="P207" s="464"/>
    </row>
    <row r="208" spans="2:16" outlineLevel="1" x14ac:dyDescent="0.2">
      <c r="B208" s="818" t="str">
        <f>+B24</f>
        <v>Collegio sindacale</v>
      </c>
      <c r="C208" s="152"/>
      <c r="P208" s="464"/>
    </row>
    <row r="209" spans="2:16" outlineLevel="1" x14ac:dyDescent="0.2">
      <c r="B209" s="415"/>
      <c r="C209" s="152"/>
      <c r="P209" s="464"/>
    </row>
    <row r="210" spans="2:16" outlineLevel="1" x14ac:dyDescent="0.2">
      <c r="B210" s="415" t="s">
        <v>1158</v>
      </c>
      <c r="C210" s="152" t="str">
        <f>VLOOKUP(B208,'All. 13'!$B$24:$E$42,2,0)</f>
        <v>semestrale posticipata</v>
      </c>
      <c r="P210" s="464"/>
    </row>
    <row r="211" spans="2:16" outlineLevel="1" x14ac:dyDescent="0.2">
      <c r="B211" s="415" t="s">
        <v>1123</v>
      </c>
      <c r="C211" s="418">
        <f>VLOOKUP(B208,'All. 13'!$B$24:$E$42,3,0)</f>
        <v>30</v>
      </c>
      <c r="P211" s="464"/>
    </row>
    <row r="212" spans="2:16" outlineLevel="1" x14ac:dyDescent="0.2">
      <c r="B212" s="815" t="s">
        <v>1159</v>
      </c>
      <c r="C212" s="833">
        <f>VLOOKUP(B208,'All. 13'!$B$24:$E$42,4,0)</f>
        <v>0</v>
      </c>
      <c r="P212" s="464"/>
    </row>
    <row r="213" spans="2:16" outlineLevel="1" x14ac:dyDescent="0.2">
      <c r="B213" s="122"/>
      <c r="C213" s="152"/>
      <c r="P213" s="464"/>
    </row>
    <row r="214" spans="2:16" outlineLevel="1" x14ac:dyDescent="0.2">
      <c r="B214" s="122" t="str">
        <f>"RI debito verso fornitori per "&amp;B208</f>
        <v>RI debito verso fornitori per Collegio sindacale</v>
      </c>
      <c r="C214" s="147"/>
      <c r="D214" s="73">
        <f>+C212</f>
        <v>0</v>
      </c>
      <c r="E214" s="73">
        <f t="shared" ref="E214:O214" si="56">+D217</f>
        <v>0</v>
      </c>
      <c r="F214" s="73">
        <f t="shared" si="56"/>
        <v>0</v>
      </c>
      <c r="G214" s="73">
        <f t="shared" si="56"/>
        <v>0</v>
      </c>
      <c r="H214" s="73">
        <f t="shared" si="56"/>
        <v>0</v>
      </c>
      <c r="I214" s="73">
        <f t="shared" si="56"/>
        <v>0</v>
      </c>
      <c r="J214" s="73">
        <f t="shared" si="56"/>
        <v>33549.999999999993</v>
      </c>
      <c r="K214" s="73">
        <f t="shared" si="56"/>
        <v>0</v>
      </c>
      <c r="L214" s="73">
        <f t="shared" si="56"/>
        <v>0</v>
      </c>
      <c r="M214" s="73">
        <f t="shared" si="56"/>
        <v>0</v>
      </c>
      <c r="N214" s="73">
        <f t="shared" si="56"/>
        <v>0</v>
      </c>
      <c r="O214" s="73">
        <f t="shared" si="56"/>
        <v>0</v>
      </c>
      <c r="P214" s="464"/>
    </row>
    <row r="215" spans="2:16" outlineLevel="1" x14ac:dyDescent="0.2">
      <c r="B215" s="131" t="s">
        <v>1160</v>
      </c>
      <c r="C215" s="152"/>
      <c r="D215" s="73"/>
      <c r="E215" s="73"/>
      <c r="F215" s="73"/>
      <c r="G215" s="73"/>
      <c r="H215" s="73"/>
      <c r="I215" s="73">
        <f>SUM(D24:I24)*(1+'All. 13'!$C$20)</f>
        <v>33549.999999999993</v>
      </c>
      <c r="J215" s="73"/>
      <c r="K215" s="73"/>
      <c r="L215" s="73"/>
      <c r="M215" s="73"/>
      <c r="N215" s="73"/>
      <c r="O215" s="73">
        <f>SUM(J24:O24)*(1+'All. 13'!$C$20)</f>
        <v>33549.999999999993</v>
      </c>
      <c r="P215" s="464"/>
    </row>
    <row r="216" spans="2:16" outlineLevel="1" x14ac:dyDescent="0.2">
      <c r="B216" s="131" t="s">
        <v>1154</v>
      </c>
      <c r="C216" s="152"/>
      <c r="D216" s="73">
        <f>+D214</f>
        <v>0</v>
      </c>
      <c r="E216" s="73">
        <f t="shared" ref="E216:O216" si="57">+D215</f>
        <v>0</v>
      </c>
      <c r="F216" s="73">
        <f t="shared" si="57"/>
        <v>0</v>
      </c>
      <c r="G216" s="73">
        <f t="shared" si="57"/>
        <v>0</v>
      </c>
      <c r="H216" s="73">
        <f t="shared" si="57"/>
        <v>0</v>
      </c>
      <c r="I216" s="73">
        <f t="shared" si="57"/>
        <v>0</v>
      </c>
      <c r="J216" s="73">
        <f t="shared" si="57"/>
        <v>33549.999999999993</v>
      </c>
      <c r="K216" s="73">
        <f t="shared" si="57"/>
        <v>0</v>
      </c>
      <c r="L216" s="73">
        <f t="shared" si="57"/>
        <v>0</v>
      </c>
      <c r="M216" s="73">
        <f t="shared" si="57"/>
        <v>0</v>
      </c>
      <c r="N216" s="73">
        <f t="shared" si="57"/>
        <v>0</v>
      </c>
      <c r="O216" s="73">
        <f t="shared" si="57"/>
        <v>0</v>
      </c>
      <c r="P216" s="464"/>
    </row>
    <row r="217" spans="2:16" ht="18" outlineLevel="1" thickBot="1" x14ac:dyDescent="0.25">
      <c r="B217" s="834" t="str">
        <f>"RF debito verso fornitori per "&amp;B208</f>
        <v>RF debito verso fornitori per Collegio sindacale</v>
      </c>
      <c r="C217" s="822"/>
      <c r="D217" s="830">
        <f t="shared" ref="D217:O217" si="58">D214+D215-D216</f>
        <v>0</v>
      </c>
      <c r="E217" s="830">
        <f t="shared" si="58"/>
        <v>0</v>
      </c>
      <c r="F217" s="830">
        <f t="shared" si="58"/>
        <v>0</v>
      </c>
      <c r="G217" s="830">
        <f t="shared" si="58"/>
        <v>0</v>
      </c>
      <c r="H217" s="830">
        <f t="shared" si="58"/>
        <v>0</v>
      </c>
      <c r="I217" s="830">
        <f t="shared" si="58"/>
        <v>33549.999999999993</v>
      </c>
      <c r="J217" s="830">
        <f t="shared" si="58"/>
        <v>0</v>
      </c>
      <c r="K217" s="830">
        <f t="shared" si="58"/>
        <v>0</v>
      </c>
      <c r="L217" s="830">
        <f t="shared" si="58"/>
        <v>0</v>
      </c>
      <c r="M217" s="830">
        <f t="shared" si="58"/>
        <v>0</v>
      </c>
      <c r="N217" s="830">
        <f t="shared" si="58"/>
        <v>0</v>
      </c>
      <c r="O217" s="830">
        <f t="shared" si="58"/>
        <v>33549.999999999993</v>
      </c>
      <c r="P217" s="464"/>
    </row>
    <row r="218" spans="2:16" outlineLevel="1" x14ac:dyDescent="0.2">
      <c r="B218" s="122"/>
      <c r="C218" s="152"/>
      <c r="P218" s="464"/>
    </row>
    <row r="219" spans="2:16" outlineLevel="1" x14ac:dyDescent="0.2">
      <c r="B219" s="122" t="str">
        <f>"RI ratei passivi per "&amp;B208</f>
        <v>RI ratei passivi per Collegio sindacale</v>
      </c>
      <c r="C219" s="147"/>
      <c r="D219" s="73">
        <f>+C217</f>
        <v>0</v>
      </c>
      <c r="E219" s="73">
        <f t="shared" ref="E219:O219" si="59">+D222</f>
        <v>4583.333333333333</v>
      </c>
      <c r="F219" s="73">
        <f t="shared" si="59"/>
        <v>9166.6666666666661</v>
      </c>
      <c r="G219" s="73">
        <f t="shared" si="59"/>
        <v>13750</v>
      </c>
      <c r="H219" s="73">
        <f t="shared" si="59"/>
        <v>18333.333333333332</v>
      </c>
      <c r="I219" s="73">
        <f t="shared" si="59"/>
        <v>22916.666666666664</v>
      </c>
      <c r="J219" s="73">
        <f t="shared" si="59"/>
        <v>0</v>
      </c>
      <c r="K219" s="73">
        <f t="shared" si="59"/>
        <v>4583.333333333333</v>
      </c>
      <c r="L219" s="73">
        <f t="shared" si="59"/>
        <v>9166.6666666666661</v>
      </c>
      <c r="M219" s="73">
        <f t="shared" si="59"/>
        <v>13750</v>
      </c>
      <c r="N219" s="73">
        <f t="shared" si="59"/>
        <v>18333.333333333332</v>
      </c>
      <c r="O219" s="73">
        <f t="shared" si="59"/>
        <v>22916.666666666664</v>
      </c>
      <c r="P219" s="464"/>
    </row>
    <row r="220" spans="2:16" outlineLevel="1" x14ac:dyDescent="0.2">
      <c r="B220" s="131" t="s">
        <v>1161</v>
      </c>
      <c r="C220" s="152"/>
      <c r="D220" s="73">
        <f t="shared" ref="D220:O220" si="60">D24</f>
        <v>4583.333333333333</v>
      </c>
      <c r="E220" s="73">
        <f t="shared" si="60"/>
        <v>4583.333333333333</v>
      </c>
      <c r="F220" s="73">
        <f t="shared" si="60"/>
        <v>4583.333333333333</v>
      </c>
      <c r="G220" s="73">
        <f t="shared" si="60"/>
        <v>4583.333333333333</v>
      </c>
      <c r="H220" s="73">
        <f t="shared" si="60"/>
        <v>4583.333333333333</v>
      </c>
      <c r="I220" s="73">
        <f t="shared" si="60"/>
        <v>4583.333333333333</v>
      </c>
      <c r="J220" s="73">
        <f t="shared" si="60"/>
        <v>4583.333333333333</v>
      </c>
      <c r="K220" s="73">
        <f t="shared" si="60"/>
        <v>4583.333333333333</v>
      </c>
      <c r="L220" s="73">
        <f t="shared" si="60"/>
        <v>4583.333333333333</v>
      </c>
      <c r="M220" s="73">
        <f t="shared" si="60"/>
        <v>4583.333333333333</v>
      </c>
      <c r="N220" s="73">
        <f t="shared" si="60"/>
        <v>4583.333333333333</v>
      </c>
      <c r="O220" s="73">
        <f t="shared" si="60"/>
        <v>4583.333333333333</v>
      </c>
      <c r="P220" s="464"/>
    </row>
    <row r="221" spans="2:16" outlineLevel="1" x14ac:dyDescent="0.2">
      <c r="B221" s="131" t="s">
        <v>1162</v>
      </c>
      <c r="C221" s="152"/>
      <c r="D221" s="73">
        <f>D215/(1+'All. 13'!$C$20)</f>
        <v>0</v>
      </c>
      <c r="E221" s="73">
        <f>E215/(1+'All. 13'!$C$20)</f>
        <v>0</v>
      </c>
      <c r="F221" s="73">
        <f>F215/(1+'All. 13'!$C$20)</f>
        <v>0</v>
      </c>
      <c r="G221" s="73">
        <f>G215/(1+'All. 13'!$C$20)</f>
        <v>0</v>
      </c>
      <c r="H221" s="73">
        <f>H215/(1+'All. 13'!$C$20)</f>
        <v>0</v>
      </c>
      <c r="I221" s="73">
        <f>I215/(1+'All. 13'!$C$20)</f>
        <v>27499.999999999996</v>
      </c>
      <c r="J221" s="73">
        <f>J215/(1+'All. 13'!$C$20)</f>
        <v>0</v>
      </c>
      <c r="K221" s="73">
        <f>K215/(1+'All. 13'!$C$20)</f>
        <v>0</v>
      </c>
      <c r="L221" s="73">
        <f>L215/(1+'All. 13'!$C$20)</f>
        <v>0</v>
      </c>
      <c r="M221" s="73">
        <f>M215/(1+'All. 13'!$C$20)</f>
        <v>0</v>
      </c>
      <c r="N221" s="73">
        <f>N215/(1+'All. 13'!$C$20)</f>
        <v>0</v>
      </c>
      <c r="O221" s="73">
        <f>O215/(1+'All. 13'!$C$20)</f>
        <v>27499.999999999996</v>
      </c>
      <c r="P221" s="464"/>
    </row>
    <row r="222" spans="2:16" ht="18" outlineLevel="1" thickBot="1" x14ac:dyDescent="0.25">
      <c r="B222" s="834" t="str">
        <f>"RF ratei passivi per "&amp;B208</f>
        <v>RF ratei passivi per Collegio sindacale</v>
      </c>
      <c r="C222" s="822"/>
      <c r="D222" s="830">
        <f t="shared" ref="D222:O222" si="61">D219+D220-D221</f>
        <v>4583.333333333333</v>
      </c>
      <c r="E222" s="830">
        <f t="shared" si="61"/>
        <v>9166.6666666666661</v>
      </c>
      <c r="F222" s="830">
        <f t="shared" si="61"/>
        <v>13750</v>
      </c>
      <c r="G222" s="830">
        <f t="shared" si="61"/>
        <v>18333.333333333332</v>
      </c>
      <c r="H222" s="830">
        <f t="shared" si="61"/>
        <v>22916.666666666664</v>
      </c>
      <c r="I222" s="830">
        <f t="shared" si="61"/>
        <v>0</v>
      </c>
      <c r="J222" s="830">
        <f t="shared" si="61"/>
        <v>4583.333333333333</v>
      </c>
      <c r="K222" s="830">
        <f t="shared" si="61"/>
        <v>9166.6666666666661</v>
      </c>
      <c r="L222" s="830">
        <f t="shared" si="61"/>
        <v>13750</v>
      </c>
      <c r="M222" s="830">
        <f t="shared" si="61"/>
        <v>18333.333333333332</v>
      </c>
      <c r="N222" s="830">
        <f t="shared" si="61"/>
        <v>22916.666666666664</v>
      </c>
      <c r="O222" s="830">
        <f t="shared" si="61"/>
        <v>0</v>
      </c>
      <c r="P222" s="464"/>
    </row>
    <row r="223" spans="2:16" outlineLevel="1" x14ac:dyDescent="0.2">
      <c r="B223" s="122"/>
      <c r="C223" s="152"/>
      <c r="P223" s="464"/>
    </row>
    <row r="224" spans="2:16" outlineLevel="1" x14ac:dyDescent="0.2">
      <c r="B224" s="818" t="str">
        <f>+B27</f>
        <v>Assicurazioni</v>
      </c>
      <c r="C224" s="152"/>
      <c r="P224" s="464"/>
    </row>
    <row r="225" spans="2:16" outlineLevel="1" x14ac:dyDescent="0.2">
      <c r="B225" s="415"/>
      <c r="C225" s="152"/>
      <c r="P225" s="464"/>
    </row>
    <row r="226" spans="2:16" outlineLevel="1" x14ac:dyDescent="0.2">
      <c r="B226" s="415" t="s">
        <v>1158</v>
      </c>
      <c r="C226" s="152" t="str">
        <f>VLOOKUP(B224,'All. 13'!$B$24:$E$42,2,0)</f>
        <v>annuale posticipata</v>
      </c>
      <c r="P226" s="464"/>
    </row>
    <row r="227" spans="2:16" outlineLevel="1" x14ac:dyDescent="0.2">
      <c r="B227" s="415" t="s">
        <v>1123</v>
      </c>
      <c r="C227" s="418">
        <f>VLOOKUP(B224,'All. 13'!$B$24:$E$42,3,0)</f>
        <v>0</v>
      </c>
      <c r="P227" s="464"/>
    </row>
    <row r="228" spans="2:16" outlineLevel="1" x14ac:dyDescent="0.2">
      <c r="B228" s="815" t="s">
        <v>1159</v>
      </c>
      <c r="C228" s="833">
        <f>VLOOKUP(B224,'All. 13'!$B$24:$E$42,4,0)</f>
        <v>0</v>
      </c>
      <c r="P228" s="464"/>
    </row>
    <row r="229" spans="2:16" outlineLevel="1" x14ac:dyDescent="0.2">
      <c r="B229" s="122"/>
      <c r="C229" s="152"/>
      <c r="P229" s="464"/>
    </row>
    <row r="230" spans="2:16" outlineLevel="1" x14ac:dyDescent="0.2">
      <c r="B230" s="122" t="str">
        <f>"RI debito verso fornitori per "&amp;B224</f>
        <v>RI debito verso fornitori per Assicurazioni</v>
      </c>
      <c r="C230" s="147"/>
      <c r="D230" s="73">
        <f>+C228</f>
        <v>0</v>
      </c>
      <c r="E230" s="73">
        <f t="shared" ref="E230:O230" si="62">+D233</f>
        <v>0</v>
      </c>
      <c r="F230" s="73">
        <f t="shared" si="62"/>
        <v>0</v>
      </c>
      <c r="G230" s="73">
        <f t="shared" si="62"/>
        <v>0</v>
      </c>
      <c r="H230" s="73">
        <f t="shared" si="62"/>
        <v>0</v>
      </c>
      <c r="I230" s="73">
        <f t="shared" si="62"/>
        <v>0</v>
      </c>
      <c r="J230" s="73">
        <f t="shared" si="62"/>
        <v>0</v>
      </c>
      <c r="K230" s="73">
        <f t="shared" si="62"/>
        <v>0</v>
      </c>
      <c r="L230" s="73">
        <f t="shared" si="62"/>
        <v>0</v>
      </c>
      <c r="M230" s="73">
        <f t="shared" si="62"/>
        <v>0</v>
      </c>
      <c r="N230" s="73">
        <f t="shared" si="62"/>
        <v>0</v>
      </c>
      <c r="O230" s="73">
        <f t="shared" si="62"/>
        <v>0</v>
      </c>
      <c r="P230" s="464"/>
    </row>
    <row r="231" spans="2:16" outlineLevel="1" x14ac:dyDescent="0.2">
      <c r="B231" s="131" t="s">
        <v>1163</v>
      </c>
      <c r="C231" s="152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>
        <f>SUM(D25:O27)</f>
        <v>530829.99999999977</v>
      </c>
      <c r="P231" s="464"/>
    </row>
    <row r="232" spans="2:16" outlineLevel="1" x14ac:dyDescent="0.2">
      <c r="B232" s="131" t="s">
        <v>1154</v>
      </c>
      <c r="C232" s="152"/>
      <c r="D232" s="73">
        <f t="shared" ref="D232:O232" si="63">+D231</f>
        <v>0</v>
      </c>
      <c r="E232" s="73">
        <f t="shared" si="63"/>
        <v>0</v>
      </c>
      <c r="F232" s="73">
        <f t="shared" si="63"/>
        <v>0</v>
      </c>
      <c r="G232" s="73">
        <f t="shared" si="63"/>
        <v>0</v>
      </c>
      <c r="H232" s="73">
        <f t="shared" si="63"/>
        <v>0</v>
      </c>
      <c r="I232" s="73">
        <f t="shared" si="63"/>
        <v>0</v>
      </c>
      <c r="J232" s="73">
        <f t="shared" si="63"/>
        <v>0</v>
      </c>
      <c r="K232" s="73">
        <f t="shared" si="63"/>
        <v>0</v>
      </c>
      <c r="L232" s="73">
        <f t="shared" si="63"/>
        <v>0</v>
      </c>
      <c r="M232" s="73">
        <f t="shared" si="63"/>
        <v>0</v>
      </c>
      <c r="N232" s="73">
        <f t="shared" si="63"/>
        <v>0</v>
      </c>
      <c r="O232" s="73">
        <f t="shared" si="63"/>
        <v>530829.99999999977</v>
      </c>
      <c r="P232" s="464"/>
    </row>
    <row r="233" spans="2:16" ht="18" outlineLevel="1" thickBot="1" x14ac:dyDescent="0.25">
      <c r="B233" s="834" t="str">
        <f>"RF debito verso fornitori per "&amp;B224</f>
        <v>RF debito verso fornitori per Assicurazioni</v>
      </c>
      <c r="C233" s="822"/>
      <c r="D233" s="830">
        <f t="shared" ref="D233:O233" si="64">D230+D231-D232</f>
        <v>0</v>
      </c>
      <c r="E233" s="830">
        <f t="shared" si="64"/>
        <v>0</v>
      </c>
      <c r="F233" s="830">
        <f t="shared" si="64"/>
        <v>0</v>
      </c>
      <c r="G233" s="830">
        <f t="shared" si="64"/>
        <v>0</v>
      </c>
      <c r="H233" s="830">
        <f t="shared" si="64"/>
        <v>0</v>
      </c>
      <c r="I233" s="830">
        <f t="shared" si="64"/>
        <v>0</v>
      </c>
      <c r="J233" s="830">
        <f t="shared" si="64"/>
        <v>0</v>
      </c>
      <c r="K233" s="830">
        <f t="shared" si="64"/>
        <v>0</v>
      </c>
      <c r="L233" s="830">
        <f t="shared" si="64"/>
        <v>0</v>
      </c>
      <c r="M233" s="830">
        <f t="shared" si="64"/>
        <v>0</v>
      </c>
      <c r="N233" s="830">
        <f t="shared" si="64"/>
        <v>0</v>
      </c>
      <c r="O233" s="830">
        <f t="shared" si="64"/>
        <v>0</v>
      </c>
      <c r="P233" s="464"/>
    </row>
    <row r="234" spans="2:16" outlineLevel="1" x14ac:dyDescent="0.2">
      <c r="B234" s="122"/>
      <c r="C234" s="152"/>
      <c r="P234" s="464"/>
    </row>
    <row r="235" spans="2:16" outlineLevel="1" x14ac:dyDescent="0.2">
      <c r="B235" s="122" t="str">
        <f>"RI ratei passivi per "&amp;B224</f>
        <v>RI ratei passivi per Assicurazioni</v>
      </c>
      <c r="C235" s="147"/>
      <c r="D235" s="73">
        <f>+C233</f>
        <v>0</v>
      </c>
      <c r="E235" s="73">
        <f t="shared" ref="E235:O235" si="65">+D238</f>
        <v>40923.92812390675</v>
      </c>
      <c r="F235" s="73">
        <f t="shared" si="65"/>
        <v>86031.315459720761</v>
      </c>
      <c r="G235" s="73">
        <f t="shared" si="65"/>
        <v>137413.89161339565</v>
      </c>
      <c r="H235" s="73">
        <f t="shared" si="65"/>
        <v>184613.00855516328</v>
      </c>
      <c r="I235" s="73">
        <f t="shared" si="65"/>
        <v>231812.12549693091</v>
      </c>
      <c r="J235" s="73">
        <f t="shared" si="65"/>
        <v>281102.97204465215</v>
      </c>
      <c r="K235" s="73">
        <f t="shared" si="65"/>
        <v>330393.8185923734</v>
      </c>
      <c r="L235" s="73">
        <f t="shared" si="65"/>
        <v>358767.36908055836</v>
      </c>
      <c r="M235" s="73">
        <f t="shared" si="65"/>
        <v>408058.21562827961</v>
      </c>
      <c r="N235" s="73">
        <f t="shared" si="65"/>
        <v>455257.33257004723</v>
      </c>
      <c r="O235" s="73">
        <f t="shared" si="65"/>
        <v>502456.44951181486</v>
      </c>
      <c r="P235" s="464"/>
    </row>
    <row r="236" spans="2:16" outlineLevel="1" x14ac:dyDescent="0.2">
      <c r="B236" s="131" t="s">
        <v>1161</v>
      </c>
      <c r="C236" s="152"/>
      <c r="D236" s="73">
        <f>D25+D27+D26</f>
        <v>40923.92812390675</v>
      </c>
      <c r="E236" s="73">
        <f t="shared" ref="E236:O236" si="66">E25+E27+E26</f>
        <v>45107.387335814012</v>
      </c>
      <c r="F236" s="73">
        <f t="shared" si="66"/>
        <v>51382.576153674905</v>
      </c>
      <c r="G236" s="73">
        <f t="shared" si="66"/>
        <v>47199.116941767643</v>
      </c>
      <c r="H236" s="73">
        <f t="shared" si="66"/>
        <v>47199.116941767643</v>
      </c>
      <c r="I236" s="73">
        <f t="shared" si="66"/>
        <v>49290.846547721267</v>
      </c>
      <c r="J236" s="73">
        <f t="shared" si="66"/>
        <v>49290.846547721267</v>
      </c>
      <c r="K236" s="73">
        <f t="shared" si="66"/>
        <v>28373.550488184963</v>
      </c>
      <c r="L236" s="73">
        <f t="shared" si="66"/>
        <v>49290.846547721267</v>
      </c>
      <c r="M236" s="73">
        <f t="shared" si="66"/>
        <v>47199.116941767643</v>
      </c>
      <c r="N236" s="73">
        <f t="shared" si="66"/>
        <v>47199.116941767643</v>
      </c>
      <c r="O236" s="73">
        <f t="shared" si="66"/>
        <v>28373.550488184963</v>
      </c>
      <c r="P236" s="464"/>
    </row>
    <row r="237" spans="2:16" outlineLevel="1" x14ac:dyDescent="0.2">
      <c r="B237" s="131" t="s">
        <v>1162</v>
      </c>
      <c r="C237" s="152"/>
      <c r="D237" s="73">
        <f t="shared" ref="D237:O237" si="67">D231</f>
        <v>0</v>
      </c>
      <c r="E237" s="73">
        <f t="shared" si="67"/>
        <v>0</v>
      </c>
      <c r="F237" s="73">
        <f t="shared" si="67"/>
        <v>0</v>
      </c>
      <c r="G237" s="73">
        <f t="shared" si="67"/>
        <v>0</v>
      </c>
      <c r="H237" s="73">
        <f t="shared" si="67"/>
        <v>0</v>
      </c>
      <c r="I237" s="73">
        <f t="shared" si="67"/>
        <v>0</v>
      </c>
      <c r="J237" s="73">
        <f t="shared" si="67"/>
        <v>0</v>
      </c>
      <c r="K237" s="73">
        <f t="shared" si="67"/>
        <v>0</v>
      </c>
      <c r="L237" s="73">
        <f t="shared" si="67"/>
        <v>0</v>
      </c>
      <c r="M237" s="73">
        <f t="shared" si="67"/>
        <v>0</v>
      </c>
      <c r="N237" s="73">
        <f t="shared" si="67"/>
        <v>0</v>
      </c>
      <c r="O237" s="73">
        <f t="shared" si="67"/>
        <v>530829.99999999977</v>
      </c>
      <c r="P237" s="464"/>
    </row>
    <row r="238" spans="2:16" ht="18" outlineLevel="1" thickBot="1" x14ac:dyDescent="0.25">
      <c r="B238" s="834" t="str">
        <f>"RF ratei passivi per "&amp;B224</f>
        <v>RF ratei passivi per Assicurazioni</v>
      </c>
      <c r="C238" s="822"/>
      <c r="D238" s="830">
        <f t="shared" ref="D238:O238" si="68">D235+D236-D237</f>
        <v>40923.92812390675</v>
      </c>
      <c r="E238" s="830">
        <f t="shared" si="68"/>
        <v>86031.315459720761</v>
      </c>
      <c r="F238" s="830">
        <f t="shared" si="68"/>
        <v>137413.89161339565</v>
      </c>
      <c r="G238" s="830">
        <f t="shared" si="68"/>
        <v>184613.00855516328</v>
      </c>
      <c r="H238" s="830">
        <f t="shared" si="68"/>
        <v>231812.12549693091</v>
      </c>
      <c r="I238" s="830">
        <f t="shared" si="68"/>
        <v>281102.97204465215</v>
      </c>
      <c r="J238" s="830">
        <f t="shared" si="68"/>
        <v>330393.8185923734</v>
      </c>
      <c r="K238" s="830">
        <f t="shared" si="68"/>
        <v>358767.36908055836</v>
      </c>
      <c r="L238" s="830">
        <f t="shared" si="68"/>
        <v>408058.21562827961</v>
      </c>
      <c r="M238" s="830">
        <f t="shared" si="68"/>
        <v>455257.33257004723</v>
      </c>
      <c r="N238" s="830">
        <f t="shared" si="68"/>
        <v>502456.44951181486</v>
      </c>
      <c r="O238" s="830">
        <f t="shared" si="68"/>
        <v>0</v>
      </c>
      <c r="P238" s="464"/>
    </row>
    <row r="239" spans="2:16" x14ac:dyDescent="0.2">
      <c r="B239" s="122"/>
      <c r="C239" s="152"/>
      <c r="P239" s="464"/>
    </row>
    <row r="240" spans="2:16" x14ac:dyDescent="0.2">
      <c r="B240" s="122"/>
      <c r="C240" s="152"/>
      <c r="P240" s="464"/>
    </row>
    <row r="241" spans="2:16" outlineLevel="1" x14ac:dyDescent="0.2">
      <c r="B241" s="122"/>
      <c r="C241" s="152"/>
      <c r="P241" s="464"/>
    </row>
    <row r="242" spans="2:16" outlineLevel="1" x14ac:dyDescent="0.2">
      <c r="B242" s="818" t="str">
        <f>+B28</f>
        <v>Promozione e televendita</v>
      </c>
      <c r="C242" s="152"/>
      <c r="P242" s="464"/>
    </row>
    <row r="243" spans="2:16" outlineLevel="1" x14ac:dyDescent="0.2">
      <c r="B243" s="415"/>
      <c r="C243" s="152"/>
      <c r="P243" s="464"/>
    </row>
    <row r="244" spans="2:16" outlineLevel="1" x14ac:dyDescent="0.2">
      <c r="B244" s="415" t="s">
        <v>1158</v>
      </c>
      <c r="C244" s="152" t="str">
        <f>VLOOKUP(B242,'All. 13'!$B$24:$E$42,2,0)</f>
        <v>trimestrale anticipata</v>
      </c>
      <c r="P244" s="464"/>
    </row>
    <row r="245" spans="2:16" outlineLevel="1" x14ac:dyDescent="0.2">
      <c r="B245" s="415" t="s">
        <v>1123</v>
      </c>
      <c r="C245" s="418">
        <f>VLOOKUP(B242,'All. 13'!$B$24:$E$42,3,0)</f>
        <v>90</v>
      </c>
      <c r="P245" s="464"/>
    </row>
    <row r="246" spans="2:16" outlineLevel="1" x14ac:dyDescent="0.2">
      <c r="B246" s="815" t="s">
        <v>1159</v>
      </c>
      <c r="C246" s="833">
        <f>VLOOKUP(B242,'All. 13'!$B$24:$E$42,4,0)</f>
        <v>0</v>
      </c>
      <c r="P246" s="464"/>
    </row>
    <row r="247" spans="2:16" outlineLevel="1" x14ac:dyDescent="0.2">
      <c r="B247" s="122"/>
      <c r="C247" s="152"/>
      <c r="P247" s="464"/>
    </row>
    <row r="248" spans="2:16" outlineLevel="1" x14ac:dyDescent="0.2">
      <c r="B248" s="122" t="str">
        <f>"RI debito verso fornitori per "&amp;B242</f>
        <v>RI debito verso fornitori per Promozione e televendita</v>
      </c>
      <c r="C248" s="147"/>
      <c r="D248" s="73">
        <f>+C246</f>
        <v>0</v>
      </c>
      <c r="E248" s="73">
        <f t="shared" ref="E248:O248" si="69">+D251</f>
        <v>9302500</v>
      </c>
      <c r="F248" s="73">
        <f t="shared" si="69"/>
        <v>9302500</v>
      </c>
      <c r="G248" s="73">
        <f t="shared" si="69"/>
        <v>0</v>
      </c>
      <c r="H248" s="73">
        <f t="shared" si="69"/>
        <v>9302500</v>
      </c>
      <c r="I248" s="73">
        <f t="shared" si="69"/>
        <v>9302500</v>
      </c>
      <c r="J248" s="73">
        <f t="shared" si="69"/>
        <v>0</v>
      </c>
      <c r="K248" s="73">
        <f t="shared" si="69"/>
        <v>9302500</v>
      </c>
      <c r="L248" s="73">
        <f t="shared" si="69"/>
        <v>9302500</v>
      </c>
      <c r="M248" s="73">
        <f t="shared" si="69"/>
        <v>0</v>
      </c>
      <c r="N248" s="73">
        <f t="shared" si="69"/>
        <v>9302500</v>
      </c>
      <c r="O248" s="73">
        <f t="shared" si="69"/>
        <v>9302500</v>
      </c>
      <c r="P248" s="464"/>
    </row>
    <row r="249" spans="2:16" outlineLevel="1" x14ac:dyDescent="0.2">
      <c r="B249" s="131" t="s">
        <v>1160</v>
      </c>
      <c r="C249" s="152"/>
      <c r="D249" s="73">
        <f>SUM(D28:F28)*(1+'All. 13'!$C$20)</f>
        <v>9302500</v>
      </c>
      <c r="E249" s="73"/>
      <c r="F249" s="73"/>
      <c r="G249" s="73">
        <f>SUM(G28:I28)*(1+'All. 13'!$C$20)</f>
        <v>9302500</v>
      </c>
      <c r="H249" s="73"/>
      <c r="I249" s="73"/>
      <c r="J249" s="73">
        <f>SUM(J28:L28)*(1+'All. 13'!$C$20)</f>
        <v>9302500</v>
      </c>
      <c r="K249" s="73"/>
      <c r="L249" s="73"/>
      <c r="M249" s="73">
        <f>SUM(M28:O28)*(1+'All. 13'!$C$20)</f>
        <v>9302500</v>
      </c>
      <c r="N249" s="73"/>
      <c r="O249" s="73"/>
      <c r="P249" s="464"/>
    </row>
    <row r="250" spans="2:16" outlineLevel="1" x14ac:dyDescent="0.2">
      <c r="B250" s="131" t="s">
        <v>1154</v>
      </c>
      <c r="C250" s="152"/>
      <c r="D250" s="73">
        <f>D248</f>
        <v>0</v>
      </c>
      <c r="E250" s="73">
        <f>+E249</f>
        <v>0</v>
      </c>
      <c r="F250" s="73">
        <f t="shared" ref="F250:O250" si="70">D249</f>
        <v>9302500</v>
      </c>
      <c r="G250" s="73">
        <f t="shared" si="70"/>
        <v>0</v>
      </c>
      <c r="H250" s="73">
        <f t="shared" si="70"/>
        <v>0</v>
      </c>
      <c r="I250" s="73">
        <f t="shared" si="70"/>
        <v>9302500</v>
      </c>
      <c r="J250" s="73">
        <f t="shared" si="70"/>
        <v>0</v>
      </c>
      <c r="K250" s="73">
        <f t="shared" si="70"/>
        <v>0</v>
      </c>
      <c r="L250" s="73">
        <f t="shared" si="70"/>
        <v>9302500</v>
      </c>
      <c r="M250" s="73">
        <f t="shared" si="70"/>
        <v>0</v>
      </c>
      <c r="N250" s="73">
        <f t="shared" si="70"/>
        <v>0</v>
      </c>
      <c r="O250" s="73">
        <f t="shared" si="70"/>
        <v>9302500</v>
      </c>
      <c r="P250" s="464"/>
    </row>
    <row r="251" spans="2:16" ht="35" outlineLevel="1" thickBot="1" x14ac:dyDescent="0.25">
      <c r="B251" s="834" t="str">
        <f>"RF debito verso fornitori per "&amp;B242</f>
        <v>RF debito verso fornitori per Promozione e televendita</v>
      </c>
      <c r="C251" s="822"/>
      <c r="D251" s="830">
        <f t="shared" ref="D251:O251" si="71">D248+D249-D250</f>
        <v>9302500</v>
      </c>
      <c r="E251" s="830">
        <f t="shared" si="71"/>
        <v>9302500</v>
      </c>
      <c r="F251" s="830">
        <f t="shared" si="71"/>
        <v>0</v>
      </c>
      <c r="G251" s="830">
        <f t="shared" si="71"/>
        <v>9302500</v>
      </c>
      <c r="H251" s="830">
        <f t="shared" si="71"/>
        <v>9302500</v>
      </c>
      <c r="I251" s="830">
        <f t="shared" si="71"/>
        <v>0</v>
      </c>
      <c r="J251" s="830">
        <f t="shared" si="71"/>
        <v>9302500</v>
      </c>
      <c r="K251" s="830">
        <f t="shared" si="71"/>
        <v>9302500</v>
      </c>
      <c r="L251" s="830">
        <f t="shared" si="71"/>
        <v>0</v>
      </c>
      <c r="M251" s="830">
        <f t="shared" si="71"/>
        <v>9302500</v>
      </c>
      <c r="N251" s="830">
        <f t="shared" si="71"/>
        <v>9302500</v>
      </c>
      <c r="O251" s="830">
        <f t="shared" si="71"/>
        <v>0</v>
      </c>
      <c r="P251" s="464"/>
    </row>
    <row r="252" spans="2:16" outlineLevel="1" x14ac:dyDescent="0.2">
      <c r="B252" s="122"/>
      <c r="C252" s="152"/>
      <c r="P252" s="464"/>
    </row>
    <row r="253" spans="2:16" outlineLevel="1" x14ac:dyDescent="0.2">
      <c r="B253" s="122" t="str">
        <f>"RI risconti attivi per "&amp;B242</f>
        <v>RI risconti attivi per Promozione e televendita</v>
      </c>
      <c r="C253" s="147"/>
      <c r="D253" s="73">
        <f>+C251</f>
        <v>0</v>
      </c>
      <c r="E253" s="73">
        <f t="shared" ref="E253:O253" si="72">+D256</f>
        <v>5083333.333333334</v>
      </c>
      <c r="F253" s="73">
        <f t="shared" si="72"/>
        <v>2541666.6666666674</v>
      </c>
      <c r="G253" s="73">
        <f t="shared" si="72"/>
        <v>0</v>
      </c>
      <c r="H253" s="73">
        <f t="shared" si="72"/>
        <v>5083333.333333334</v>
      </c>
      <c r="I253" s="73">
        <f t="shared" si="72"/>
        <v>2541666.6666666674</v>
      </c>
      <c r="J253" s="73">
        <f t="shared" si="72"/>
        <v>0</v>
      </c>
      <c r="K253" s="73">
        <f t="shared" si="72"/>
        <v>5083333.333333334</v>
      </c>
      <c r="L253" s="73">
        <f t="shared" si="72"/>
        <v>2541666.6666666674</v>
      </c>
      <c r="M253" s="73">
        <f t="shared" si="72"/>
        <v>0</v>
      </c>
      <c r="N253" s="73">
        <f t="shared" si="72"/>
        <v>5083333.333333334</v>
      </c>
      <c r="O253" s="73">
        <f t="shared" si="72"/>
        <v>2541666.6666666674</v>
      </c>
      <c r="P253" s="464"/>
    </row>
    <row r="254" spans="2:16" outlineLevel="1" x14ac:dyDescent="0.2">
      <c r="B254" s="131" t="s">
        <v>129</v>
      </c>
      <c r="C254" s="152"/>
      <c r="D254" s="73">
        <f>+D249/(1+'All. 13'!$C$20)</f>
        <v>7625000</v>
      </c>
      <c r="E254" s="73">
        <f>+E249/(1+'All. 13'!$C$20)</f>
        <v>0</v>
      </c>
      <c r="F254" s="73">
        <f>+F249/(1+'All. 13'!$C$20)</f>
        <v>0</v>
      </c>
      <c r="G254" s="73">
        <f>+G249/(1+'All. 13'!$C$20)</f>
        <v>7625000</v>
      </c>
      <c r="H254" s="73">
        <f>+H249/(1+'All. 13'!$C$20)</f>
        <v>0</v>
      </c>
      <c r="I254" s="73">
        <f>+I249/(1+'All. 13'!$C$20)</f>
        <v>0</v>
      </c>
      <c r="J254" s="73">
        <f>+J249/(1+'All. 13'!$C$20)</f>
        <v>7625000</v>
      </c>
      <c r="K254" s="73">
        <f>+K249/(1+'All. 13'!$C$20)</f>
        <v>0</v>
      </c>
      <c r="L254" s="73">
        <f>+L249/(1+'All. 13'!$C$20)</f>
        <v>0</v>
      </c>
      <c r="M254" s="73">
        <f>+M249/(1+'All. 13'!$C$20)</f>
        <v>7625000</v>
      </c>
      <c r="N254" s="73">
        <f>+N249/(1+'All. 13'!$C$20)</f>
        <v>0</v>
      </c>
      <c r="O254" s="73">
        <f>+O249/(1+'All. 13'!$C$20)</f>
        <v>0</v>
      </c>
      <c r="P254" s="464"/>
    </row>
    <row r="255" spans="2:16" outlineLevel="1" x14ac:dyDescent="0.2">
      <c r="B255" s="131" t="s">
        <v>130</v>
      </c>
      <c r="C255" s="152"/>
      <c r="D255" s="73">
        <f>D254/3</f>
        <v>2541666.6666666665</v>
      </c>
      <c r="E255" s="73">
        <f>D254/3</f>
        <v>2541666.6666666665</v>
      </c>
      <c r="F255" s="73">
        <f>D254/3</f>
        <v>2541666.6666666665</v>
      </c>
      <c r="G255" s="73">
        <f>G254/3</f>
        <v>2541666.6666666665</v>
      </c>
      <c r="H255" s="73">
        <f>G254/3</f>
        <v>2541666.6666666665</v>
      </c>
      <c r="I255" s="73">
        <f>G254/3</f>
        <v>2541666.6666666665</v>
      </c>
      <c r="J255" s="73">
        <f>J254/3</f>
        <v>2541666.6666666665</v>
      </c>
      <c r="K255" s="73">
        <f>J254/3</f>
        <v>2541666.6666666665</v>
      </c>
      <c r="L255" s="73">
        <f>J254/3</f>
        <v>2541666.6666666665</v>
      </c>
      <c r="M255" s="73">
        <f>M254/3</f>
        <v>2541666.6666666665</v>
      </c>
      <c r="N255" s="73">
        <f>M254/3</f>
        <v>2541666.6666666665</v>
      </c>
      <c r="O255" s="73">
        <f>M254/3</f>
        <v>2541666.6666666665</v>
      </c>
      <c r="P255" s="464"/>
    </row>
    <row r="256" spans="2:16" ht="18" outlineLevel="1" thickBot="1" x14ac:dyDescent="0.25">
      <c r="B256" s="834" t="str">
        <f>"RF risconti attivi per "&amp;B242</f>
        <v>RF risconti attivi per Promozione e televendita</v>
      </c>
      <c r="C256" s="822"/>
      <c r="D256" s="830">
        <f t="shared" ref="D256:O256" si="73">D253+D254-D255</f>
        <v>5083333.333333334</v>
      </c>
      <c r="E256" s="830">
        <f t="shared" si="73"/>
        <v>2541666.6666666674</v>
      </c>
      <c r="F256" s="830">
        <f t="shared" si="73"/>
        <v>0</v>
      </c>
      <c r="G256" s="830">
        <f t="shared" si="73"/>
        <v>5083333.333333334</v>
      </c>
      <c r="H256" s="830">
        <f t="shared" si="73"/>
        <v>2541666.6666666674</v>
      </c>
      <c r="I256" s="830">
        <f t="shared" si="73"/>
        <v>0</v>
      </c>
      <c r="J256" s="830">
        <f t="shared" si="73"/>
        <v>5083333.333333334</v>
      </c>
      <c r="K256" s="830">
        <f t="shared" si="73"/>
        <v>2541666.6666666674</v>
      </c>
      <c r="L256" s="830">
        <f t="shared" si="73"/>
        <v>0</v>
      </c>
      <c r="M256" s="830">
        <f t="shared" si="73"/>
        <v>5083333.333333334</v>
      </c>
      <c r="N256" s="830">
        <f t="shared" si="73"/>
        <v>2541666.6666666674</v>
      </c>
      <c r="O256" s="830">
        <f t="shared" si="73"/>
        <v>0</v>
      </c>
      <c r="P256" s="464"/>
    </row>
    <row r="257" spans="2:16" outlineLevel="1" x14ac:dyDescent="0.2">
      <c r="B257" s="122"/>
      <c r="C257" s="152"/>
      <c r="P257" s="464"/>
    </row>
    <row r="258" spans="2:16" outlineLevel="1" x14ac:dyDescent="0.2">
      <c r="B258" s="818" t="str">
        <f>+B29</f>
        <v>Certificazione di bilancio</v>
      </c>
      <c r="C258" s="152"/>
      <c r="P258" s="464"/>
    </row>
    <row r="259" spans="2:16" outlineLevel="1" x14ac:dyDescent="0.2">
      <c r="B259" s="415"/>
      <c r="C259" s="152"/>
      <c r="P259" s="464"/>
    </row>
    <row r="260" spans="2:16" outlineLevel="1" x14ac:dyDescent="0.2">
      <c r="B260" s="415" t="s">
        <v>1158</v>
      </c>
      <c r="C260" s="152" t="str">
        <f>VLOOKUP(B258,'All. 13'!$B$24:$E$42,2,0)</f>
        <v>annuale anticipata</v>
      </c>
      <c r="P260" s="464"/>
    </row>
    <row r="261" spans="2:16" outlineLevel="1" x14ac:dyDescent="0.2">
      <c r="B261" s="415" t="s">
        <v>1123</v>
      </c>
      <c r="C261" s="418">
        <f>VLOOKUP(B258,'All. 13'!$B$24:$E$42,3,0)</f>
        <v>180</v>
      </c>
      <c r="P261" s="464"/>
    </row>
    <row r="262" spans="2:16" outlineLevel="1" x14ac:dyDescent="0.2">
      <c r="B262" s="815" t="s">
        <v>1159</v>
      </c>
      <c r="C262" s="833">
        <f>VLOOKUP(B258,'All. 13'!$B$24:$E$42,4,0)</f>
        <v>0</v>
      </c>
      <c r="P262" s="464"/>
    </row>
    <row r="263" spans="2:16" outlineLevel="1" x14ac:dyDescent="0.2">
      <c r="B263" s="122"/>
      <c r="C263" s="152"/>
      <c r="P263" s="464"/>
    </row>
    <row r="264" spans="2:16" outlineLevel="1" x14ac:dyDescent="0.2">
      <c r="B264" s="122" t="str">
        <f>"RI debito verso fornitori per "&amp;B258</f>
        <v>RI debito verso fornitori per Certificazione di bilancio</v>
      </c>
      <c r="C264" s="147"/>
      <c r="D264" s="73">
        <f>+C262</f>
        <v>0</v>
      </c>
      <c r="E264" s="73">
        <f t="shared" ref="E264:O264" si="74">+D267</f>
        <v>97600</v>
      </c>
      <c r="F264" s="73">
        <f t="shared" si="74"/>
        <v>97600</v>
      </c>
      <c r="G264" s="73">
        <f t="shared" si="74"/>
        <v>97600</v>
      </c>
      <c r="H264" s="73">
        <f t="shared" si="74"/>
        <v>97600</v>
      </c>
      <c r="I264" s="73">
        <f t="shared" si="74"/>
        <v>97600</v>
      </c>
      <c r="J264" s="73">
        <f t="shared" si="74"/>
        <v>0</v>
      </c>
      <c r="K264" s="73">
        <f t="shared" si="74"/>
        <v>0</v>
      </c>
      <c r="L264" s="73">
        <f t="shared" si="74"/>
        <v>0</v>
      </c>
      <c r="M264" s="73">
        <f t="shared" si="74"/>
        <v>0</v>
      </c>
      <c r="N264" s="73">
        <f t="shared" si="74"/>
        <v>0</v>
      </c>
      <c r="O264" s="73">
        <f t="shared" si="74"/>
        <v>0</v>
      </c>
      <c r="P264" s="464"/>
    </row>
    <row r="265" spans="2:16" outlineLevel="1" x14ac:dyDescent="0.2">
      <c r="B265" s="131" t="s">
        <v>1160</v>
      </c>
      <c r="C265" s="152"/>
      <c r="D265" s="73">
        <f>SUM(D29:O29)*(1+'All. 13'!$C$20)</f>
        <v>97600</v>
      </c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464"/>
    </row>
    <row r="266" spans="2:16" outlineLevel="1" x14ac:dyDescent="0.2">
      <c r="B266" s="131" t="s">
        <v>1154</v>
      </c>
      <c r="C266" s="152"/>
      <c r="D266" s="73"/>
      <c r="E266" s="73"/>
      <c r="F266" s="73"/>
      <c r="G266" s="73"/>
      <c r="H266" s="73"/>
      <c r="I266" s="73">
        <f>+D265</f>
        <v>97600</v>
      </c>
      <c r="J266" s="73"/>
      <c r="K266" s="73"/>
      <c r="L266" s="73"/>
      <c r="M266" s="73"/>
      <c r="N266" s="73"/>
      <c r="O266" s="73"/>
      <c r="P266" s="464"/>
    </row>
    <row r="267" spans="2:16" ht="18" outlineLevel="1" thickBot="1" x14ac:dyDescent="0.25">
      <c r="B267" s="834" t="str">
        <f>"RF debito verso fornitori per "&amp;B258</f>
        <v>RF debito verso fornitori per Certificazione di bilancio</v>
      </c>
      <c r="C267" s="822"/>
      <c r="D267" s="830">
        <f t="shared" ref="D267:O267" si="75">D264+D265-D266</f>
        <v>97600</v>
      </c>
      <c r="E267" s="830">
        <f t="shared" si="75"/>
        <v>97600</v>
      </c>
      <c r="F267" s="830">
        <f t="shared" si="75"/>
        <v>97600</v>
      </c>
      <c r="G267" s="830">
        <f t="shared" si="75"/>
        <v>97600</v>
      </c>
      <c r="H267" s="830">
        <f t="shared" si="75"/>
        <v>97600</v>
      </c>
      <c r="I267" s="830">
        <f t="shared" si="75"/>
        <v>0</v>
      </c>
      <c r="J267" s="830">
        <f t="shared" si="75"/>
        <v>0</v>
      </c>
      <c r="K267" s="830">
        <f t="shared" si="75"/>
        <v>0</v>
      </c>
      <c r="L267" s="830">
        <f t="shared" si="75"/>
        <v>0</v>
      </c>
      <c r="M267" s="830">
        <f t="shared" si="75"/>
        <v>0</v>
      </c>
      <c r="N267" s="830">
        <f t="shared" si="75"/>
        <v>0</v>
      </c>
      <c r="O267" s="830">
        <f t="shared" si="75"/>
        <v>0</v>
      </c>
      <c r="P267" s="464"/>
    </row>
    <row r="268" spans="2:16" outlineLevel="1" x14ac:dyDescent="0.2">
      <c r="B268" s="122"/>
      <c r="C268" s="152"/>
      <c r="P268" s="464"/>
    </row>
    <row r="269" spans="2:16" outlineLevel="1" x14ac:dyDescent="0.2">
      <c r="B269" s="122" t="str">
        <f>"RI risconti attivi per "&amp;B258</f>
        <v>RI risconti attivi per Certificazione di bilancio</v>
      </c>
      <c r="C269" s="147"/>
      <c r="D269" s="73">
        <f>+C267</f>
        <v>0</v>
      </c>
      <c r="E269" s="73">
        <f t="shared" ref="E269:O269" si="76">+D272</f>
        <v>73333.333333333328</v>
      </c>
      <c r="F269" s="73">
        <f t="shared" si="76"/>
        <v>66666.666666666657</v>
      </c>
      <c r="G269" s="73">
        <f t="shared" si="76"/>
        <v>59999.999999999993</v>
      </c>
      <c r="H269" s="73">
        <f t="shared" si="76"/>
        <v>53333.333333333328</v>
      </c>
      <c r="I269" s="73">
        <f t="shared" si="76"/>
        <v>46666.666666666664</v>
      </c>
      <c r="J269" s="73">
        <f t="shared" si="76"/>
        <v>40000</v>
      </c>
      <c r="K269" s="73">
        <f t="shared" si="76"/>
        <v>33333.333333333336</v>
      </c>
      <c r="L269" s="73">
        <f t="shared" si="76"/>
        <v>26666.666666666668</v>
      </c>
      <c r="M269" s="73">
        <f t="shared" si="76"/>
        <v>20000</v>
      </c>
      <c r="N269" s="73">
        <f t="shared" si="76"/>
        <v>13333.333333333332</v>
      </c>
      <c r="O269" s="73">
        <f t="shared" si="76"/>
        <v>6666.6666666666652</v>
      </c>
      <c r="P269" s="464"/>
    </row>
    <row r="270" spans="2:16" outlineLevel="1" x14ac:dyDescent="0.2">
      <c r="B270" s="131" t="s">
        <v>129</v>
      </c>
      <c r="C270" s="152"/>
      <c r="D270" s="73">
        <f>+D265/(1+'All. 13'!$C$20)</f>
        <v>80000</v>
      </c>
      <c r="E270" s="73">
        <f>+E265/(1+'All. 13'!$C$20)</f>
        <v>0</v>
      </c>
      <c r="F270" s="73">
        <f>+F265/(1+'All. 13'!$C$20)</f>
        <v>0</v>
      </c>
      <c r="G270" s="73">
        <f>+G265/(1+'All. 13'!$C$20)</f>
        <v>0</v>
      </c>
      <c r="H270" s="73">
        <f>+H265/(1+'All. 13'!$C$20)</f>
        <v>0</v>
      </c>
      <c r="I270" s="73">
        <f>+I265/(1+'All. 13'!$C$20)</f>
        <v>0</v>
      </c>
      <c r="J270" s="73">
        <f>+J265/(1+'All. 13'!$C$20)</f>
        <v>0</v>
      </c>
      <c r="K270" s="73">
        <f>+K265/(1+'All. 13'!$C$20)</f>
        <v>0</v>
      </c>
      <c r="L270" s="73">
        <f>+L265/(1+'All. 13'!$C$20)</f>
        <v>0</v>
      </c>
      <c r="M270" s="73">
        <f>+M265/(1+'All. 13'!$C$20)</f>
        <v>0</v>
      </c>
      <c r="N270" s="73">
        <f>+N265/(1+'All. 13'!$C$20)</f>
        <v>0</v>
      </c>
      <c r="O270" s="73">
        <f>+O265/(1+'All. 13'!$C$20)</f>
        <v>0</v>
      </c>
      <c r="P270" s="464"/>
    </row>
    <row r="271" spans="2:16" outlineLevel="1" x14ac:dyDescent="0.2">
      <c r="B271" s="131" t="s">
        <v>130</v>
      </c>
      <c r="C271" s="152"/>
      <c r="D271" s="73">
        <f t="shared" ref="D271:O271" si="77">$D270/12</f>
        <v>6666.666666666667</v>
      </c>
      <c r="E271" s="73">
        <f t="shared" si="77"/>
        <v>6666.666666666667</v>
      </c>
      <c r="F271" s="73">
        <f t="shared" si="77"/>
        <v>6666.666666666667</v>
      </c>
      <c r="G271" s="73">
        <f t="shared" si="77"/>
        <v>6666.666666666667</v>
      </c>
      <c r="H271" s="73">
        <f t="shared" si="77"/>
        <v>6666.666666666667</v>
      </c>
      <c r="I271" s="73">
        <f t="shared" si="77"/>
        <v>6666.666666666667</v>
      </c>
      <c r="J271" s="73">
        <f t="shared" si="77"/>
        <v>6666.666666666667</v>
      </c>
      <c r="K271" s="73">
        <f t="shared" si="77"/>
        <v>6666.666666666667</v>
      </c>
      <c r="L271" s="73">
        <f t="shared" si="77"/>
        <v>6666.666666666667</v>
      </c>
      <c r="M271" s="73">
        <f t="shared" si="77"/>
        <v>6666.666666666667</v>
      </c>
      <c r="N271" s="73">
        <f t="shared" si="77"/>
        <v>6666.666666666667</v>
      </c>
      <c r="O271" s="73">
        <f t="shared" si="77"/>
        <v>6666.666666666667</v>
      </c>
      <c r="P271" s="464"/>
    </row>
    <row r="272" spans="2:16" ht="18" outlineLevel="1" thickBot="1" x14ac:dyDescent="0.25">
      <c r="B272" s="834" t="str">
        <f>"RF risconti attivi per "&amp;B258</f>
        <v>RF risconti attivi per Certificazione di bilancio</v>
      </c>
      <c r="C272" s="822"/>
      <c r="D272" s="830">
        <f t="shared" ref="D272:O272" si="78">D269+D270-D271</f>
        <v>73333.333333333328</v>
      </c>
      <c r="E272" s="830">
        <f t="shared" si="78"/>
        <v>66666.666666666657</v>
      </c>
      <c r="F272" s="830">
        <f t="shared" si="78"/>
        <v>59999.999999999993</v>
      </c>
      <c r="G272" s="830">
        <f t="shared" si="78"/>
        <v>53333.333333333328</v>
      </c>
      <c r="H272" s="830">
        <f t="shared" si="78"/>
        <v>46666.666666666664</v>
      </c>
      <c r="I272" s="830">
        <f t="shared" si="78"/>
        <v>40000</v>
      </c>
      <c r="J272" s="830">
        <f t="shared" si="78"/>
        <v>33333.333333333336</v>
      </c>
      <c r="K272" s="830">
        <f t="shared" si="78"/>
        <v>26666.666666666668</v>
      </c>
      <c r="L272" s="830">
        <f t="shared" si="78"/>
        <v>20000</v>
      </c>
      <c r="M272" s="830">
        <f t="shared" si="78"/>
        <v>13333.333333333332</v>
      </c>
      <c r="N272" s="830">
        <f t="shared" si="78"/>
        <v>6666.6666666666652</v>
      </c>
      <c r="O272" s="830">
        <f t="shared" si="78"/>
        <v>0</v>
      </c>
      <c r="P272" s="464"/>
    </row>
    <row r="273" spans="2:15" x14ac:dyDescent="0.2">
      <c r="D273" s="73"/>
      <c r="E273" s="73"/>
    </row>
    <row r="274" spans="2:15" ht="17" thickBot="1" x14ac:dyDescent="0.25">
      <c r="D274" s="73"/>
      <c r="E274" s="73"/>
    </row>
    <row r="275" spans="2:15" x14ac:dyDescent="0.2">
      <c r="B275" s="835" t="s">
        <v>1165</v>
      </c>
      <c r="C275" s="836"/>
      <c r="D275" s="837">
        <f t="shared" ref="D275:O275" si="79">+D39+D50+D61+D72+D83+D94+D105+D116+D127+D138+D151+D167+D183+D199+D215+D231+D249+D265</f>
        <v>11003987.297772322</v>
      </c>
      <c r="E275" s="837">
        <f>+E39+E50+E61+E72+E83+E94+E105+E116+E127+E138+E151+E167+E183+E199+E215+E231+E249+E265</f>
        <v>1886324.1706461878</v>
      </c>
      <c r="F275" s="837">
        <f t="shared" si="79"/>
        <v>2619755.7348824446</v>
      </c>
      <c r="G275" s="837">
        <f t="shared" si="79"/>
        <v>11286629.290498359</v>
      </c>
      <c r="H275" s="837">
        <f t="shared" si="79"/>
        <v>1852109.1437388591</v>
      </c>
      <c r="I275" s="837">
        <f t="shared" si="79"/>
        <v>2729185.2198416321</v>
      </c>
      <c r="J275" s="837">
        <f t="shared" si="79"/>
        <v>11237345.692394372</v>
      </c>
      <c r="K275" s="837">
        <f t="shared" si="79"/>
        <v>1208955.7772973154</v>
      </c>
      <c r="L275" s="837">
        <f t="shared" si="79"/>
        <v>2487660.7031259025</v>
      </c>
      <c r="M275" s="837">
        <f t="shared" si="79"/>
        <v>11277906.261437126</v>
      </c>
      <c r="N275" s="837">
        <f t="shared" si="79"/>
        <v>1852109.1437388591</v>
      </c>
      <c r="O275" s="838">
        <f t="shared" si="79"/>
        <v>2303662.0680976044</v>
      </c>
    </row>
    <row r="276" spans="2:15" x14ac:dyDescent="0.2">
      <c r="B276" s="706"/>
      <c r="C276" s="779"/>
      <c r="D276" s="779"/>
      <c r="E276" s="779"/>
      <c r="F276" s="779"/>
      <c r="G276" s="779"/>
      <c r="H276" s="779"/>
      <c r="I276" s="779"/>
      <c r="J276" s="779"/>
      <c r="K276" s="779"/>
      <c r="L276" s="779"/>
      <c r="M276" s="779"/>
      <c r="N276" s="779"/>
      <c r="O276" s="799"/>
    </row>
    <row r="277" spans="2:15" x14ac:dyDescent="0.2">
      <c r="B277" s="706" t="s">
        <v>1164</v>
      </c>
      <c r="C277" s="779"/>
      <c r="D277" s="811">
        <f>+D40+D51+D62+D73+D84+D95+D106+D117+D128+D139+D152+D168+D184+D200+D216+D232+D250+D266</f>
        <v>1799000</v>
      </c>
      <c r="E277" s="811">
        <f>+E40+E51+E62+E73+E84+E95+E106+E117+E128+E139+E152+E168+E184+E200+E216+E232+E250+E266</f>
        <v>1603887.2977723214</v>
      </c>
      <c r="F277" s="811">
        <f t="shared" ref="F277:O277" si="80">+F40+F51+F62+F73+F84+F95+F106+F117+F128+F139+F152+F168+F184+F200+F216+F232+F250+F266</f>
        <v>11188824.170646187</v>
      </c>
      <c r="G277" s="811">
        <f t="shared" si="80"/>
        <v>2619755.7348824446</v>
      </c>
      <c r="H277" s="811">
        <f t="shared" si="80"/>
        <v>1984129.2904983587</v>
      </c>
      <c r="I277" s="811">
        <f t="shared" si="80"/>
        <v>11252209.143738858</v>
      </c>
      <c r="J277" s="811">
        <f t="shared" si="80"/>
        <v>2729185.2198416321</v>
      </c>
      <c r="K277" s="811">
        <f t="shared" si="80"/>
        <v>1934845.6923943718</v>
      </c>
      <c r="L277" s="811">
        <f t="shared" si="80"/>
        <v>10511455.777297316</v>
      </c>
      <c r="M277" s="811">
        <f t="shared" si="80"/>
        <v>2487660.7031259025</v>
      </c>
      <c r="N277" s="811">
        <f t="shared" si="80"/>
        <v>1975406.2614371262</v>
      </c>
      <c r="O277" s="839">
        <f t="shared" si="80"/>
        <v>11685439.143738858</v>
      </c>
    </row>
    <row r="278" spans="2:15" x14ac:dyDescent="0.2">
      <c r="B278" s="706"/>
      <c r="C278" s="779"/>
      <c r="D278" s="779"/>
      <c r="E278" s="779"/>
      <c r="F278" s="779"/>
      <c r="G278" s="779"/>
      <c r="H278" s="779"/>
      <c r="I278" s="779"/>
      <c r="J278" s="779"/>
      <c r="K278" s="779"/>
      <c r="L278" s="779"/>
      <c r="M278" s="779"/>
      <c r="N278" s="779"/>
      <c r="O278" s="799"/>
    </row>
    <row r="279" spans="2:15" x14ac:dyDescent="0.2">
      <c r="B279" s="706" t="s">
        <v>86</v>
      </c>
      <c r="C279" s="779"/>
      <c r="D279" s="811">
        <f>(D275-D231)-(D275-D231)/(1+'All. 13'!$C$20)</f>
        <v>1984325.5782868117</v>
      </c>
      <c r="E279" s="811">
        <f>(E275-E231)-(E275-E231)/(1+'All. 13'!$C$20)</f>
        <v>340156.81765750935</v>
      </c>
      <c r="F279" s="811">
        <f>(F275-F231)-(F275-F231)/(1+'All. 13'!$C$20)</f>
        <v>472414.96858535893</v>
      </c>
      <c r="G279" s="811">
        <f>(G275-G231)-(G275-G231)/(1+'All. 13'!$C$20)</f>
        <v>2035293.8064833097</v>
      </c>
      <c r="H279" s="811">
        <f>(H275-H231)-(H275-H231)/(1+'All. 13'!$C$20)</f>
        <v>333986.89477258106</v>
      </c>
      <c r="I279" s="811">
        <f>(I275-I231)-(I275-I231)/(1+'All. 13'!$C$20)</f>
        <v>492148.15439767111</v>
      </c>
      <c r="J279" s="811">
        <f>(J275-J231)-(J275-J231)/(1+'All. 13'!$C$20)</f>
        <v>2026406.6002678368</v>
      </c>
      <c r="K279" s="811">
        <f>(K275-K231)-(K275-K231)/(1+'All. 13'!$C$20)</f>
        <v>218008.41885689297</v>
      </c>
      <c r="L279" s="811">
        <f>(L275-L231)-(L275-L231)/(1+'All. 13'!$C$20)</f>
        <v>448594.55302270362</v>
      </c>
      <c r="M279" s="811">
        <f>(M275-M231)-(M275-M231)/(1+'All. 13'!$C$20)</f>
        <v>2033720.8012427595</v>
      </c>
      <c r="N279" s="811">
        <f>(N275-N231)-(N275-N231)/(1+'All. 13'!$C$20)</f>
        <v>333986.89477258106</v>
      </c>
      <c r="O279" s="839">
        <f>(O275-O231)-(O275-O231)/(1+'All. 13'!$C$20)</f>
        <v>319691.02867333847</v>
      </c>
    </row>
    <row r="280" spans="2:15" x14ac:dyDescent="0.2">
      <c r="B280" s="706"/>
      <c r="C280" s="779"/>
      <c r="D280" s="811"/>
      <c r="E280" s="779"/>
      <c r="F280" s="779"/>
      <c r="G280" s="779"/>
      <c r="H280" s="779"/>
      <c r="I280" s="779"/>
      <c r="J280" s="779"/>
      <c r="K280" s="779"/>
      <c r="L280" s="779"/>
      <c r="M280" s="779"/>
      <c r="N280" s="779"/>
      <c r="O280" s="799"/>
    </row>
    <row r="281" spans="2:15" x14ac:dyDescent="0.2">
      <c r="B281" s="706" t="s">
        <v>1155</v>
      </c>
      <c r="C281" s="811">
        <f>+D38+D49+D60+D71+D82+D93+D104+D115+D126+D137+D150+D166+D182+D198+D214+D230+D248+D264</f>
        <v>1799000</v>
      </c>
      <c r="D281" s="811">
        <f>+D41+D52+D63+D74+D85+D96+D118+D129+D140+D153+D169+D185+D201+D217+D233+D251+D267+D107</f>
        <v>11003987.297772322</v>
      </c>
      <c r="E281" s="811">
        <f>+E41+E52+E63+E74+E85+E96+E118+E129+E140+E153+E169+E185+E201+E217+E233+E251+E267+E107</f>
        <v>11286424.170646187</v>
      </c>
      <c r="F281" s="811">
        <f t="shared" ref="F281:N281" si="81">+F41+F52+F63+F74+F85+F96+F118+F129+F140+F153+F169+F185+F201+F217+F233+F251+F267+F107</f>
        <v>2717355.7348824441</v>
      </c>
      <c r="G281" s="811">
        <f t="shared" si="81"/>
        <v>11384229.290498357</v>
      </c>
      <c r="H281" s="811">
        <f t="shared" si="81"/>
        <v>11252209.143738858</v>
      </c>
      <c r="I281" s="811">
        <f t="shared" si="81"/>
        <v>2729185.2198416316</v>
      </c>
      <c r="J281" s="811">
        <f t="shared" si="81"/>
        <v>11237345.692394372</v>
      </c>
      <c r="K281" s="811">
        <f t="shared" si="81"/>
        <v>10511455.777297314</v>
      </c>
      <c r="L281" s="811">
        <f t="shared" si="81"/>
        <v>2487660.703125902</v>
      </c>
      <c r="M281" s="811">
        <f t="shared" si="81"/>
        <v>11277906.261437126</v>
      </c>
      <c r="N281" s="811">
        <f t="shared" si="81"/>
        <v>11154609.143738858</v>
      </c>
      <c r="O281" s="839">
        <f>+O41+O52+O63+O74+O85+O96+O118+O129+O140+O153+O169+O185+O201+O217+O233+O251+O267+O107</f>
        <v>1772832.068097604</v>
      </c>
    </row>
    <row r="282" spans="2:15" x14ac:dyDescent="0.2">
      <c r="B282" s="706"/>
      <c r="C282" s="779"/>
      <c r="D282" s="779"/>
      <c r="E282" s="779"/>
      <c r="F282" s="779"/>
      <c r="G282" s="779"/>
      <c r="H282" s="779"/>
      <c r="I282" s="779"/>
      <c r="J282" s="779"/>
      <c r="K282" s="779"/>
      <c r="L282" s="779"/>
      <c r="M282" s="779"/>
      <c r="N282" s="779"/>
      <c r="O282" s="799"/>
    </row>
    <row r="283" spans="2:15" x14ac:dyDescent="0.2">
      <c r="B283" s="706" t="s">
        <v>1157</v>
      </c>
      <c r="C283" s="779"/>
      <c r="D283" s="811">
        <f t="shared" ref="D283:O283" si="82">D238+D222+D206+D190+D174+D158</f>
        <v>236702.47743332857</v>
      </c>
      <c r="E283" s="811">
        <f t="shared" si="82"/>
        <v>402677.05718198116</v>
      </c>
      <c r="F283" s="811">
        <f t="shared" si="82"/>
        <v>207292.23360541646</v>
      </c>
      <c r="G283" s="811">
        <f t="shared" si="82"/>
        <v>372868.98862974579</v>
      </c>
      <c r="H283" s="811">
        <f t="shared" si="82"/>
        <v>645684.63302155328</v>
      </c>
      <c r="I283" s="811">
        <f t="shared" si="82"/>
        <v>281102.97204465215</v>
      </c>
      <c r="J283" s="811">
        <f t="shared" si="82"/>
        <v>564052.79787232412</v>
      </c>
      <c r="K283" s="811">
        <f t="shared" si="82"/>
        <v>643046.89237591415</v>
      </c>
      <c r="L283" s="811">
        <f t="shared" si="82"/>
        <v>473796.77360870357</v>
      </c>
      <c r="M283" s="811">
        <f t="shared" si="82"/>
        <v>643513.31264462974</v>
      </c>
      <c r="N283" s="811">
        <f t="shared" si="82"/>
        <v>914029.58648025303</v>
      </c>
      <c r="O283" s="839">
        <f t="shared" si="82"/>
        <v>0</v>
      </c>
    </row>
    <row r="284" spans="2:15" x14ac:dyDescent="0.2">
      <c r="B284" s="706"/>
      <c r="C284" s="779"/>
      <c r="D284" s="779"/>
      <c r="E284" s="779"/>
      <c r="F284" s="779"/>
      <c r="G284" s="779"/>
      <c r="H284" s="779"/>
      <c r="I284" s="779"/>
      <c r="J284" s="779"/>
      <c r="K284" s="779"/>
      <c r="L284" s="779"/>
      <c r="M284" s="779"/>
      <c r="N284" s="779"/>
      <c r="O284" s="799"/>
    </row>
    <row r="285" spans="2:15" ht="17" thickBot="1" x14ac:dyDescent="0.25">
      <c r="B285" s="840" t="s">
        <v>1156</v>
      </c>
      <c r="C285" s="841"/>
      <c r="D285" s="842">
        <f t="shared" ref="D285:O285" si="83">+D272+D256</f>
        <v>5156666.666666667</v>
      </c>
      <c r="E285" s="842">
        <f t="shared" si="83"/>
        <v>2608333.333333334</v>
      </c>
      <c r="F285" s="842">
        <f t="shared" si="83"/>
        <v>59999.999999999993</v>
      </c>
      <c r="G285" s="842">
        <f t="shared" si="83"/>
        <v>5136666.666666667</v>
      </c>
      <c r="H285" s="842">
        <f t="shared" si="83"/>
        <v>2588333.333333334</v>
      </c>
      <c r="I285" s="842">
        <f t="shared" si="83"/>
        <v>40000</v>
      </c>
      <c r="J285" s="842">
        <f t="shared" si="83"/>
        <v>5116666.666666667</v>
      </c>
      <c r="K285" s="842">
        <f t="shared" si="83"/>
        <v>2568333.333333334</v>
      </c>
      <c r="L285" s="842">
        <f t="shared" si="83"/>
        <v>20000</v>
      </c>
      <c r="M285" s="842">
        <f t="shared" si="83"/>
        <v>5096666.666666667</v>
      </c>
      <c r="N285" s="842">
        <f t="shared" si="83"/>
        <v>2548333.333333334</v>
      </c>
      <c r="O285" s="843">
        <f t="shared" si="83"/>
        <v>0</v>
      </c>
    </row>
    <row r="288" spans="2:15" x14ac:dyDescent="0.2">
      <c r="B288" s="3" t="s">
        <v>88</v>
      </c>
      <c r="D288" s="73">
        <f t="shared" ref="D288:O288" si="84">D275-D279</f>
        <v>9019661.7194855101</v>
      </c>
      <c r="E288" s="73">
        <f t="shared" si="84"/>
        <v>1546167.3529886785</v>
      </c>
      <c r="F288" s="73">
        <f t="shared" si="84"/>
        <v>2147340.7662970857</v>
      </c>
      <c r="G288" s="73">
        <f t="shared" si="84"/>
        <v>9251335.4840150494</v>
      </c>
      <c r="H288" s="73">
        <f t="shared" si="84"/>
        <v>1518122.248966278</v>
      </c>
      <c r="I288" s="73">
        <f t="shared" si="84"/>
        <v>2237037.0654439609</v>
      </c>
      <c r="J288" s="73">
        <f t="shared" si="84"/>
        <v>9210939.0921265353</v>
      </c>
      <c r="K288" s="73">
        <f t="shared" si="84"/>
        <v>990947.35844042245</v>
      </c>
      <c r="L288" s="73">
        <f t="shared" si="84"/>
        <v>2039066.1501031988</v>
      </c>
      <c r="M288" s="73">
        <f t="shared" si="84"/>
        <v>9244185.4601943661</v>
      </c>
      <c r="N288" s="73">
        <f t="shared" si="84"/>
        <v>1518122.248966278</v>
      </c>
      <c r="O288" s="73">
        <f t="shared" si="84"/>
        <v>1983971.039424266</v>
      </c>
    </row>
    <row r="289" spans="2:15" x14ac:dyDescent="0.2">
      <c r="B289" s="76" t="s">
        <v>1166</v>
      </c>
      <c r="D289" s="73">
        <f>-D285</f>
        <v>-5156666.666666667</v>
      </c>
      <c r="E289" s="73">
        <f t="shared" ref="E289:O289" si="85">-(E285-D285)</f>
        <v>2548333.333333333</v>
      </c>
      <c r="F289" s="73">
        <f t="shared" si="85"/>
        <v>2548333.333333334</v>
      </c>
      <c r="G289" s="73">
        <f t="shared" si="85"/>
        <v>-5076666.666666667</v>
      </c>
      <c r="H289" s="73">
        <f t="shared" si="85"/>
        <v>2548333.333333333</v>
      </c>
      <c r="I289" s="73">
        <f t="shared" si="85"/>
        <v>2548333.333333334</v>
      </c>
      <c r="J289" s="73">
        <f t="shared" si="85"/>
        <v>-5076666.666666667</v>
      </c>
      <c r="K289" s="73">
        <f t="shared" si="85"/>
        <v>2548333.333333333</v>
      </c>
      <c r="L289" s="73">
        <f t="shared" si="85"/>
        <v>2548333.333333334</v>
      </c>
      <c r="M289" s="73">
        <f t="shared" si="85"/>
        <v>-5076666.666666667</v>
      </c>
      <c r="N289" s="73">
        <f t="shared" si="85"/>
        <v>2548333.333333333</v>
      </c>
      <c r="O289" s="73">
        <f t="shared" si="85"/>
        <v>2548333.333333334</v>
      </c>
    </row>
    <row r="290" spans="2:15" x14ac:dyDescent="0.2">
      <c r="B290" s="76" t="s">
        <v>1168</v>
      </c>
      <c r="D290" s="73">
        <f>+D283</f>
        <v>236702.47743332857</v>
      </c>
      <c r="E290" s="73">
        <f t="shared" ref="E290:O290" si="86">+E283-D283</f>
        <v>165974.57974865258</v>
      </c>
      <c r="F290" s="73">
        <f t="shared" si="86"/>
        <v>-195384.8235765647</v>
      </c>
      <c r="G290" s="73">
        <f t="shared" si="86"/>
        <v>165576.75502432932</v>
      </c>
      <c r="H290" s="73">
        <f t="shared" si="86"/>
        <v>272815.64439180749</v>
      </c>
      <c r="I290" s="73">
        <f t="shared" si="86"/>
        <v>-364581.66097690113</v>
      </c>
      <c r="J290" s="73">
        <f t="shared" si="86"/>
        <v>282949.82582767197</v>
      </c>
      <c r="K290" s="73">
        <f t="shared" si="86"/>
        <v>78994.094503590022</v>
      </c>
      <c r="L290" s="73">
        <f t="shared" si="86"/>
        <v>-169250.11876721057</v>
      </c>
      <c r="M290" s="73">
        <f t="shared" si="86"/>
        <v>169716.53903592617</v>
      </c>
      <c r="N290" s="73">
        <f t="shared" si="86"/>
        <v>270516.27383562329</v>
      </c>
      <c r="O290" s="73">
        <f t="shared" si="86"/>
        <v>-914029.58648025303</v>
      </c>
    </row>
    <row r="291" spans="2:15" s="12" customFormat="1" x14ac:dyDescent="0.2">
      <c r="B291" s="12" t="s">
        <v>1167</v>
      </c>
      <c r="D291" s="78">
        <f t="shared" ref="D291:O291" si="87">SUM(D288:D290)</f>
        <v>4099697.5302521717</v>
      </c>
      <c r="E291" s="78">
        <f t="shared" si="87"/>
        <v>4260475.2660706639</v>
      </c>
      <c r="F291" s="78">
        <f t="shared" si="87"/>
        <v>4500289.2760538543</v>
      </c>
      <c r="G291" s="78">
        <f t="shared" si="87"/>
        <v>4340245.5723727122</v>
      </c>
      <c r="H291" s="78">
        <f t="shared" si="87"/>
        <v>4339271.2266914183</v>
      </c>
      <c r="I291" s="78">
        <f t="shared" si="87"/>
        <v>4420788.7378003942</v>
      </c>
      <c r="J291" s="78">
        <f t="shared" si="87"/>
        <v>4417222.2512875404</v>
      </c>
      <c r="K291" s="78">
        <f t="shared" si="87"/>
        <v>3618274.7862773454</v>
      </c>
      <c r="L291" s="78">
        <f t="shared" si="87"/>
        <v>4418149.364669322</v>
      </c>
      <c r="M291" s="78">
        <f t="shared" si="87"/>
        <v>4337235.3325636256</v>
      </c>
      <c r="N291" s="78">
        <f t="shared" si="87"/>
        <v>4336971.8561352342</v>
      </c>
      <c r="O291" s="78">
        <f t="shared" si="87"/>
        <v>3618274.7862773468</v>
      </c>
    </row>
    <row r="293" spans="2:15" x14ac:dyDescent="0.2">
      <c r="D293" s="73">
        <f t="shared" ref="D293:O293" si="88">D30</f>
        <v>4099697.5302521707</v>
      </c>
      <c r="E293" s="73">
        <f t="shared" si="88"/>
        <v>4260475.2660706649</v>
      </c>
      <c r="F293" s="73">
        <f t="shared" si="88"/>
        <v>4500289.2760538543</v>
      </c>
      <c r="G293" s="73">
        <f t="shared" si="88"/>
        <v>4340245.5723727113</v>
      </c>
      <c r="H293" s="73">
        <f t="shared" si="88"/>
        <v>4339271.2266914193</v>
      </c>
      <c r="I293" s="73">
        <f t="shared" si="88"/>
        <v>4420788.7378003933</v>
      </c>
      <c r="J293" s="73">
        <f t="shared" si="88"/>
        <v>4417222.2512875395</v>
      </c>
      <c r="K293" s="73">
        <f t="shared" si="88"/>
        <v>3618274.7862773454</v>
      </c>
      <c r="L293" s="73">
        <f t="shared" si="88"/>
        <v>4418149.3646693211</v>
      </c>
      <c r="M293" s="73">
        <f t="shared" si="88"/>
        <v>4337235.3325636256</v>
      </c>
      <c r="N293" s="73">
        <f t="shared" si="88"/>
        <v>4336971.8561352352</v>
      </c>
      <c r="O293" s="73">
        <f t="shared" si="88"/>
        <v>3618274.7862773454</v>
      </c>
    </row>
    <row r="294" spans="2:15" x14ac:dyDescent="0.2">
      <c r="D294" s="73">
        <f t="shared" ref="D294:O294" si="89">+D291-D293</f>
        <v>0</v>
      </c>
      <c r="E294" s="73">
        <f t="shared" si="89"/>
        <v>0</v>
      </c>
      <c r="F294" s="73">
        <f t="shared" si="89"/>
        <v>0</v>
      </c>
      <c r="G294" s="73">
        <f t="shared" si="89"/>
        <v>0</v>
      </c>
      <c r="H294" s="73">
        <f t="shared" si="89"/>
        <v>0</v>
      </c>
      <c r="I294" s="73">
        <f t="shared" si="89"/>
        <v>0</v>
      </c>
      <c r="J294" s="73">
        <f t="shared" si="89"/>
        <v>0</v>
      </c>
      <c r="K294" s="73">
        <f t="shared" si="89"/>
        <v>0</v>
      </c>
      <c r="L294" s="73">
        <f t="shared" si="89"/>
        <v>0</v>
      </c>
      <c r="M294" s="73">
        <f t="shared" si="89"/>
        <v>0</v>
      </c>
      <c r="N294" s="73">
        <f t="shared" si="89"/>
        <v>0</v>
      </c>
      <c r="O294" s="73">
        <f t="shared" si="89"/>
        <v>0</v>
      </c>
    </row>
    <row r="296" spans="2:15" x14ac:dyDescent="0.2">
      <c r="D296" s="73">
        <f>-D275</f>
        <v>-11003987.297772322</v>
      </c>
      <c r="E296" s="73">
        <f t="shared" ref="E296:O296" si="90">-E275</f>
        <v>-1886324.1706461878</v>
      </c>
      <c r="F296" s="73">
        <f t="shared" si="90"/>
        <v>-2619755.7348824446</v>
      </c>
      <c r="G296" s="73">
        <f t="shared" si="90"/>
        <v>-11286629.290498359</v>
      </c>
      <c r="H296" s="73">
        <f t="shared" si="90"/>
        <v>-1852109.1437388591</v>
      </c>
      <c r="I296" s="73">
        <f t="shared" si="90"/>
        <v>-2729185.2198416321</v>
      </c>
      <c r="J296" s="73">
        <f t="shared" si="90"/>
        <v>-11237345.692394372</v>
      </c>
      <c r="K296" s="73">
        <f t="shared" si="90"/>
        <v>-1208955.7772973154</v>
      </c>
      <c r="L296" s="73">
        <f t="shared" si="90"/>
        <v>-2487660.7031259025</v>
      </c>
      <c r="M296" s="73">
        <f t="shared" si="90"/>
        <v>-11277906.261437126</v>
      </c>
      <c r="N296" s="73">
        <f t="shared" si="90"/>
        <v>-1852109.1437388591</v>
      </c>
      <c r="O296" s="73">
        <f t="shared" si="90"/>
        <v>-2303662.0680976044</v>
      </c>
    </row>
    <row r="297" spans="2:15" x14ac:dyDescent="0.2">
      <c r="D297" s="73">
        <f>D281-C281</f>
        <v>9204987.2977723219</v>
      </c>
      <c r="E297" s="73">
        <f t="shared" ref="E297:O297" si="91">E281-D281</f>
        <v>282436.87287386507</v>
      </c>
      <c r="F297" s="73">
        <f t="shared" si="91"/>
        <v>-8569068.4357637428</v>
      </c>
      <c r="G297" s="73">
        <f t="shared" si="91"/>
        <v>8666873.5556159131</v>
      </c>
      <c r="H297" s="73">
        <f t="shared" si="91"/>
        <v>-132020.14675949886</v>
      </c>
      <c r="I297" s="73">
        <f t="shared" si="91"/>
        <v>-8523023.9238972273</v>
      </c>
      <c r="J297" s="73">
        <f t="shared" si="91"/>
        <v>8508160.4725527409</v>
      </c>
      <c r="K297" s="73">
        <f t="shared" si="91"/>
        <v>-725889.91509705782</v>
      </c>
      <c r="L297" s="73">
        <f t="shared" si="91"/>
        <v>-8023795.0741714127</v>
      </c>
      <c r="M297" s="73">
        <f t="shared" si="91"/>
        <v>8790245.558311224</v>
      </c>
      <c r="N297" s="73">
        <f t="shared" si="91"/>
        <v>-123297.1176982671</v>
      </c>
      <c r="O297" s="73">
        <f t="shared" si="91"/>
        <v>-9381777.075641254</v>
      </c>
    </row>
    <row r="298" spans="2:15" x14ac:dyDescent="0.2">
      <c r="D298" s="73">
        <f>+D296+D297</f>
        <v>-1799000</v>
      </c>
      <c r="E298" s="73">
        <f t="shared" ref="E298:O298" si="92">+E296+E297</f>
        <v>-1603887.2977723228</v>
      </c>
      <c r="F298" s="73">
        <f t="shared" si="92"/>
        <v>-11188824.170646187</v>
      </c>
      <c r="G298" s="73">
        <f t="shared" si="92"/>
        <v>-2619755.734882446</v>
      </c>
      <c r="H298" s="73">
        <f t="shared" si="92"/>
        <v>-1984129.290498358</v>
      </c>
      <c r="I298" s="73">
        <f t="shared" si="92"/>
        <v>-11252209.143738858</v>
      </c>
      <c r="J298" s="73">
        <f t="shared" si="92"/>
        <v>-2729185.2198416311</v>
      </c>
      <c r="K298" s="73">
        <f t="shared" si="92"/>
        <v>-1934845.6923943732</v>
      </c>
      <c r="L298" s="73">
        <f t="shared" si="92"/>
        <v>-10511455.777297314</v>
      </c>
      <c r="M298" s="73">
        <f t="shared" si="92"/>
        <v>-2487660.7031259015</v>
      </c>
      <c r="N298" s="73">
        <f t="shared" si="92"/>
        <v>-1975406.2614371262</v>
      </c>
      <c r="O298" s="73">
        <f t="shared" si="92"/>
        <v>-11685439.143738858</v>
      </c>
    </row>
    <row r="299" spans="2:15" x14ac:dyDescent="0.2">
      <c r="D299" s="73">
        <f t="shared" ref="D299:O299" si="93">+D298+D277</f>
        <v>0</v>
      </c>
      <c r="E299" s="73">
        <f t="shared" si="93"/>
        <v>0</v>
      </c>
      <c r="F299" s="73">
        <f t="shared" si="93"/>
        <v>0</v>
      </c>
      <c r="G299" s="73">
        <f t="shared" si="93"/>
        <v>0</v>
      </c>
      <c r="H299" s="73">
        <f t="shared" si="93"/>
        <v>0</v>
      </c>
      <c r="I299" s="73">
        <f t="shared" si="93"/>
        <v>0</v>
      </c>
      <c r="J299" s="73">
        <f t="shared" si="93"/>
        <v>0</v>
      </c>
      <c r="K299" s="73">
        <f t="shared" si="93"/>
        <v>0</v>
      </c>
      <c r="L299" s="73">
        <f t="shared" si="93"/>
        <v>0</v>
      </c>
      <c r="M299" s="73">
        <f t="shared" si="93"/>
        <v>0</v>
      </c>
      <c r="N299" s="73">
        <f t="shared" si="93"/>
        <v>0</v>
      </c>
      <c r="O299" s="73">
        <f t="shared" si="93"/>
        <v>0</v>
      </c>
    </row>
  </sheetData>
  <mergeCells count="1">
    <mergeCell ref="D4:P4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91316-84C5-C44E-A5BA-53E546AA3110}">
  <sheetPr codeName="Foglio52"/>
  <dimension ref="B2:P15"/>
  <sheetViews>
    <sheetView zoomScale="190" zoomScaleNormal="190" workbookViewId="0">
      <selection activeCell="D7" sqref="D7"/>
    </sheetView>
  </sheetViews>
  <sheetFormatPr baseColWidth="10" defaultRowHeight="16" x14ac:dyDescent="0.2"/>
  <cols>
    <col min="1" max="1" width="10.83203125" style="3"/>
    <col min="2" max="2" width="34.6640625" style="3" bestFit="1" customWidth="1"/>
    <col min="3" max="3" width="15.33203125" style="3" bestFit="1" customWidth="1"/>
    <col min="4" max="16384" width="10.83203125" style="3"/>
  </cols>
  <sheetData>
    <row r="2" spans="2:16" x14ac:dyDescent="0.2">
      <c r="B2" s="3" t="s">
        <v>1177</v>
      </c>
    </row>
    <row r="3" spans="2:16" ht="17" thickBot="1" x14ac:dyDescent="0.25"/>
    <row r="4" spans="2:16" x14ac:dyDescent="0.2">
      <c r="B4" s="13"/>
      <c r="C4" s="157"/>
      <c r="D4" s="1044" t="s">
        <v>196</v>
      </c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4"/>
      <c r="P4" s="1045"/>
    </row>
    <row r="5" spans="2:16" x14ac:dyDescent="0.2">
      <c r="B5" s="146"/>
      <c r="C5" s="816" t="s">
        <v>1146</v>
      </c>
      <c r="D5" s="420" t="s">
        <v>211</v>
      </c>
      <c r="E5" s="420" t="s">
        <v>212</v>
      </c>
      <c r="F5" s="420" t="s">
        <v>213</v>
      </c>
      <c r="G5" s="420" t="s">
        <v>214</v>
      </c>
      <c r="H5" s="420" t="s">
        <v>215</v>
      </c>
      <c r="I5" s="420" t="s">
        <v>216</v>
      </c>
      <c r="J5" s="420" t="s">
        <v>217</v>
      </c>
      <c r="K5" s="420" t="s">
        <v>218</v>
      </c>
      <c r="L5" s="420" t="s">
        <v>219</v>
      </c>
      <c r="M5" s="420" t="s">
        <v>220</v>
      </c>
      <c r="N5" s="420" t="s">
        <v>221</v>
      </c>
      <c r="O5" s="420" t="s">
        <v>222</v>
      </c>
      <c r="P5" s="713" t="s">
        <v>179</v>
      </c>
    </row>
    <row r="6" spans="2:16" x14ac:dyDescent="0.2">
      <c r="B6" s="322"/>
      <c r="C6" s="122"/>
      <c r="P6" s="464"/>
    </row>
    <row r="7" spans="2:16" x14ac:dyDescent="0.2">
      <c r="B7" s="146" t="s">
        <v>1115</v>
      </c>
      <c r="C7" s="122" t="str">
        <f>VLOOKUP(B7,'All. 13'!$B$24:$C$42,2,0)</f>
        <v>mensile competenza</v>
      </c>
      <c r="D7" s="100">
        <f>'Tab. 22'!C31</f>
        <v>45000</v>
      </c>
      <c r="E7" s="100">
        <f>'Tab. 22'!D31</f>
        <v>45000</v>
      </c>
      <c r="F7" s="100">
        <f>'Tab. 22'!E31</f>
        <v>45000</v>
      </c>
      <c r="G7" s="100">
        <f>'Tab. 22'!F31</f>
        <v>45000</v>
      </c>
      <c r="H7" s="100">
        <f>'Tab. 22'!G31</f>
        <v>45000</v>
      </c>
      <c r="I7" s="100">
        <f>'Tab. 22'!H31</f>
        <v>45000</v>
      </c>
      <c r="J7" s="100">
        <f>'Tab. 22'!I31</f>
        <v>45000</v>
      </c>
      <c r="K7" s="100">
        <f>'Tab. 22'!J31</f>
        <v>45000</v>
      </c>
      <c r="L7" s="100">
        <f>'Tab. 22'!K31</f>
        <v>45000</v>
      </c>
      <c r="M7" s="100">
        <f>'Tab. 22'!L31</f>
        <v>45000</v>
      </c>
      <c r="N7" s="100">
        <f>'Tab. 22'!M31</f>
        <v>45000</v>
      </c>
      <c r="O7" s="100">
        <f>'Tab. 22'!N31</f>
        <v>45000</v>
      </c>
      <c r="P7" s="783">
        <f>SUM(D7:O7)</f>
        <v>540000</v>
      </c>
    </row>
    <row r="8" spans="2:16" ht="17" thickBot="1" x14ac:dyDescent="0.25">
      <c r="B8" s="852" t="s">
        <v>1145</v>
      </c>
      <c r="C8" s="817"/>
      <c r="D8" s="770">
        <f>+D7</f>
        <v>45000</v>
      </c>
      <c r="E8" s="770">
        <f t="shared" ref="E8:O8" si="0">+E7</f>
        <v>45000</v>
      </c>
      <c r="F8" s="770">
        <f t="shared" si="0"/>
        <v>45000</v>
      </c>
      <c r="G8" s="770">
        <f t="shared" si="0"/>
        <v>45000</v>
      </c>
      <c r="H8" s="770">
        <f t="shared" si="0"/>
        <v>45000</v>
      </c>
      <c r="I8" s="770">
        <f t="shared" si="0"/>
        <v>45000</v>
      </c>
      <c r="J8" s="770">
        <f t="shared" si="0"/>
        <v>45000</v>
      </c>
      <c r="K8" s="770">
        <f t="shared" si="0"/>
        <v>45000</v>
      </c>
      <c r="L8" s="770">
        <f t="shared" si="0"/>
        <v>45000</v>
      </c>
      <c r="M8" s="770">
        <f t="shared" si="0"/>
        <v>45000</v>
      </c>
      <c r="N8" s="770">
        <f t="shared" si="0"/>
        <v>45000</v>
      </c>
      <c r="O8" s="770">
        <f t="shared" si="0"/>
        <v>45000</v>
      </c>
      <c r="P8" s="254">
        <f>SUM(D8:O8)</f>
        <v>540000</v>
      </c>
    </row>
    <row r="9" spans="2:16" x14ac:dyDescent="0.2">
      <c r="B9" s="146"/>
      <c r="C9" s="122"/>
      <c r="P9" s="799"/>
    </row>
    <row r="10" spans="2:16" x14ac:dyDescent="0.2">
      <c r="B10" s="146" t="s">
        <v>1178</v>
      </c>
      <c r="C10" s="122"/>
      <c r="D10" s="3">
        <f>'All. 13'!E42</f>
        <v>0</v>
      </c>
      <c r="E10" s="73">
        <f>+D13</f>
        <v>0</v>
      </c>
      <c r="F10" s="73">
        <f t="shared" ref="F10:O10" si="1">+E13</f>
        <v>0</v>
      </c>
      <c r="G10" s="73">
        <f t="shared" si="1"/>
        <v>0</v>
      </c>
      <c r="H10" s="73">
        <f t="shared" si="1"/>
        <v>0</v>
      </c>
      <c r="I10" s="73">
        <f t="shared" si="1"/>
        <v>0</v>
      </c>
      <c r="J10" s="73">
        <f t="shared" si="1"/>
        <v>0</v>
      </c>
      <c r="K10" s="73">
        <f t="shared" si="1"/>
        <v>0</v>
      </c>
      <c r="L10" s="73">
        <f t="shared" si="1"/>
        <v>0</v>
      </c>
      <c r="M10" s="73">
        <f t="shared" si="1"/>
        <v>0</v>
      </c>
      <c r="N10" s="73">
        <f t="shared" si="1"/>
        <v>0</v>
      </c>
      <c r="O10" s="73">
        <f t="shared" si="1"/>
        <v>0</v>
      </c>
      <c r="P10" s="799"/>
    </row>
    <row r="11" spans="2:16" x14ac:dyDescent="0.2">
      <c r="B11" s="847" t="s">
        <v>1179</v>
      </c>
      <c r="C11" s="122"/>
      <c r="D11" s="73">
        <f>D8*(1+'All. 13'!$C$20)</f>
        <v>54900</v>
      </c>
      <c r="E11" s="73">
        <f>E8*(1+'All. 13'!$C$20)</f>
        <v>54900</v>
      </c>
      <c r="F11" s="73">
        <f>F8*(1+'All. 13'!$C$20)</f>
        <v>54900</v>
      </c>
      <c r="G11" s="73">
        <f>G8*(1+'All. 13'!$C$20)</f>
        <v>54900</v>
      </c>
      <c r="H11" s="73">
        <f>H8*(1+'All. 13'!$C$20)</f>
        <v>54900</v>
      </c>
      <c r="I11" s="73">
        <f>I8*(1+'All. 13'!$C$20)</f>
        <v>54900</v>
      </c>
      <c r="J11" s="73">
        <f>J8*(1+'All. 13'!$C$20)</f>
        <v>54900</v>
      </c>
      <c r="K11" s="73">
        <f>K8*(1+'All. 13'!$C$20)</f>
        <v>54900</v>
      </c>
      <c r="L11" s="73">
        <f>L8*(1+'All. 13'!$C$20)</f>
        <v>54900</v>
      </c>
      <c r="M11" s="73">
        <f>M8*(1+'All. 13'!$C$20)</f>
        <v>54900</v>
      </c>
      <c r="N11" s="73">
        <f>N8*(1+'All. 13'!$C$20)</f>
        <v>54900</v>
      </c>
      <c r="O11" s="73">
        <f>O8*(1+'All. 13'!$C$20)</f>
        <v>54900</v>
      </c>
      <c r="P11" s="799"/>
    </row>
    <row r="12" spans="2:16" x14ac:dyDescent="0.2">
      <c r="B12" s="847" t="s">
        <v>1154</v>
      </c>
      <c r="C12" s="122"/>
      <c r="D12" s="73">
        <f>D11</f>
        <v>54900</v>
      </c>
      <c r="E12" s="73">
        <f>E11</f>
        <v>54900</v>
      </c>
      <c r="F12" s="73">
        <f t="shared" ref="F12:O12" si="2">F11</f>
        <v>54900</v>
      </c>
      <c r="G12" s="73">
        <f t="shared" si="2"/>
        <v>54900</v>
      </c>
      <c r="H12" s="73">
        <f t="shared" si="2"/>
        <v>54900</v>
      </c>
      <c r="I12" s="73">
        <f t="shared" si="2"/>
        <v>54900</v>
      </c>
      <c r="J12" s="73">
        <f t="shared" si="2"/>
        <v>54900</v>
      </c>
      <c r="K12" s="73">
        <f t="shared" si="2"/>
        <v>54900</v>
      </c>
      <c r="L12" s="73">
        <f t="shared" si="2"/>
        <v>54900</v>
      </c>
      <c r="M12" s="73">
        <f t="shared" si="2"/>
        <v>54900</v>
      </c>
      <c r="N12" s="73">
        <f t="shared" si="2"/>
        <v>54900</v>
      </c>
      <c r="O12" s="73">
        <f t="shared" si="2"/>
        <v>54900</v>
      </c>
      <c r="P12" s="839">
        <f>SUM(D12:O12)</f>
        <v>658800</v>
      </c>
    </row>
    <row r="13" spans="2:16" ht="17" thickBot="1" x14ac:dyDescent="0.25">
      <c r="B13" s="852" t="s">
        <v>1180</v>
      </c>
      <c r="C13" s="817"/>
      <c r="D13" s="770">
        <f>D10+D11-D12</f>
        <v>0</v>
      </c>
      <c r="E13" s="770">
        <f>E10+E11-E12</f>
        <v>0</v>
      </c>
      <c r="F13" s="770">
        <f t="shared" ref="F13:O13" si="3">F10+F11-F12</f>
        <v>0</v>
      </c>
      <c r="G13" s="770">
        <f t="shared" si="3"/>
        <v>0</v>
      </c>
      <c r="H13" s="770">
        <f t="shared" si="3"/>
        <v>0</v>
      </c>
      <c r="I13" s="770">
        <f t="shared" si="3"/>
        <v>0</v>
      </c>
      <c r="J13" s="770">
        <f t="shared" si="3"/>
        <v>0</v>
      </c>
      <c r="K13" s="770">
        <f t="shared" si="3"/>
        <v>0</v>
      </c>
      <c r="L13" s="770">
        <f t="shared" si="3"/>
        <v>0</v>
      </c>
      <c r="M13" s="770">
        <f t="shared" si="3"/>
        <v>0</v>
      </c>
      <c r="N13" s="770">
        <f t="shared" si="3"/>
        <v>0</v>
      </c>
      <c r="O13" s="770">
        <f t="shared" si="3"/>
        <v>0</v>
      </c>
      <c r="P13" s="254"/>
    </row>
    <row r="15" spans="2:16" x14ac:dyDescent="0.2">
      <c r="B15" s="3" t="s">
        <v>1102</v>
      </c>
      <c r="D15" s="73">
        <f>D11-D8</f>
        <v>9900</v>
      </c>
      <c r="E15" s="73">
        <f t="shared" ref="E15:O15" si="4">E11-E8</f>
        <v>9900</v>
      </c>
      <c r="F15" s="73">
        <f t="shared" si="4"/>
        <v>9900</v>
      </c>
      <c r="G15" s="73">
        <f t="shared" si="4"/>
        <v>9900</v>
      </c>
      <c r="H15" s="73">
        <f t="shared" si="4"/>
        <v>9900</v>
      </c>
      <c r="I15" s="73">
        <f t="shared" si="4"/>
        <v>9900</v>
      </c>
      <c r="J15" s="73">
        <f t="shared" si="4"/>
        <v>9900</v>
      </c>
      <c r="K15" s="73">
        <f t="shared" si="4"/>
        <v>9900</v>
      </c>
      <c r="L15" s="73">
        <f t="shared" si="4"/>
        <v>9900</v>
      </c>
      <c r="M15" s="73">
        <f t="shared" si="4"/>
        <v>9900</v>
      </c>
      <c r="N15" s="73">
        <f t="shared" si="4"/>
        <v>9900</v>
      </c>
      <c r="O15" s="73">
        <f t="shared" si="4"/>
        <v>9900</v>
      </c>
    </row>
  </sheetData>
  <mergeCells count="1">
    <mergeCell ref="D4:P4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4C51-61D0-D346-8B28-5A7E65848E73}">
  <sheetPr codeName="Foglio53"/>
  <dimension ref="A2:Q91"/>
  <sheetViews>
    <sheetView zoomScale="226" zoomScaleNormal="190" workbookViewId="0">
      <pane xSplit="2" ySplit="5" topLeftCell="C63" activePane="bottomRight" state="frozen"/>
      <selection pane="topRight" activeCell="C1" sqref="C1"/>
      <selection pane="bottomLeft" activeCell="A6" sqref="A6"/>
      <selection pane="bottomRight" activeCell="G74" sqref="G74"/>
    </sheetView>
  </sheetViews>
  <sheetFormatPr baseColWidth="10" defaultRowHeight="16" x14ac:dyDescent="0.2"/>
  <cols>
    <col min="1" max="1" width="10.83203125" style="3"/>
    <col min="2" max="2" width="39.33203125" style="3" customWidth="1"/>
    <col min="3" max="3" width="12.6640625" style="3" customWidth="1"/>
    <col min="4" max="13" width="12.1640625" style="3" customWidth="1"/>
    <col min="14" max="14" width="12.1640625" style="3" bestFit="1" customWidth="1"/>
    <col min="15" max="15" width="11.5" style="3" bestFit="1" customWidth="1"/>
    <col min="16" max="16384" width="10.83203125" style="3"/>
  </cols>
  <sheetData>
    <row r="2" spans="2:17" x14ac:dyDescent="0.2">
      <c r="B2" s="3" t="s">
        <v>1183</v>
      </c>
    </row>
    <row r="3" spans="2:17" ht="17" thickBot="1" x14ac:dyDescent="0.25"/>
    <row r="4" spans="2:17" x14ac:dyDescent="0.2">
      <c r="B4" s="13"/>
      <c r="C4" s="1056" t="s">
        <v>196</v>
      </c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5"/>
    </row>
    <row r="5" spans="2:17" x14ac:dyDescent="0.2">
      <c r="B5" s="146"/>
      <c r="C5" s="419" t="s">
        <v>211</v>
      </c>
      <c r="D5" s="420" t="s">
        <v>212</v>
      </c>
      <c r="E5" s="420" t="s">
        <v>213</v>
      </c>
      <c r="F5" s="420" t="s">
        <v>214</v>
      </c>
      <c r="G5" s="420" t="s">
        <v>215</v>
      </c>
      <c r="H5" s="420" t="s">
        <v>216</v>
      </c>
      <c r="I5" s="420" t="s">
        <v>217</v>
      </c>
      <c r="J5" s="420" t="s">
        <v>218</v>
      </c>
      <c r="K5" s="420" t="s">
        <v>219</v>
      </c>
      <c r="L5" s="420" t="s">
        <v>220</v>
      </c>
      <c r="M5" s="420" t="s">
        <v>221</v>
      </c>
      <c r="N5" s="420" t="s">
        <v>222</v>
      </c>
      <c r="O5" s="713" t="s">
        <v>179</v>
      </c>
    </row>
    <row r="6" spans="2:17" x14ac:dyDescent="0.2">
      <c r="B6" s="322"/>
      <c r="C6" s="28"/>
      <c r="O6" s="464"/>
    </row>
    <row r="7" spans="2:17" x14ac:dyDescent="0.2">
      <c r="B7" s="146" t="s">
        <v>681</v>
      </c>
      <c r="C7" s="881">
        <f>'Tab. 11'!C91</f>
        <v>249622.16017021297</v>
      </c>
      <c r="D7" s="100">
        <f>'Tab. 11'!D91</f>
        <v>280841.44480803621</v>
      </c>
      <c r="E7" s="100">
        <f>'Tab. 11'!E91</f>
        <v>320919.0959148939</v>
      </c>
      <c r="F7" s="100">
        <f>'Tab. 11'!F91</f>
        <v>293013.08757446834</v>
      </c>
      <c r="G7" s="100">
        <f>'Tab. 11'!G91</f>
        <v>293013.08757446834</v>
      </c>
      <c r="H7" s="100">
        <f>'Tab. 11'!H91</f>
        <v>306966.09174468112</v>
      </c>
      <c r="I7" s="100">
        <f>'Tab. 11'!I91</f>
        <v>306966.09174468112</v>
      </c>
      <c r="J7" s="100">
        <f>'Tab. 11'!J91</f>
        <v>167436.05004255334</v>
      </c>
      <c r="K7" s="100">
        <f>'Tab. 11'!K91</f>
        <v>306966.09174468112</v>
      </c>
      <c r="L7" s="100">
        <f>'Tab. 11'!L91</f>
        <v>293013.08757446834</v>
      </c>
      <c r="M7" s="100">
        <f>'Tab. 11'!M91</f>
        <v>293013.08757446834</v>
      </c>
      <c r="N7" s="100">
        <f>'Tab. 11'!N91</f>
        <v>167436.05004255334</v>
      </c>
      <c r="O7" s="783">
        <f t="shared" ref="O7:O12" si="0">SUM(C7:N7)</f>
        <v>3279205.4265101668</v>
      </c>
    </row>
    <row r="8" spans="2:17" x14ac:dyDescent="0.2">
      <c r="B8" s="146" t="s">
        <v>77</v>
      </c>
      <c r="C8" s="881">
        <f>'Tab. 11'!C92</f>
        <v>20801.846680851049</v>
      </c>
      <c r="D8" s="100">
        <f>'Tab. 11'!D92</f>
        <v>23113.162978723387</v>
      </c>
      <c r="E8" s="100">
        <f>'Tab. 11'!E92</f>
        <v>26743.257992907784</v>
      </c>
      <c r="F8" s="100">
        <f>'Tab. 11'!F92</f>
        <v>24417.757297872318</v>
      </c>
      <c r="G8" s="100">
        <f>'Tab. 11'!G92</f>
        <v>24417.757297872318</v>
      </c>
      <c r="H8" s="100">
        <f>'Tab. 11'!H92</f>
        <v>25580.507645390055</v>
      </c>
      <c r="I8" s="100">
        <f>'Tab. 11'!I92</f>
        <v>25580.507645390055</v>
      </c>
      <c r="J8" s="100">
        <f>'Tab. 11'!J92</f>
        <v>13953.004170212756</v>
      </c>
      <c r="K8" s="100">
        <f>'Tab. 11'!K92</f>
        <v>25580.507645390055</v>
      </c>
      <c r="L8" s="100">
        <f>'Tab. 11'!L92</f>
        <v>24417.757297872318</v>
      </c>
      <c r="M8" s="100">
        <f>'Tab. 11'!M92</f>
        <v>24417.757297872318</v>
      </c>
      <c r="N8" s="100">
        <f>'Tab. 11'!N92</f>
        <v>13953.004170212756</v>
      </c>
      <c r="O8" s="783">
        <f t="shared" si="0"/>
        <v>272976.8281205672</v>
      </c>
      <c r="Q8" s="73"/>
    </row>
    <row r="9" spans="2:17" x14ac:dyDescent="0.2">
      <c r="B9" s="146" t="s">
        <v>78</v>
      </c>
      <c r="C9" s="881">
        <f>'Tab. 11'!C93</f>
        <v>20801.846680851049</v>
      </c>
      <c r="D9" s="100">
        <f>'Tab. 11'!D93</f>
        <v>23113.162978723387</v>
      </c>
      <c r="E9" s="100">
        <f>'Tab. 11'!E93</f>
        <v>26743.257992907784</v>
      </c>
      <c r="F9" s="100">
        <f>'Tab. 11'!F93</f>
        <v>24417.757297872318</v>
      </c>
      <c r="G9" s="100">
        <f>'Tab. 11'!G93</f>
        <v>24417.757297872318</v>
      </c>
      <c r="H9" s="100">
        <f>'Tab. 11'!H93</f>
        <v>25580.507645390055</v>
      </c>
      <c r="I9" s="100">
        <f>'Tab. 11'!I93</f>
        <v>25580.507645390055</v>
      </c>
      <c r="J9" s="100">
        <f>'Tab. 11'!J93</f>
        <v>13953.004170212756</v>
      </c>
      <c r="K9" s="100">
        <f>'Tab. 11'!K93</f>
        <v>25580.507645390055</v>
      </c>
      <c r="L9" s="100">
        <f>'Tab. 11'!L93</f>
        <v>24417.757297872318</v>
      </c>
      <c r="M9" s="100">
        <f>'Tab. 11'!M93</f>
        <v>24417.757297872318</v>
      </c>
      <c r="N9" s="100">
        <f>'Tab. 11'!N93</f>
        <v>13953.004170212756</v>
      </c>
      <c r="O9" s="783">
        <f t="shared" si="0"/>
        <v>272976.8281205672</v>
      </c>
      <c r="Q9" s="73"/>
    </row>
    <row r="10" spans="2:17" x14ac:dyDescent="0.2">
      <c r="B10" s="146" t="s">
        <v>682</v>
      </c>
      <c r="C10" s="881">
        <f>'Tab. 11'!C94</f>
        <v>59435.036336527599</v>
      </c>
      <c r="D10" s="100">
        <f>'Tab. 11'!D94</f>
        <v>67065.832612212311</v>
      </c>
      <c r="E10" s="100">
        <f>'Tab. 11'!E94</f>
        <v>76410.836737336096</v>
      </c>
      <c r="F10" s="100">
        <f>'Tab. 11'!F94</f>
        <v>69766.416151480778</v>
      </c>
      <c r="G10" s="100">
        <f>'Tab. 11'!G94</f>
        <v>69766.416151480778</v>
      </c>
      <c r="H10" s="100">
        <f>'Tab. 11'!H94</f>
        <v>73088.626444408437</v>
      </c>
      <c r="I10" s="100">
        <f>'Tab. 11'!I94</f>
        <v>73088.626444408437</v>
      </c>
      <c r="J10" s="100">
        <f>'Tab. 11'!J94</f>
        <v>39866.523515131878</v>
      </c>
      <c r="K10" s="100">
        <f>'Tab. 11'!K94</f>
        <v>73088.626444408437</v>
      </c>
      <c r="L10" s="100">
        <f>'Tab. 11'!L94</f>
        <v>69766.416151480778</v>
      </c>
      <c r="M10" s="100">
        <f>'Tab. 11'!M94</f>
        <v>69766.416151480778</v>
      </c>
      <c r="N10" s="100">
        <f>'Tab. 11'!N94</f>
        <v>39866.523515131878</v>
      </c>
      <c r="O10" s="783">
        <f t="shared" si="0"/>
        <v>780976.2966554882</v>
      </c>
    </row>
    <row r="11" spans="2:17" x14ac:dyDescent="0.2">
      <c r="B11" s="146" t="s">
        <v>683</v>
      </c>
      <c r="C11" s="881">
        <f>'Tab. 11'!C95</f>
        <v>4952.9196947106411</v>
      </c>
      <c r="D11" s="100">
        <f>'Tab. 11'!D95</f>
        <v>5503.2441052340455</v>
      </c>
      <c r="E11" s="100">
        <f>'Tab. 11'!E95</f>
        <v>6367.5697281113507</v>
      </c>
      <c r="F11" s="100">
        <f>'Tab. 11'!F95</f>
        <v>5813.8680126234067</v>
      </c>
      <c r="G11" s="100">
        <f>'Tab. 11'!G95</f>
        <v>5813.8680126234067</v>
      </c>
      <c r="H11" s="100">
        <f>'Tab. 11'!H95</f>
        <v>6090.7188703673792</v>
      </c>
      <c r="I11" s="100">
        <f>'Tab. 11'!I95</f>
        <v>6090.7188703673792</v>
      </c>
      <c r="J11" s="100">
        <f>'Tab. 11'!J95</f>
        <v>3322.2102929276616</v>
      </c>
      <c r="K11" s="100">
        <f>'Tab. 11'!K95</f>
        <v>6090.7188703673792</v>
      </c>
      <c r="L11" s="100">
        <f>'Tab. 11'!L95</f>
        <v>5813.8680126234067</v>
      </c>
      <c r="M11" s="100">
        <f>'Tab. 11'!M95</f>
        <v>5813.8680126234067</v>
      </c>
      <c r="N11" s="100">
        <f>'Tab. 11'!N95</f>
        <v>3322.2102929276616</v>
      </c>
      <c r="O11" s="783">
        <f t="shared" si="0"/>
        <v>64995.782775507134</v>
      </c>
    </row>
    <row r="12" spans="2:17" x14ac:dyDescent="0.2">
      <c r="B12" s="146" t="s">
        <v>684</v>
      </c>
      <c r="C12" s="881">
        <f>'Tab. 11'!C96</f>
        <v>4952.9196947106411</v>
      </c>
      <c r="D12" s="100">
        <f>'Tab. 11'!D96</f>
        <v>5503.2441052340455</v>
      </c>
      <c r="E12" s="100">
        <f>'Tab. 11'!E96</f>
        <v>6367.5697281113507</v>
      </c>
      <c r="F12" s="100">
        <f>'Tab. 11'!F96</f>
        <v>5813.8680126234067</v>
      </c>
      <c r="G12" s="100">
        <f>'Tab. 11'!G96</f>
        <v>5813.8680126234067</v>
      </c>
      <c r="H12" s="100">
        <f>'Tab. 11'!H96</f>
        <v>6090.7188703673792</v>
      </c>
      <c r="I12" s="100">
        <f>'Tab. 11'!I96</f>
        <v>6090.7188703673792</v>
      </c>
      <c r="J12" s="100">
        <f>'Tab. 11'!J96</f>
        <v>3322.2102929276616</v>
      </c>
      <c r="K12" s="100">
        <f>'Tab. 11'!K96</f>
        <v>6090.7188703673792</v>
      </c>
      <c r="L12" s="100">
        <f>'Tab. 11'!L96</f>
        <v>5813.8680126234067</v>
      </c>
      <c r="M12" s="100">
        <f>'Tab. 11'!M96</f>
        <v>5813.8680126234067</v>
      </c>
      <c r="N12" s="100">
        <f>'Tab. 11'!N96</f>
        <v>3322.2102929276616</v>
      </c>
      <c r="O12" s="783">
        <f t="shared" si="0"/>
        <v>64995.782775507134</v>
      </c>
    </row>
    <row r="13" spans="2:17" x14ac:dyDescent="0.2">
      <c r="B13" s="146" t="s">
        <v>81</v>
      </c>
      <c r="C13" s="881">
        <f>'Tab. 11'!C97</f>
        <v>18490.530382978752</v>
      </c>
      <c r="D13" s="100">
        <f>'Tab. 11'!D97</f>
        <v>20545.033758865284</v>
      </c>
      <c r="E13" s="100">
        <f>'Tab. 11'!E97</f>
        <v>23771.784882584754</v>
      </c>
      <c r="F13" s="100">
        <f>'Tab. 11'!F97</f>
        <v>21704.673153664335</v>
      </c>
      <c r="G13" s="100">
        <f>'Tab. 11'!G97</f>
        <v>21704.673153664335</v>
      </c>
      <c r="H13" s="100">
        <f>'Tab. 11'!H97</f>
        <v>22738.229018124548</v>
      </c>
      <c r="I13" s="100">
        <f>'Tab. 11'!I97</f>
        <v>22738.229018124548</v>
      </c>
      <c r="J13" s="100">
        <f>'Tab. 11'!J97</f>
        <v>12402.67037352248</v>
      </c>
      <c r="K13" s="100">
        <f>'Tab. 11'!K97</f>
        <v>22738.229018124548</v>
      </c>
      <c r="L13" s="100">
        <f>'Tab. 11'!L97</f>
        <v>21704.673153664335</v>
      </c>
      <c r="M13" s="100">
        <f>'Tab. 11'!M97</f>
        <v>21704.673153664335</v>
      </c>
      <c r="N13" s="100">
        <f>'Tab. 11'!N97</f>
        <v>12402.67037352248</v>
      </c>
      <c r="O13" s="783">
        <f>SUM(C13:N13)</f>
        <v>242646.06944050471</v>
      </c>
    </row>
    <row r="14" spans="2:17" ht="17" thickBot="1" x14ac:dyDescent="0.25">
      <c r="B14" s="852" t="s">
        <v>1234</v>
      </c>
      <c r="C14" s="882">
        <f>SUM(C7:C13)</f>
        <v>379057.25964084273</v>
      </c>
      <c r="D14" s="861">
        <f t="shared" ref="D14:N14" si="1">SUM(D7:D13)</f>
        <v>425685.12534702866</v>
      </c>
      <c r="E14" s="861">
        <f t="shared" si="1"/>
        <v>487323.37297685299</v>
      </c>
      <c r="F14" s="861">
        <f t="shared" si="1"/>
        <v>444947.42750060488</v>
      </c>
      <c r="G14" s="861">
        <f t="shared" si="1"/>
        <v>444947.42750060488</v>
      </c>
      <c r="H14" s="861">
        <f>SUM(H7:H13)</f>
        <v>466135.40023872897</v>
      </c>
      <c r="I14" s="861">
        <f t="shared" si="1"/>
        <v>466135.40023872897</v>
      </c>
      <c r="J14" s="861">
        <f t="shared" si="1"/>
        <v>254255.67285748851</v>
      </c>
      <c r="K14" s="861">
        <f t="shared" si="1"/>
        <v>466135.40023872897</v>
      </c>
      <c r="L14" s="861">
        <f t="shared" si="1"/>
        <v>444947.42750060488</v>
      </c>
      <c r="M14" s="861">
        <f t="shared" si="1"/>
        <v>444947.42750060488</v>
      </c>
      <c r="N14" s="861">
        <f t="shared" si="1"/>
        <v>254255.67285748851</v>
      </c>
      <c r="O14" s="254">
        <f>SUM(C14:N14)</f>
        <v>4978773.0143983075</v>
      </c>
      <c r="P14" s="73">
        <f>+O14-'Tab. 11'!O98</f>
        <v>0</v>
      </c>
    </row>
    <row r="15" spans="2:17" x14ac:dyDescent="0.2">
      <c r="B15" s="13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151"/>
    </row>
    <row r="16" spans="2:17" x14ac:dyDescent="0.2">
      <c r="B16" s="146" t="s">
        <v>1202</v>
      </c>
      <c r="C16" s="73">
        <f>C7</f>
        <v>249622.16017021297</v>
      </c>
      <c r="D16" s="73">
        <f t="shared" ref="D16:N16" si="2">D7</f>
        <v>280841.44480803621</v>
      </c>
      <c r="E16" s="73">
        <f t="shared" si="2"/>
        <v>320919.0959148939</v>
      </c>
      <c r="F16" s="73">
        <f t="shared" si="2"/>
        <v>293013.08757446834</v>
      </c>
      <c r="G16" s="73">
        <f t="shared" si="2"/>
        <v>293013.08757446834</v>
      </c>
      <c r="H16" s="73">
        <f t="shared" si="2"/>
        <v>306966.09174468112</v>
      </c>
      <c r="I16" s="73">
        <f t="shared" si="2"/>
        <v>306966.09174468112</v>
      </c>
      <c r="J16" s="73">
        <f t="shared" si="2"/>
        <v>167436.05004255334</v>
      </c>
      <c r="K16" s="73">
        <f t="shared" si="2"/>
        <v>306966.09174468112</v>
      </c>
      <c r="L16" s="73">
        <f t="shared" si="2"/>
        <v>293013.08757446834</v>
      </c>
      <c r="M16" s="73">
        <f t="shared" si="2"/>
        <v>293013.08757446834</v>
      </c>
      <c r="N16" s="147">
        <f t="shared" si="2"/>
        <v>167436.05004255334</v>
      </c>
    </row>
    <row r="17" spans="2:14" x14ac:dyDescent="0.2">
      <c r="B17" s="847" t="s">
        <v>1203</v>
      </c>
      <c r="C17" s="73">
        <f>C16*'All. 4'!$E$5</f>
        <v>22940.276519642575</v>
      </c>
      <c r="D17" s="73">
        <f>D16*'All. 4'!$E$5</f>
        <v>25809.328777858529</v>
      </c>
      <c r="E17" s="73">
        <f>E16*'All. 4'!$E$5</f>
        <v>29492.464914578752</v>
      </c>
      <c r="F17" s="73">
        <f>F16*'All. 4'!$E$5</f>
        <v>26927.902748093642</v>
      </c>
      <c r="G17" s="73">
        <f>G16*'All. 4'!$E$5</f>
        <v>26927.902748093642</v>
      </c>
      <c r="H17" s="73">
        <f>H16*'All. 4'!$E$5</f>
        <v>28210.183831336199</v>
      </c>
      <c r="I17" s="73">
        <f>I16*'All. 4'!$E$5</f>
        <v>28210.183831336199</v>
      </c>
      <c r="J17" s="73">
        <f>J16*'All. 4'!$E$5</f>
        <v>15387.372998910654</v>
      </c>
      <c r="K17" s="73">
        <f>K16*'All. 4'!$E$5</f>
        <v>28210.183831336199</v>
      </c>
      <c r="L17" s="73">
        <f>L16*'All. 4'!$E$5</f>
        <v>26927.902748093642</v>
      </c>
      <c r="M17" s="73">
        <f>M16*'All. 4'!$E$5</f>
        <v>26927.902748093642</v>
      </c>
      <c r="N17" s="147">
        <f>N16*'All. 4'!$E$5</f>
        <v>15387.372998910654</v>
      </c>
    </row>
    <row r="18" spans="2:14" x14ac:dyDescent="0.2">
      <c r="B18" s="847" t="s">
        <v>1204</v>
      </c>
      <c r="C18" s="73">
        <f>(C16-C17)*'All. 4'!$E$6</f>
        <v>56670.470912642602</v>
      </c>
      <c r="D18" s="73">
        <f>(D16-D17)*'All. 4'!$E$6</f>
        <v>63758.029007544421</v>
      </c>
      <c r="E18" s="73">
        <f>(E16-E17)*'All. 4'!$E$6</f>
        <v>72856.657750078783</v>
      </c>
      <c r="F18" s="73">
        <f>(F16-F17)*'All. 4'!$E$6</f>
        <v>66521.296206593674</v>
      </c>
      <c r="G18" s="73">
        <f>(G16-G17)*'All. 4'!$E$6</f>
        <v>66521.296206593674</v>
      </c>
      <c r="H18" s="73">
        <f>(H16-H17)*'All. 4'!$E$6</f>
        <v>69688.976978336228</v>
      </c>
      <c r="I18" s="73">
        <f>(I16-I17)*'All. 4'!$E$6</f>
        <v>69688.976978336228</v>
      </c>
      <c r="J18" s="73">
        <f>(J16-J17)*'All. 4'!$E$6</f>
        <v>38012.169260910669</v>
      </c>
      <c r="K18" s="73">
        <f>(K16-K17)*'All. 4'!$E$6</f>
        <v>69688.976978336228</v>
      </c>
      <c r="L18" s="73">
        <f>(L16-L17)*'All. 4'!$E$6</f>
        <v>66521.296206593674</v>
      </c>
      <c r="M18" s="73">
        <f>(M16-M17)*'All. 4'!$E$6</f>
        <v>66521.296206593674</v>
      </c>
      <c r="N18" s="147">
        <f>(N16-N17)*'All. 4'!$E$6</f>
        <v>38012.169260910669</v>
      </c>
    </row>
    <row r="19" spans="2:14" x14ac:dyDescent="0.2">
      <c r="B19" s="868" t="s">
        <v>1205</v>
      </c>
      <c r="C19" s="78">
        <f>C16-C17-C18</f>
        <v>170011.41273792781</v>
      </c>
      <c r="D19" s="78">
        <f t="shared" ref="D19:N19" si="3">D16-D17-D18</f>
        <v>191274.08702263326</v>
      </c>
      <c r="E19" s="78">
        <f t="shared" si="3"/>
        <v>218569.97325023636</v>
      </c>
      <c r="F19" s="78">
        <f t="shared" si="3"/>
        <v>199563.88861978101</v>
      </c>
      <c r="G19" s="78">
        <f t="shared" si="3"/>
        <v>199563.88861978101</v>
      </c>
      <c r="H19" s="78">
        <f t="shared" si="3"/>
        <v>209066.93093500868</v>
      </c>
      <c r="I19" s="78">
        <f t="shared" si="3"/>
        <v>209066.93093500868</v>
      </c>
      <c r="J19" s="78">
        <f t="shared" si="3"/>
        <v>114036.50778273201</v>
      </c>
      <c r="K19" s="78">
        <f t="shared" si="3"/>
        <v>209066.93093500868</v>
      </c>
      <c r="L19" s="78">
        <f t="shared" si="3"/>
        <v>199563.88861978101</v>
      </c>
      <c r="M19" s="78">
        <f t="shared" si="3"/>
        <v>199563.88861978101</v>
      </c>
      <c r="N19" s="869">
        <f t="shared" si="3"/>
        <v>114036.50778273201</v>
      </c>
    </row>
    <row r="20" spans="2:14" x14ac:dyDescent="0.2">
      <c r="B20" s="868" t="s">
        <v>1233</v>
      </c>
      <c r="C20" s="78">
        <f>C16*'All. 4'!$E$4</f>
        <v>59435.036336527708</v>
      </c>
      <c r="D20" s="78">
        <f>D16*'All. 4'!$E$4</f>
        <v>66868.348008793429</v>
      </c>
      <c r="E20" s="78">
        <f>E16*'All. 4'!$E$4</f>
        <v>76410.836737336242</v>
      </c>
      <c r="F20" s="78">
        <f>F16*'All. 4'!$E$4</f>
        <v>69766.416151480909</v>
      </c>
      <c r="G20" s="78">
        <f>G16*'All. 4'!$E$4</f>
        <v>69766.416151480909</v>
      </c>
      <c r="H20" s="78">
        <f>H16*'All. 4'!$E$4</f>
        <v>73088.626444408583</v>
      </c>
      <c r="I20" s="78">
        <f>I16*'All. 4'!$E$4</f>
        <v>73088.626444408583</v>
      </c>
      <c r="J20" s="78">
        <f>J16*'All. 4'!$E$4</f>
        <v>39866.52351513195</v>
      </c>
      <c r="K20" s="78">
        <f>K16*'All. 4'!$E$4</f>
        <v>73088.626444408583</v>
      </c>
      <c r="L20" s="78">
        <f>L16*'All. 4'!$E$4</f>
        <v>69766.416151480909</v>
      </c>
      <c r="M20" s="78">
        <f>M16*'All. 4'!$E$4</f>
        <v>69766.416151480909</v>
      </c>
      <c r="N20" s="869">
        <f>N16*'All. 4'!$E$4</f>
        <v>39866.52351513195</v>
      </c>
    </row>
    <row r="21" spans="2:14" x14ac:dyDescent="0.2">
      <c r="B21" s="86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869"/>
    </row>
    <row r="22" spans="2:14" x14ac:dyDescent="0.2">
      <c r="B22" s="847" t="s">
        <v>77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147">
        <f>SUM(C8:N8)</f>
        <v>272976.8281205672</v>
      </c>
    </row>
    <row r="23" spans="2:14" x14ac:dyDescent="0.2">
      <c r="B23" s="847" t="s">
        <v>1203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147">
        <f>N22*'All. 4'!$E$5</f>
        <v>25086.570504280127</v>
      </c>
    </row>
    <row r="24" spans="2:14" x14ac:dyDescent="0.2">
      <c r="B24" s="847" t="s">
        <v>1204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147">
        <f>(N22-N23)*'All. 4'!$E$6</f>
        <v>61972.564404071767</v>
      </c>
    </row>
    <row r="25" spans="2:14" x14ac:dyDescent="0.2">
      <c r="B25" s="868" t="s">
        <v>1206</v>
      </c>
      <c r="C25" s="78">
        <f t="shared" ref="C25:M25" si="4">C22-C23-C24</f>
        <v>0</v>
      </c>
      <c r="D25" s="78">
        <f t="shared" si="4"/>
        <v>0</v>
      </c>
      <c r="E25" s="78">
        <f t="shared" si="4"/>
        <v>0</v>
      </c>
      <c r="F25" s="78">
        <f t="shared" si="4"/>
        <v>0</v>
      </c>
      <c r="G25" s="78">
        <f t="shared" si="4"/>
        <v>0</v>
      </c>
      <c r="H25" s="78">
        <f t="shared" si="4"/>
        <v>0</v>
      </c>
      <c r="I25" s="78">
        <f t="shared" si="4"/>
        <v>0</v>
      </c>
      <c r="J25" s="78">
        <f t="shared" si="4"/>
        <v>0</v>
      </c>
      <c r="K25" s="78">
        <f t="shared" si="4"/>
        <v>0</v>
      </c>
      <c r="L25" s="78">
        <f t="shared" si="4"/>
        <v>0</v>
      </c>
      <c r="M25" s="78">
        <f t="shared" si="4"/>
        <v>0</v>
      </c>
      <c r="N25" s="869">
        <f>N22-N23-N24</f>
        <v>185917.69321221529</v>
      </c>
    </row>
    <row r="26" spans="2:14" x14ac:dyDescent="0.2">
      <c r="B26" s="868" t="s">
        <v>1233</v>
      </c>
      <c r="C26" s="78">
        <f>C22*'All. 4'!$E$4</f>
        <v>0</v>
      </c>
      <c r="D26" s="78">
        <f>D22*'All. 4'!$E$4</f>
        <v>0</v>
      </c>
      <c r="E26" s="78">
        <f>E22*'All. 4'!$E$4</f>
        <v>0</v>
      </c>
      <c r="F26" s="78">
        <f>F22*'All. 4'!$E$4</f>
        <v>0</v>
      </c>
      <c r="G26" s="78">
        <f>G22*'All. 4'!$E$4</f>
        <v>0</v>
      </c>
      <c r="H26" s="78">
        <f>H22*'All. 4'!$E$4</f>
        <v>0</v>
      </c>
      <c r="I26" s="78">
        <f>I22*'All. 4'!$E$4</f>
        <v>0</v>
      </c>
      <c r="J26" s="78">
        <f>J22*'All. 4'!$E$4</f>
        <v>0</v>
      </c>
      <c r="K26" s="78">
        <f>K22*'All. 4'!$E$4</f>
        <v>0</v>
      </c>
      <c r="L26" s="78">
        <f>L22*'All. 4'!$E$4</f>
        <v>0</v>
      </c>
      <c r="M26" s="78">
        <f>M22*'All. 4'!$E$4</f>
        <v>0</v>
      </c>
      <c r="N26" s="869">
        <f>N22*'All. 4'!$E$4</f>
        <v>64995.782775507054</v>
      </c>
    </row>
    <row r="27" spans="2:14" x14ac:dyDescent="0.2">
      <c r="B27" s="86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869"/>
    </row>
    <row r="28" spans="2:14" x14ac:dyDescent="0.2">
      <c r="B28" s="847" t="s">
        <v>78</v>
      </c>
      <c r="C28" s="73"/>
      <c r="D28" s="73"/>
      <c r="E28" s="73"/>
      <c r="F28" s="73"/>
      <c r="G28" s="73"/>
      <c r="H28" s="73">
        <f>+'All. 14'!C22+SUM(C9:H9)</f>
        <v>280864.12239361682</v>
      </c>
      <c r="I28" s="73"/>
      <c r="J28" s="73"/>
      <c r="K28" s="73"/>
      <c r="L28" s="73"/>
      <c r="M28" s="73"/>
      <c r="N28" s="147"/>
    </row>
    <row r="29" spans="2:14" x14ac:dyDescent="0.2">
      <c r="B29" s="847" t="s">
        <v>1203</v>
      </c>
      <c r="C29" s="78"/>
      <c r="D29" s="78"/>
      <c r="E29" s="78"/>
      <c r="F29" s="78"/>
      <c r="G29" s="78"/>
      <c r="H29" s="73">
        <f>'All. 14'!C23+SUM('34. Uscite personale'!C9:H9)*'All. 4'!$E$4</f>
        <v>47021.27403042018</v>
      </c>
      <c r="I29" s="73"/>
      <c r="J29" s="73"/>
      <c r="K29" s="73"/>
      <c r="L29" s="73"/>
      <c r="M29" s="73"/>
      <c r="N29" s="147"/>
    </row>
    <row r="30" spans="2:14" x14ac:dyDescent="0.2">
      <c r="B30" s="847" t="s">
        <v>1204</v>
      </c>
      <c r="C30" s="78"/>
      <c r="D30" s="78"/>
      <c r="E30" s="78"/>
      <c r="F30" s="78"/>
      <c r="G30" s="78"/>
      <c r="H30" s="73">
        <f>'All. 14'!C24+SUM('34. Uscite personale'!C9:H9)*'All. 4'!$E$6</f>
        <v>70216.030598404206</v>
      </c>
      <c r="I30" s="73"/>
      <c r="J30" s="73"/>
      <c r="K30" s="73"/>
      <c r="L30" s="73"/>
      <c r="M30" s="73"/>
      <c r="N30" s="147"/>
    </row>
    <row r="31" spans="2:14" x14ac:dyDescent="0.2">
      <c r="B31" s="868" t="s">
        <v>1212</v>
      </c>
      <c r="C31" s="78">
        <f t="shared" ref="C31:M31" si="5">C28-C29-C30</f>
        <v>0</v>
      </c>
      <c r="D31" s="78">
        <f t="shared" si="5"/>
        <v>0</v>
      </c>
      <c r="E31" s="78">
        <f t="shared" si="5"/>
        <v>0</v>
      </c>
      <c r="F31" s="78">
        <f t="shared" si="5"/>
        <v>0</v>
      </c>
      <c r="G31" s="78">
        <f t="shared" si="5"/>
        <v>0</v>
      </c>
      <c r="H31" s="78">
        <f t="shared" si="5"/>
        <v>163626.81776479245</v>
      </c>
      <c r="I31" s="78">
        <f t="shared" si="5"/>
        <v>0</v>
      </c>
      <c r="J31" s="78">
        <f t="shared" si="5"/>
        <v>0</v>
      </c>
      <c r="K31" s="78">
        <f t="shared" si="5"/>
        <v>0</v>
      </c>
      <c r="L31" s="78">
        <f t="shared" si="5"/>
        <v>0</v>
      </c>
      <c r="M31" s="78">
        <f t="shared" si="5"/>
        <v>0</v>
      </c>
      <c r="N31" s="869">
        <f>N28-N29-N30</f>
        <v>0</v>
      </c>
    </row>
    <row r="32" spans="2:14" ht="17" thickBot="1" x14ac:dyDescent="0.25">
      <c r="B32" s="870" t="s">
        <v>1233</v>
      </c>
      <c r="C32" s="871">
        <f>C28*'All. 4'!$E$4</f>
        <v>0</v>
      </c>
      <c r="D32" s="871">
        <f>D28*'All. 4'!$E$4</f>
        <v>0</v>
      </c>
      <c r="E32" s="871">
        <f>E28*'All. 4'!$E$4</f>
        <v>0</v>
      </c>
      <c r="F32" s="871">
        <f>F28*'All. 4'!$E$4</f>
        <v>0</v>
      </c>
      <c r="G32" s="871">
        <f>G28*'All. 4'!$E$4</f>
        <v>0</v>
      </c>
      <c r="H32" s="871">
        <f>H28*'All. 4'!$E$4</f>
        <v>66873.747541920166</v>
      </c>
      <c r="I32" s="871">
        <f>I28*'All. 4'!$E$4</f>
        <v>0</v>
      </c>
      <c r="J32" s="871">
        <f>J28*'All. 4'!$E$4</f>
        <v>0</v>
      </c>
      <c r="K32" s="871">
        <f>K28*'All. 4'!$E$4</f>
        <v>0</v>
      </c>
      <c r="L32" s="871">
        <f>L28*'All. 4'!$E$4</f>
        <v>0</v>
      </c>
      <c r="M32" s="871">
        <f>M28*'All. 4'!$E$4</f>
        <v>0</v>
      </c>
      <c r="N32" s="872">
        <f>N28*'All. 4'!$E$4</f>
        <v>0</v>
      </c>
    </row>
    <row r="33" spans="1:16" x14ac:dyDescent="0.2">
      <c r="B33" s="873"/>
      <c r="C33" s="874"/>
      <c r="D33" s="874"/>
      <c r="E33" s="874"/>
      <c r="F33" s="874"/>
      <c r="G33" s="874"/>
      <c r="H33" s="874"/>
      <c r="I33" s="874"/>
      <c r="J33" s="874"/>
      <c r="K33" s="874"/>
      <c r="L33" s="874"/>
      <c r="M33" s="874"/>
      <c r="N33" s="875"/>
    </row>
    <row r="34" spans="1:16" x14ac:dyDescent="0.2">
      <c r="B34" s="847" t="s">
        <v>1208</v>
      </c>
      <c r="C34" s="73">
        <f>C19</f>
        <v>170011.41273792781</v>
      </c>
      <c r="D34" s="73">
        <f t="shared" ref="D34:N34" si="6">D19</f>
        <v>191274.08702263326</v>
      </c>
      <c r="E34" s="73">
        <f t="shared" si="6"/>
        <v>218569.97325023636</v>
      </c>
      <c r="F34" s="73">
        <f t="shared" si="6"/>
        <v>199563.88861978101</v>
      </c>
      <c r="G34" s="73">
        <f t="shared" si="6"/>
        <v>199563.88861978101</v>
      </c>
      <c r="H34" s="73">
        <f t="shared" si="6"/>
        <v>209066.93093500868</v>
      </c>
      <c r="I34" s="73">
        <f t="shared" si="6"/>
        <v>209066.93093500868</v>
      </c>
      <c r="J34" s="73">
        <f t="shared" si="6"/>
        <v>114036.50778273201</v>
      </c>
      <c r="K34" s="73">
        <f t="shared" si="6"/>
        <v>209066.93093500868</v>
      </c>
      <c r="L34" s="73">
        <f t="shared" si="6"/>
        <v>199563.88861978101</v>
      </c>
      <c r="M34" s="73">
        <f t="shared" si="6"/>
        <v>199563.88861978101</v>
      </c>
      <c r="N34" s="147">
        <f t="shared" si="6"/>
        <v>114036.50778273201</v>
      </c>
    </row>
    <row r="35" spans="1:16" x14ac:dyDescent="0.2">
      <c r="B35" s="847" t="s">
        <v>1211</v>
      </c>
      <c r="C35" s="73">
        <f>C25</f>
        <v>0</v>
      </c>
      <c r="D35" s="73">
        <f t="shared" ref="D35:N35" si="7">D25</f>
        <v>0</v>
      </c>
      <c r="E35" s="73">
        <f t="shared" si="7"/>
        <v>0</v>
      </c>
      <c r="F35" s="73">
        <f t="shared" si="7"/>
        <v>0</v>
      </c>
      <c r="G35" s="73">
        <f t="shared" si="7"/>
        <v>0</v>
      </c>
      <c r="H35" s="73">
        <f t="shared" si="7"/>
        <v>0</v>
      </c>
      <c r="I35" s="73">
        <f t="shared" si="7"/>
        <v>0</v>
      </c>
      <c r="J35" s="73">
        <f t="shared" si="7"/>
        <v>0</v>
      </c>
      <c r="K35" s="73">
        <f t="shared" si="7"/>
        <v>0</v>
      </c>
      <c r="L35" s="73">
        <f t="shared" si="7"/>
        <v>0</v>
      </c>
      <c r="M35" s="73">
        <f t="shared" si="7"/>
        <v>0</v>
      </c>
      <c r="N35" s="147">
        <f t="shared" si="7"/>
        <v>185917.69321221529</v>
      </c>
      <c r="P35" s="73"/>
    </row>
    <row r="36" spans="1:16" x14ac:dyDescent="0.2">
      <c r="B36" s="847" t="s">
        <v>1213</v>
      </c>
      <c r="C36" s="73">
        <f>C31</f>
        <v>0</v>
      </c>
      <c r="D36" s="73">
        <f t="shared" ref="D36:N36" si="8">D31</f>
        <v>0</v>
      </c>
      <c r="E36" s="73">
        <f t="shared" si="8"/>
        <v>0</v>
      </c>
      <c r="F36" s="73">
        <f t="shared" si="8"/>
        <v>0</v>
      </c>
      <c r="G36" s="73">
        <f t="shared" si="8"/>
        <v>0</v>
      </c>
      <c r="H36" s="73">
        <f t="shared" si="8"/>
        <v>163626.81776479245</v>
      </c>
      <c r="I36" s="73">
        <f>I31</f>
        <v>0</v>
      </c>
      <c r="J36" s="73">
        <f t="shared" si="8"/>
        <v>0</v>
      </c>
      <c r="K36" s="73">
        <f t="shared" si="8"/>
        <v>0</v>
      </c>
      <c r="L36" s="73">
        <f t="shared" si="8"/>
        <v>0</v>
      </c>
      <c r="M36" s="73">
        <f t="shared" si="8"/>
        <v>0</v>
      </c>
      <c r="N36" s="147">
        <f t="shared" si="8"/>
        <v>0</v>
      </c>
    </row>
    <row r="37" spans="1:16" x14ac:dyDescent="0.2">
      <c r="B37" s="847" t="s">
        <v>1209</v>
      </c>
      <c r="C37" s="73">
        <f>'All. 14'!C5+'All. 14'!C14</f>
        <v>39657.470735763825</v>
      </c>
      <c r="D37" s="73">
        <f>C17+C23+C29</f>
        <v>22940.276519642575</v>
      </c>
      <c r="E37" s="73">
        <f t="shared" ref="E37:I37" si="9">D17+D23+D29</f>
        <v>25809.328777858529</v>
      </c>
      <c r="F37" s="73">
        <f t="shared" si="9"/>
        <v>29492.464914578752</v>
      </c>
      <c r="G37" s="73">
        <f t="shared" si="9"/>
        <v>26927.902748093642</v>
      </c>
      <c r="H37" s="73">
        <f t="shared" si="9"/>
        <v>26927.902748093642</v>
      </c>
      <c r="I37" s="73">
        <f t="shared" si="9"/>
        <v>75231.457861756382</v>
      </c>
      <c r="J37" s="73">
        <f>I17+I23+I29</f>
        <v>28210.183831336199</v>
      </c>
      <c r="K37" s="73">
        <f t="shared" ref="K37:N37" si="10">J17+J23+J29</f>
        <v>15387.372998910654</v>
      </c>
      <c r="L37" s="73">
        <f t="shared" si="10"/>
        <v>28210.183831336199</v>
      </c>
      <c r="M37" s="73">
        <f t="shared" si="10"/>
        <v>26927.902748093642</v>
      </c>
      <c r="N37" s="147">
        <f t="shared" si="10"/>
        <v>26927.902748093642</v>
      </c>
    </row>
    <row r="38" spans="1:16" x14ac:dyDescent="0.2">
      <c r="B38" s="847" t="s">
        <v>1210</v>
      </c>
      <c r="C38" s="73">
        <f>'All. 14'!C6+'All. 14'!C15</f>
        <v>107882.12931382978</v>
      </c>
      <c r="D38" s="73">
        <f>C18+C24+C30</f>
        <v>56670.470912642602</v>
      </c>
      <c r="E38" s="73">
        <f t="shared" ref="E38:I38" si="11">D18+D24+D30</f>
        <v>63758.029007544421</v>
      </c>
      <c r="F38" s="73">
        <f t="shared" si="11"/>
        <v>72856.657750078783</v>
      </c>
      <c r="G38" s="73">
        <f t="shared" si="11"/>
        <v>66521.296206593674</v>
      </c>
      <c r="H38" s="73">
        <f t="shared" si="11"/>
        <v>66521.296206593674</v>
      </c>
      <c r="I38" s="73">
        <f t="shared" si="11"/>
        <v>139905.00757674043</v>
      </c>
      <c r="J38" s="73">
        <f>I18+I24+I30</f>
        <v>69688.976978336228</v>
      </c>
      <c r="K38" s="73">
        <f t="shared" ref="K38:N38" si="12">J18+J24+J30</f>
        <v>38012.169260910669</v>
      </c>
      <c r="L38" s="73">
        <f t="shared" si="12"/>
        <v>69688.976978336228</v>
      </c>
      <c r="M38" s="73">
        <f t="shared" si="12"/>
        <v>66521.296206593674</v>
      </c>
      <c r="N38" s="147">
        <f t="shared" si="12"/>
        <v>66521.296206593674</v>
      </c>
    </row>
    <row r="39" spans="1:16" x14ac:dyDescent="0.2">
      <c r="B39" s="847" t="s">
        <v>1214</v>
      </c>
      <c r="C39" s="73">
        <f>+'All. 14'!C8</f>
        <v>38083.821721991524</v>
      </c>
      <c r="D39" s="73">
        <f t="shared" ref="D39:N39" si="13">C10</f>
        <v>59435.036336527599</v>
      </c>
      <c r="E39" s="73">
        <f t="shared" si="13"/>
        <v>67065.832612212311</v>
      </c>
      <c r="F39" s="73">
        <f t="shared" si="13"/>
        <v>76410.836737336096</v>
      </c>
      <c r="G39" s="73">
        <f t="shared" si="13"/>
        <v>69766.416151480778</v>
      </c>
      <c r="H39" s="73">
        <f t="shared" si="13"/>
        <v>69766.416151480778</v>
      </c>
      <c r="I39" s="73">
        <f t="shared" si="13"/>
        <v>73088.626444408437</v>
      </c>
      <c r="J39" s="73">
        <f t="shared" si="13"/>
        <v>73088.626444408437</v>
      </c>
      <c r="K39" s="73">
        <f t="shared" si="13"/>
        <v>39866.523515131878</v>
      </c>
      <c r="L39" s="73">
        <f t="shared" si="13"/>
        <v>73088.626444408437</v>
      </c>
      <c r="M39" s="73">
        <f t="shared" si="13"/>
        <v>69766.416151480778</v>
      </c>
      <c r="N39" s="147">
        <f t="shared" si="13"/>
        <v>69766.416151480778</v>
      </c>
    </row>
    <row r="40" spans="1:16" x14ac:dyDescent="0.2">
      <c r="B40" s="847" t="s">
        <v>1215</v>
      </c>
      <c r="C40" s="73">
        <f>'All. 14'!C17</f>
        <v>64663.118236499955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47"/>
    </row>
    <row r="41" spans="1:16" x14ac:dyDescent="0.2">
      <c r="B41" s="847" t="s">
        <v>1216</v>
      </c>
      <c r="C41" s="73"/>
      <c r="D41" s="73"/>
      <c r="E41" s="73"/>
      <c r="F41" s="73"/>
      <c r="G41" s="73"/>
      <c r="H41" s="73"/>
      <c r="I41" s="73">
        <f>+H32</f>
        <v>66873.747541920166</v>
      </c>
      <c r="J41" s="73"/>
      <c r="K41" s="73"/>
      <c r="L41" s="73"/>
      <c r="M41" s="73"/>
      <c r="N41" s="147"/>
    </row>
    <row r="42" spans="1:16" s="12" customFormat="1" ht="17" thickBot="1" x14ac:dyDescent="0.25">
      <c r="B42" s="852" t="s">
        <v>1217</v>
      </c>
      <c r="C42" s="830">
        <f>SUM(C34:C41)</f>
        <v>420297.95274601289</v>
      </c>
      <c r="D42" s="830">
        <f t="shared" ref="D42:M42" si="14">SUM(D34:D41)</f>
        <v>330319.87079144607</v>
      </c>
      <c r="E42" s="830">
        <f t="shared" si="14"/>
        <v>375203.16364785156</v>
      </c>
      <c r="F42" s="830">
        <f t="shared" si="14"/>
        <v>378323.84802177467</v>
      </c>
      <c r="G42" s="830">
        <f t="shared" si="14"/>
        <v>362779.50372594909</v>
      </c>
      <c r="H42" s="830">
        <f t="shared" si="14"/>
        <v>535909.36380596925</v>
      </c>
      <c r="I42" s="830">
        <f t="shared" si="14"/>
        <v>564165.77035983407</v>
      </c>
      <c r="J42" s="830">
        <f t="shared" si="14"/>
        <v>285024.29503681289</v>
      </c>
      <c r="K42" s="830">
        <f t="shared" si="14"/>
        <v>302332.99670996191</v>
      </c>
      <c r="L42" s="830">
        <f t="shared" si="14"/>
        <v>370551.67587386188</v>
      </c>
      <c r="M42" s="830">
        <f t="shared" si="14"/>
        <v>362779.50372594909</v>
      </c>
      <c r="N42" s="876">
        <f>SUM(N34:N41)</f>
        <v>463169.81610111543</v>
      </c>
    </row>
    <row r="43" spans="1:16" x14ac:dyDescent="0.2">
      <c r="B43" s="13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151"/>
      <c r="O43" s="12"/>
    </row>
    <row r="44" spans="1:16" x14ac:dyDescent="0.2">
      <c r="B44" s="146" t="s">
        <v>1218</v>
      </c>
      <c r="C44" s="73">
        <f>+'All. 14'!C10</f>
        <v>0</v>
      </c>
      <c r="D44" s="73">
        <f>+C47</f>
        <v>0</v>
      </c>
      <c r="E44" s="73">
        <f t="shared" ref="E44:M44" si="15">+D47</f>
        <v>0</v>
      </c>
      <c r="F44" s="73">
        <f t="shared" si="15"/>
        <v>0</v>
      </c>
      <c r="G44" s="73">
        <f t="shared" si="15"/>
        <v>0</v>
      </c>
      <c r="H44" s="73">
        <f t="shared" si="15"/>
        <v>0</v>
      </c>
      <c r="I44" s="73">
        <f t="shared" si="15"/>
        <v>0</v>
      </c>
      <c r="J44" s="73">
        <f t="shared" si="15"/>
        <v>0</v>
      </c>
      <c r="K44" s="73">
        <f t="shared" si="15"/>
        <v>0</v>
      </c>
      <c r="L44" s="73">
        <f t="shared" si="15"/>
        <v>0</v>
      </c>
      <c r="M44" s="73">
        <f t="shared" si="15"/>
        <v>0</v>
      </c>
      <c r="N44" s="147">
        <f t="shared" ref="N44" si="16">+M47</f>
        <v>0</v>
      </c>
      <c r="O44" s="12"/>
    </row>
    <row r="45" spans="1:16" x14ac:dyDescent="0.2">
      <c r="A45" s="73"/>
      <c r="B45" s="847" t="s">
        <v>1230</v>
      </c>
      <c r="C45" s="73">
        <f>+C19+C25+C31</f>
        <v>170011.41273792781</v>
      </c>
      <c r="D45" s="73">
        <f t="shared" ref="D45:M45" si="17">+D19+D25+D31</f>
        <v>191274.08702263326</v>
      </c>
      <c r="E45" s="73">
        <f t="shared" si="17"/>
        <v>218569.97325023636</v>
      </c>
      <c r="F45" s="73">
        <f t="shared" si="17"/>
        <v>199563.88861978101</v>
      </c>
      <c r="G45" s="73">
        <f t="shared" si="17"/>
        <v>199563.88861978101</v>
      </c>
      <c r="H45" s="73">
        <f>+H19+H25+H31</f>
        <v>372693.74869980116</v>
      </c>
      <c r="I45" s="73">
        <f>+I19+I25+I31</f>
        <v>209066.93093500868</v>
      </c>
      <c r="J45" s="73">
        <f t="shared" si="17"/>
        <v>114036.50778273201</v>
      </c>
      <c r="K45" s="73">
        <f t="shared" si="17"/>
        <v>209066.93093500868</v>
      </c>
      <c r="L45" s="73">
        <f t="shared" si="17"/>
        <v>199563.88861978101</v>
      </c>
      <c r="M45" s="73">
        <f t="shared" si="17"/>
        <v>199563.88861978101</v>
      </c>
      <c r="N45" s="147">
        <f t="shared" ref="N45" si="18">+N19+N25+N31</f>
        <v>299954.20099494728</v>
      </c>
      <c r="O45" s="12"/>
    </row>
    <row r="46" spans="1:16" x14ac:dyDescent="0.2">
      <c r="B46" s="847" t="s">
        <v>1189</v>
      </c>
      <c r="C46" s="73">
        <f>+C34+C35+C36</f>
        <v>170011.41273792781</v>
      </c>
      <c r="D46" s="73">
        <f t="shared" ref="D46:M46" si="19">+D34+D35+D36</f>
        <v>191274.08702263326</v>
      </c>
      <c r="E46" s="73">
        <f t="shared" si="19"/>
        <v>218569.97325023636</v>
      </c>
      <c r="F46" s="73">
        <f t="shared" si="19"/>
        <v>199563.88861978101</v>
      </c>
      <c r="G46" s="73">
        <f t="shared" si="19"/>
        <v>199563.88861978101</v>
      </c>
      <c r="H46" s="73">
        <f t="shared" si="19"/>
        <v>372693.74869980116</v>
      </c>
      <c r="I46" s="73">
        <f t="shared" si="19"/>
        <v>209066.93093500868</v>
      </c>
      <c r="J46" s="73">
        <f t="shared" si="19"/>
        <v>114036.50778273201</v>
      </c>
      <c r="K46" s="73">
        <f t="shared" si="19"/>
        <v>209066.93093500868</v>
      </c>
      <c r="L46" s="73">
        <f t="shared" si="19"/>
        <v>199563.88861978101</v>
      </c>
      <c r="M46" s="73">
        <f t="shared" si="19"/>
        <v>199563.88861978101</v>
      </c>
      <c r="N46" s="147">
        <f t="shared" ref="N46" si="20">+N34+N35+N36</f>
        <v>299954.20099494728</v>
      </c>
      <c r="O46" s="12"/>
    </row>
    <row r="47" spans="1:16" x14ac:dyDescent="0.2">
      <c r="B47" s="848" t="s">
        <v>1219</v>
      </c>
      <c r="C47" s="78">
        <f>+C44+C45-C46</f>
        <v>0</v>
      </c>
      <c r="D47" s="78">
        <f>+D44+D45-D46</f>
        <v>0</v>
      </c>
      <c r="E47" s="78">
        <f t="shared" ref="E47:N47" si="21">+E44+E45-E46</f>
        <v>0</v>
      </c>
      <c r="F47" s="78">
        <f t="shared" si="21"/>
        <v>0</v>
      </c>
      <c r="G47" s="78">
        <f t="shared" si="21"/>
        <v>0</v>
      </c>
      <c r="H47" s="78">
        <f t="shared" si="21"/>
        <v>0</v>
      </c>
      <c r="I47" s="78">
        <f t="shared" si="21"/>
        <v>0</v>
      </c>
      <c r="J47" s="78">
        <f t="shared" si="21"/>
        <v>0</v>
      </c>
      <c r="K47" s="78">
        <f t="shared" si="21"/>
        <v>0</v>
      </c>
      <c r="L47" s="78">
        <f t="shared" si="21"/>
        <v>0</v>
      </c>
      <c r="M47" s="78">
        <f t="shared" si="21"/>
        <v>0</v>
      </c>
      <c r="N47" s="869">
        <f t="shared" si="21"/>
        <v>0</v>
      </c>
      <c r="O47" s="12"/>
    </row>
    <row r="48" spans="1:16" x14ac:dyDescent="0.2">
      <c r="B48" s="146"/>
      <c r="N48" s="152"/>
    </row>
    <row r="49" spans="2:14" x14ac:dyDescent="0.2">
      <c r="B49" s="146" t="s">
        <v>1207</v>
      </c>
      <c r="C49" s="89">
        <f>'All. 14'!C5+'All. 14'!C8+'All. 14'!C14+'All. 14'!C17</f>
        <v>142404.41069425532</v>
      </c>
      <c r="D49" s="73">
        <f>+C53</f>
        <v>107333.48406967026</v>
      </c>
      <c r="E49" s="73">
        <f t="shared" ref="E49:M49" si="22">+D53</f>
        <v>117635.84800015204</v>
      </c>
      <c r="F49" s="73">
        <f t="shared" si="22"/>
        <v>130663.98826199619</v>
      </c>
      <c r="G49" s="73">
        <f t="shared" si="22"/>
        <v>121455.00550965591</v>
      </c>
      <c r="H49" s="73">
        <f t="shared" si="22"/>
        <v>121455.00550965601</v>
      </c>
      <c r="I49" s="73">
        <f t="shared" si="22"/>
        <v>239954.51845816671</v>
      </c>
      <c r="J49" s="73">
        <f t="shared" si="22"/>
        <v>126059.49688582652</v>
      </c>
      <c r="K49" s="73">
        <f t="shared" si="22"/>
        <v>80014.583124124518</v>
      </c>
      <c r="L49" s="73">
        <f t="shared" si="22"/>
        <v>126059.49688582677</v>
      </c>
      <c r="M49" s="73">
        <f t="shared" si="22"/>
        <v>121455.00550965669</v>
      </c>
      <c r="N49" s="147">
        <f t="shared" ref="N49" si="23">+M53</f>
        <v>121455.00550965682</v>
      </c>
    </row>
    <row r="50" spans="2:14" x14ac:dyDescent="0.2">
      <c r="B50" s="847" t="s">
        <v>1231</v>
      </c>
      <c r="C50" s="73">
        <f>C17+C23+C29+C63</f>
        <v>47898.447733142559</v>
      </c>
      <c r="D50" s="73">
        <f t="shared" ref="D50:M50" si="24">D17+D23+D29</f>
        <v>25809.328777858529</v>
      </c>
      <c r="E50" s="73">
        <f t="shared" si="24"/>
        <v>29492.464914578752</v>
      </c>
      <c r="F50" s="73">
        <f t="shared" si="24"/>
        <v>26927.902748093642</v>
      </c>
      <c r="G50" s="73">
        <f t="shared" si="24"/>
        <v>26927.902748093642</v>
      </c>
      <c r="H50" s="73">
        <f t="shared" si="24"/>
        <v>75231.457861756382</v>
      </c>
      <c r="I50" s="73">
        <f t="shared" si="24"/>
        <v>28210.183831336199</v>
      </c>
      <c r="J50" s="73">
        <f t="shared" si="24"/>
        <v>15387.372998910654</v>
      </c>
      <c r="K50" s="73">
        <f t="shared" si="24"/>
        <v>28210.183831336199</v>
      </c>
      <c r="L50" s="73">
        <f t="shared" si="24"/>
        <v>26927.902748093642</v>
      </c>
      <c r="M50" s="73">
        <f t="shared" si="24"/>
        <v>26927.902748093642</v>
      </c>
      <c r="N50" s="147">
        <f>N17+N23+N29</f>
        <v>40473.943503190778</v>
      </c>
    </row>
    <row r="51" spans="2:14" x14ac:dyDescent="0.2">
      <c r="B51" s="847" t="s">
        <v>1232</v>
      </c>
      <c r="C51" s="73">
        <f>+C20+C26+C32</f>
        <v>59435.036336527708</v>
      </c>
      <c r="D51" s="73">
        <f>+D20+D26+D32</f>
        <v>66868.348008793429</v>
      </c>
      <c r="E51" s="73">
        <f t="shared" ref="E51:M51" si="25">+E20+E26+E32</f>
        <v>76410.836737336242</v>
      </c>
      <c r="F51" s="73">
        <f t="shared" si="25"/>
        <v>69766.416151480909</v>
      </c>
      <c r="G51" s="73">
        <f t="shared" si="25"/>
        <v>69766.416151480909</v>
      </c>
      <c r="H51" s="73">
        <f>+H20+H26+H32</f>
        <v>139962.37398632875</v>
      </c>
      <c r="I51" s="73">
        <f t="shared" si="25"/>
        <v>73088.626444408583</v>
      </c>
      <c r="J51" s="73">
        <f t="shared" si="25"/>
        <v>39866.52351513195</v>
      </c>
      <c r="K51" s="73">
        <f t="shared" si="25"/>
        <v>73088.626444408583</v>
      </c>
      <c r="L51" s="73">
        <f t="shared" si="25"/>
        <v>69766.416151480909</v>
      </c>
      <c r="M51" s="73">
        <f t="shared" si="25"/>
        <v>69766.416151480909</v>
      </c>
      <c r="N51" s="147">
        <f>+N20+N26+N32</f>
        <v>104862.30629063901</v>
      </c>
    </row>
    <row r="52" spans="2:14" x14ac:dyDescent="0.2">
      <c r="B52" s="847" t="s">
        <v>1189</v>
      </c>
      <c r="C52" s="73">
        <f>C37+C39+C40+C41</f>
        <v>142404.41069425532</v>
      </c>
      <c r="D52" s="73">
        <f>D37+D39+D40+D41</f>
        <v>82375.312856170174</v>
      </c>
      <c r="E52" s="73">
        <f t="shared" ref="E52:M52" si="26">E37+E39+E40+E41</f>
        <v>92875.161390070833</v>
      </c>
      <c r="F52" s="73">
        <f t="shared" si="26"/>
        <v>105903.30165191485</v>
      </c>
      <c r="G52" s="73">
        <f t="shared" si="26"/>
        <v>96694.318899574428</v>
      </c>
      <c r="H52" s="73">
        <f>H37+H39+H40+H41</f>
        <v>96694.318899574428</v>
      </c>
      <c r="I52" s="73">
        <f t="shared" si="26"/>
        <v>215193.83184808498</v>
      </c>
      <c r="J52" s="73">
        <f t="shared" si="26"/>
        <v>101298.81027574463</v>
      </c>
      <c r="K52" s="73">
        <f t="shared" si="26"/>
        <v>55253.896514042528</v>
      </c>
      <c r="L52" s="73">
        <f t="shared" si="26"/>
        <v>101298.81027574463</v>
      </c>
      <c r="M52" s="73">
        <f t="shared" si="26"/>
        <v>96694.318899574428</v>
      </c>
      <c r="N52" s="147">
        <f t="shared" ref="N52" si="27">N37+N39+N40+N41</f>
        <v>96694.318899574428</v>
      </c>
    </row>
    <row r="53" spans="2:14" x14ac:dyDescent="0.2">
      <c r="B53" s="868" t="s">
        <v>1235</v>
      </c>
      <c r="C53" s="78">
        <f>C49+C50+C51-C52</f>
        <v>107333.48406967026</v>
      </c>
      <c r="D53" s="78">
        <f>D49+D50+D51-D52</f>
        <v>117635.84800015204</v>
      </c>
      <c r="E53" s="78">
        <f t="shared" ref="E53:N53" si="28">E49+E50+E51-E52</f>
        <v>130663.98826199619</v>
      </c>
      <c r="F53" s="78">
        <f t="shared" si="28"/>
        <v>121455.00550965591</v>
      </c>
      <c r="G53" s="78">
        <f t="shared" si="28"/>
        <v>121455.00550965601</v>
      </c>
      <c r="H53" s="78">
        <f t="shared" si="28"/>
        <v>239954.51845816671</v>
      </c>
      <c r="I53" s="78">
        <f t="shared" si="28"/>
        <v>126059.49688582652</v>
      </c>
      <c r="J53" s="78">
        <f t="shared" si="28"/>
        <v>80014.583124124518</v>
      </c>
      <c r="K53" s="78">
        <f t="shared" si="28"/>
        <v>126059.49688582677</v>
      </c>
      <c r="L53" s="78">
        <f t="shared" si="28"/>
        <v>121455.00550965669</v>
      </c>
      <c r="M53" s="78">
        <f t="shared" si="28"/>
        <v>121455.00550965682</v>
      </c>
      <c r="N53" s="869">
        <f t="shared" si="28"/>
        <v>170096.93640391217</v>
      </c>
    </row>
    <row r="54" spans="2:14" x14ac:dyDescent="0.2">
      <c r="B54" s="146"/>
      <c r="N54" s="152"/>
    </row>
    <row r="55" spans="2:14" x14ac:dyDescent="0.2">
      <c r="B55" s="146" t="s">
        <v>1236</v>
      </c>
      <c r="C55" s="89">
        <f>'All. 14'!C6+'All. 14'!C15</f>
        <v>107882.12931382978</v>
      </c>
      <c r="D55" s="73">
        <f>+C58</f>
        <v>124565.38716264254</v>
      </c>
      <c r="E55" s="73">
        <f t="shared" ref="E55:I55" si="29">+D58</f>
        <v>131652.94525754434</v>
      </c>
      <c r="F55" s="73">
        <f t="shared" si="29"/>
        <v>140751.57400007869</v>
      </c>
      <c r="G55" s="73">
        <f t="shared" si="29"/>
        <v>134416.21245659358</v>
      </c>
      <c r="H55" s="73">
        <f t="shared" si="29"/>
        <v>134416.21245659358</v>
      </c>
      <c r="I55" s="73">
        <f t="shared" si="29"/>
        <v>207799.9238267403</v>
      </c>
      <c r="J55" s="73">
        <f>+I58</f>
        <v>137583.89322833609</v>
      </c>
      <c r="K55" s="73">
        <f t="shared" ref="K55:M55" si="30">+J58</f>
        <v>105907.08551091055</v>
      </c>
      <c r="L55" s="73">
        <f t="shared" si="30"/>
        <v>137583.89322833612</v>
      </c>
      <c r="M55" s="73">
        <f t="shared" si="30"/>
        <v>134416.21245659358</v>
      </c>
      <c r="N55" s="147">
        <f t="shared" ref="N55" si="31">+M58</f>
        <v>134416.21245659358</v>
      </c>
    </row>
    <row r="56" spans="2:14" x14ac:dyDescent="0.2">
      <c r="B56" s="847" t="s">
        <v>1237</v>
      </c>
      <c r="C56" s="73">
        <f>+C18+C24+C30+C64</f>
        <v>124565.38716264255</v>
      </c>
      <c r="D56" s="73">
        <f t="shared" ref="D56:L56" si="32">+D18+D24+D30+D64</f>
        <v>63758.029007544421</v>
      </c>
      <c r="E56" s="73">
        <f t="shared" si="32"/>
        <v>72856.657750078783</v>
      </c>
      <c r="F56" s="73">
        <f t="shared" si="32"/>
        <v>66521.296206593674</v>
      </c>
      <c r="G56" s="73">
        <f t="shared" si="32"/>
        <v>66521.296206593674</v>
      </c>
      <c r="H56" s="73">
        <f>+H18+H24+H30+H64</f>
        <v>139905.00757674043</v>
      </c>
      <c r="I56" s="73">
        <f t="shared" si="32"/>
        <v>69688.976978336228</v>
      </c>
      <c r="J56" s="73">
        <f t="shared" si="32"/>
        <v>38012.169260910669</v>
      </c>
      <c r="K56" s="73">
        <f t="shared" si="32"/>
        <v>69688.976978336228</v>
      </c>
      <c r="L56" s="73">
        <f t="shared" si="32"/>
        <v>66521.296206593674</v>
      </c>
      <c r="M56" s="73">
        <f>+M18+M24+M30</f>
        <v>66521.296206593674</v>
      </c>
      <c r="N56" s="147">
        <f>+N18+N24+N30</f>
        <v>99984.733664982428</v>
      </c>
    </row>
    <row r="57" spans="2:14" x14ac:dyDescent="0.2">
      <c r="B57" s="847" t="s">
        <v>1189</v>
      </c>
      <c r="C57" s="73">
        <f>+C38</f>
        <v>107882.12931382978</v>
      </c>
      <c r="D57" s="73">
        <f>+D38</f>
        <v>56670.470912642602</v>
      </c>
      <c r="E57" s="73">
        <f t="shared" ref="E57:I57" si="33">+E38</f>
        <v>63758.029007544421</v>
      </c>
      <c r="F57" s="73">
        <f t="shared" si="33"/>
        <v>72856.657750078783</v>
      </c>
      <c r="G57" s="73">
        <f t="shared" si="33"/>
        <v>66521.296206593674</v>
      </c>
      <c r="H57" s="73">
        <f>+H38</f>
        <v>66521.296206593674</v>
      </c>
      <c r="I57" s="73">
        <f t="shared" si="33"/>
        <v>139905.00757674043</v>
      </c>
      <c r="J57" s="73">
        <f>+J38</f>
        <v>69688.976978336228</v>
      </c>
      <c r="K57" s="73">
        <f t="shared" ref="K57:M57" si="34">+K38</f>
        <v>38012.169260910669</v>
      </c>
      <c r="L57" s="73">
        <f t="shared" si="34"/>
        <v>69688.976978336228</v>
      </c>
      <c r="M57" s="73">
        <f t="shared" si="34"/>
        <v>66521.296206593674</v>
      </c>
      <c r="N57" s="147">
        <f t="shared" ref="N57" si="35">+N38</f>
        <v>66521.296206593674</v>
      </c>
    </row>
    <row r="58" spans="2:14" x14ac:dyDescent="0.2">
      <c r="B58" s="848" t="s">
        <v>1238</v>
      </c>
      <c r="C58" s="78">
        <f>+C55+C56-C57</f>
        <v>124565.38716264254</v>
      </c>
      <c r="D58" s="78">
        <f>+D55+D56-D57</f>
        <v>131652.94525754434</v>
      </c>
      <c r="E58" s="78">
        <f t="shared" ref="E58:I58" si="36">+E55+E56-E57</f>
        <v>140751.57400007869</v>
      </c>
      <c r="F58" s="78">
        <f t="shared" si="36"/>
        <v>134416.21245659358</v>
      </c>
      <c r="G58" s="78">
        <f t="shared" si="36"/>
        <v>134416.21245659358</v>
      </c>
      <c r="H58" s="78">
        <f t="shared" si="36"/>
        <v>207799.9238267403</v>
      </c>
      <c r="I58" s="78">
        <f t="shared" si="36"/>
        <v>137583.89322833609</v>
      </c>
      <c r="J58" s="78">
        <f>+J55+J56-J57</f>
        <v>105907.08551091055</v>
      </c>
      <c r="K58" s="78">
        <f t="shared" ref="K58" si="37">+K55+K56-K57</f>
        <v>137583.89322833612</v>
      </c>
      <c r="L58" s="78">
        <f t="shared" ref="L58" si="38">+L55+L56-L57</f>
        <v>134416.21245659358</v>
      </c>
      <c r="M58" s="78">
        <f t="shared" ref="M58:N58" si="39">+M55+M56-M57</f>
        <v>134416.21245659358</v>
      </c>
      <c r="N58" s="869">
        <f t="shared" si="39"/>
        <v>167879.64991498232</v>
      </c>
    </row>
    <row r="59" spans="2:14" x14ac:dyDescent="0.2">
      <c r="B59" s="146"/>
      <c r="N59" s="152"/>
    </row>
    <row r="60" spans="2:14" x14ac:dyDescent="0.2">
      <c r="B60" s="146" t="s">
        <v>1194</v>
      </c>
      <c r="C60" s="89">
        <f>'All. 14'!C14+'All. 14'!C15</f>
        <v>92853.087463499935</v>
      </c>
      <c r="D60" s="73">
        <f>+C65</f>
        <v>25754.766375561696</v>
      </c>
      <c r="E60" s="73">
        <f t="shared" ref="E60:M60" si="40">+D65</f>
        <v>54371.17345951913</v>
      </c>
      <c r="F60" s="73">
        <f t="shared" si="40"/>
        <v>87482.001180538267</v>
      </c>
      <c r="G60" s="73">
        <f t="shared" si="40"/>
        <v>117713.626491034</v>
      </c>
      <c r="H60" s="73">
        <f t="shared" si="40"/>
        <v>147945.25180152972</v>
      </c>
      <c r="I60" s="73">
        <f t="shared" si="40"/>
        <v>179616.47831728717</v>
      </c>
      <c r="J60" s="73">
        <f t="shared" si="40"/>
        <v>211287.70483304461</v>
      </c>
      <c r="K60" s="73">
        <f t="shared" si="40"/>
        <v>228562.91929618502</v>
      </c>
      <c r="L60" s="73">
        <f t="shared" si="40"/>
        <v>260234.14581194246</v>
      </c>
      <c r="M60" s="73">
        <f t="shared" si="40"/>
        <v>290465.77112243819</v>
      </c>
      <c r="N60" s="147">
        <f t="shared" ref="N60" si="41">+M65</f>
        <v>320697.39643293392</v>
      </c>
    </row>
    <row r="61" spans="2:14" x14ac:dyDescent="0.2">
      <c r="B61" s="847" t="s">
        <v>1188</v>
      </c>
      <c r="C61" s="89">
        <f>C8+C11</f>
        <v>25754.766375561689</v>
      </c>
      <c r="D61" s="89">
        <f t="shared" ref="D61:M61" si="42">D8+D11</f>
        <v>28616.407083957434</v>
      </c>
      <c r="E61" s="89">
        <f t="shared" si="42"/>
        <v>33110.827721019137</v>
      </c>
      <c r="F61" s="89">
        <f t="shared" si="42"/>
        <v>30231.625310495725</v>
      </c>
      <c r="G61" s="89">
        <f t="shared" si="42"/>
        <v>30231.625310495725</v>
      </c>
      <c r="H61" s="89">
        <f>H8+H11</f>
        <v>31671.226515757433</v>
      </c>
      <c r="I61" s="89">
        <f t="shared" si="42"/>
        <v>31671.226515757433</v>
      </c>
      <c r="J61" s="89">
        <f t="shared" si="42"/>
        <v>17275.214463140419</v>
      </c>
      <c r="K61" s="89">
        <f t="shared" si="42"/>
        <v>31671.226515757433</v>
      </c>
      <c r="L61" s="89">
        <f t="shared" si="42"/>
        <v>30231.625310495725</v>
      </c>
      <c r="M61" s="89">
        <f t="shared" si="42"/>
        <v>30231.625310495725</v>
      </c>
      <c r="N61" s="877">
        <f t="shared" ref="N61" si="43">N8+N11</f>
        <v>17275.214463140419</v>
      </c>
    </row>
    <row r="62" spans="2:14" x14ac:dyDescent="0.2">
      <c r="B62" s="847" t="s">
        <v>1221</v>
      </c>
      <c r="C62" s="89">
        <f t="shared" ref="C62:N62" si="44">C25</f>
        <v>0</v>
      </c>
      <c r="D62" s="89">
        <f t="shared" si="44"/>
        <v>0</v>
      </c>
      <c r="E62" s="89">
        <f t="shared" si="44"/>
        <v>0</v>
      </c>
      <c r="F62" s="89">
        <f t="shared" si="44"/>
        <v>0</v>
      </c>
      <c r="G62" s="89">
        <f t="shared" si="44"/>
        <v>0</v>
      </c>
      <c r="H62" s="89">
        <f t="shared" si="44"/>
        <v>0</v>
      </c>
      <c r="I62" s="89">
        <f t="shared" si="44"/>
        <v>0</v>
      </c>
      <c r="J62" s="89">
        <f t="shared" si="44"/>
        <v>0</v>
      </c>
      <c r="K62" s="89">
        <f t="shared" si="44"/>
        <v>0</v>
      </c>
      <c r="L62" s="89">
        <f t="shared" si="44"/>
        <v>0</v>
      </c>
      <c r="M62" s="89">
        <f t="shared" si="44"/>
        <v>0</v>
      </c>
      <c r="N62" s="877">
        <f t="shared" si="44"/>
        <v>185917.69321221529</v>
      </c>
    </row>
    <row r="63" spans="2:14" x14ac:dyDescent="0.2">
      <c r="B63" s="847" t="s">
        <v>1222</v>
      </c>
      <c r="C63" s="89">
        <f>+'All. 14'!C14</f>
        <v>24958.171213499983</v>
      </c>
      <c r="D63" s="89">
        <f t="shared" ref="D63:I63" si="45">D23+D26</f>
        <v>0</v>
      </c>
      <c r="E63" s="89">
        <f t="shared" si="45"/>
        <v>0</v>
      </c>
      <c r="F63" s="89">
        <f t="shared" si="45"/>
        <v>0</v>
      </c>
      <c r="G63" s="89">
        <f t="shared" si="45"/>
        <v>0</v>
      </c>
      <c r="H63" s="89">
        <f t="shared" si="45"/>
        <v>0</v>
      </c>
      <c r="I63" s="89">
        <f t="shared" si="45"/>
        <v>0</v>
      </c>
      <c r="J63" s="89">
        <f t="shared" ref="J63:M63" si="46">J23+J26</f>
        <v>0</v>
      </c>
      <c r="K63" s="89">
        <f t="shared" si="46"/>
        <v>0</v>
      </c>
      <c r="L63" s="89">
        <f t="shared" si="46"/>
        <v>0</v>
      </c>
      <c r="M63" s="89">
        <f t="shared" si="46"/>
        <v>0</v>
      </c>
      <c r="N63" s="877">
        <f t="shared" ref="N63" si="47">N23+N26</f>
        <v>90082.353279787174</v>
      </c>
    </row>
    <row r="64" spans="2:14" x14ac:dyDescent="0.2">
      <c r="B64" s="847" t="s">
        <v>1223</v>
      </c>
      <c r="C64" s="89">
        <f>+'All. 14'!C15</f>
        <v>67894.916249999951</v>
      </c>
      <c r="D64" s="89">
        <f t="shared" ref="D64:M64" si="48">+D24</f>
        <v>0</v>
      </c>
      <c r="E64" s="89">
        <f t="shared" si="48"/>
        <v>0</v>
      </c>
      <c r="F64" s="89">
        <f t="shared" si="48"/>
        <v>0</v>
      </c>
      <c r="G64" s="89">
        <f t="shared" si="48"/>
        <v>0</v>
      </c>
      <c r="H64" s="89">
        <f t="shared" si="48"/>
        <v>0</v>
      </c>
      <c r="I64" s="89">
        <f t="shared" si="48"/>
        <v>0</v>
      </c>
      <c r="J64" s="89">
        <f t="shared" si="48"/>
        <v>0</v>
      </c>
      <c r="K64" s="89">
        <f t="shared" si="48"/>
        <v>0</v>
      </c>
      <c r="L64" s="89">
        <f t="shared" si="48"/>
        <v>0</v>
      </c>
      <c r="M64" s="89">
        <f t="shared" si="48"/>
        <v>0</v>
      </c>
      <c r="N64" s="877">
        <f t="shared" ref="N64" si="49">+N24</f>
        <v>61972.564404071767</v>
      </c>
    </row>
    <row r="65" spans="2:14" x14ac:dyDescent="0.2">
      <c r="B65" s="848" t="s">
        <v>1195</v>
      </c>
      <c r="C65" s="878">
        <f>C60+C61-C62-C63-C64</f>
        <v>25754.766375561696</v>
      </c>
      <c r="D65" s="878">
        <f t="shared" ref="D65:N65" si="50">D60+D61-D62-D63-D64</f>
        <v>54371.17345951913</v>
      </c>
      <c r="E65" s="878">
        <f t="shared" si="50"/>
        <v>87482.001180538267</v>
      </c>
      <c r="F65" s="878">
        <f t="shared" si="50"/>
        <v>117713.626491034</v>
      </c>
      <c r="G65" s="878">
        <f t="shared" si="50"/>
        <v>147945.25180152972</v>
      </c>
      <c r="H65" s="878">
        <f t="shared" si="50"/>
        <v>179616.47831728717</v>
      </c>
      <c r="I65" s="878">
        <f t="shared" si="50"/>
        <v>211287.70483304461</v>
      </c>
      <c r="J65" s="878">
        <f t="shared" si="50"/>
        <v>228562.91929618502</v>
      </c>
      <c r="K65" s="878">
        <f t="shared" si="50"/>
        <v>260234.14581194246</v>
      </c>
      <c r="L65" s="878">
        <f t="shared" si="50"/>
        <v>290465.77112243819</v>
      </c>
      <c r="M65" s="878">
        <f t="shared" si="50"/>
        <v>320697.39643293392</v>
      </c>
      <c r="N65" s="879">
        <f t="shared" si="50"/>
        <v>9.4587448984384537E-11</v>
      </c>
    </row>
    <row r="66" spans="2:14" x14ac:dyDescent="0.2">
      <c r="B66" s="146"/>
      <c r="N66" s="152"/>
    </row>
    <row r="67" spans="2:14" x14ac:dyDescent="0.2">
      <c r="B67" s="146" t="s">
        <v>1187</v>
      </c>
      <c r="C67" s="89">
        <f>'All. 14'!C22+'All. 14'!C26</f>
        <v>168121.39161824988</v>
      </c>
      <c r="D67" s="73">
        <f>+C72</f>
        <v>193876.15799381156</v>
      </c>
      <c r="E67" s="73">
        <f t="shared" ref="E67:M67" si="51">+D72</f>
        <v>222492.56507776899</v>
      </c>
      <c r="F67" s="73">
        <f t="shared" si="51"/>
        <v>255603.39279878812</v>
      </c>
      <c r="G67" s="73">
        <f t="shared" si="51"/>
        <v>285835.01810928382</v>
      </c>
      <c r="H67" s="73">
        <f t="shared" si="51"/>
        <v>316066.64341977955</v>
      </c>
      <c r="I67" s="73">
        <f t="shared" si="51"/>
        <v>0</v>
      </c>
      <c r="J67" s="73">
        <f t="shared" si="51"/>
        <v>31671.226515757433</v>
      </c>
      <c r="K67" s="73">
        <f t="shared" si="51"/>
        <v>48946.440978897852</v>
      </c>
      <c r="L67" s="73">
        <f t="shared" si="51"/>
        <v>80617.667494655281</v>
      </c>
      <c r="M67" s="73">
        <f t="shared" si="51"/>
        <v>110849.29280515101</v>
      </c>
      <c r="N67" s="147">
        <f t="shared" ref="N67" si="52">+M72</f>
        <v>141080.91811564672</v>
      </c>
    </row>
    <row r="68" spans="2:14" x14ac:dyDescent="0.2">
      <c r="B68" s="847" t="s">
        <v>1188</v>
      </c>
      <c r="C68" s="89">
        <f>C9+C12</f>
        <v>25754.766375561689</v>
      </c>
      <c r="D68" s="89">
        <f t="shared" ref="D68:M68" si="53">D9+D12</f>
        <v>28616.407083957434</v>
      </c>
      <c r="E68" s="89">
        <f t="shared" si="53"/>
        <v>33110.827721019137</v>
      </c>
      <c r="F68" s="89">
        <f t="shared" si="53"/>
        <v>30231.625310495725</v>
      </c>
      <c r="G68" s="89">
        <f t="shared" si="53"/>
        <v>30231.625310495725</v>
      </c>
      <c r="H68" s="89">
        <f t="shared" si="53"/>
        <v>31671.226515757433</v>
      </c>
      <c r="I68" s="89">
        <f t="shared" si="53"/>
        <v>31671.226515757433</v>
      </c>
      <c r="J68" s="89">
        <f t="shared" si="53"/>
        <v>17275.214463140419</v>
      </c>
      <c r="K68" s="89">
        <f t="shared" si="53"/>
        <v>31671.226515757433</v>
      </c>
      <c r="L68" s="89">
        <f t="shared" si="53"/>
        <v>30231.625310495725</v>
      </c>
      <c r="M68" s="89">
        <f t="shared" si="53"/>
        <v>30231.625310495725</v>
      </c>
      <c r="N68" s="877">
        <f t="shared" ref="N68" si="54">N9+N12</f>
        <v>17275.214463140419</v>
      </c>
    </row>
    <row r="69" spans="2:14" x14ac:dyDescent="0.2">
      <c r="B69" s="847" t="s">
        <v>1221</v>
      </c>
      <c r="C69" s="89">
        <f>C31</f>
        <v>0</v>
      </c>
      <c r="D69" s="89">
        <f t="shared" ref="D69:G69" si="55">D31</f>
        <v>0</v>
      </c>
      <c r="E69" s="89">
        <f t="shared" si="55"/>
        <v>0</v>
      </c>
      <c r="F69" s="89">
        <f t="shared" si="55"/>
        <v>0</v>
      </c>
      <c r="G69" s="89">
        <f t="shared" si="55"/>
        <v>0</v>
      </c>
      <c r="H69" s="89">
        <f>H31</f>
        <v>163626.81776479245</v>
      </c>
      <c r="I69" s="89">
        <f>I31</f>
        <v>0</v>
      </c>
      <c r="J69" s="89">
        <f t="shared" ref="J69:M69" si="56">J31</f>
        <v>0</v>
      </c>
      <c r="K69" s="89">
        <f t="shared" si="56"/>
        <v>0</v>
      </c>
      <c r="L69" s="89">
        <f t="shared" si="56"/>
        <v>0</v>
      </c>
      <c r="M69" s="89">
        <f t="shared" si="56"/>
        <v>0</v>
      </c>
      <c r="N69" s="877">
        <f t="shared" ref="N69" si="57">N31</f>
        <v>0</v>
      </c>
    </row>
    <row r="70" spans="2:14" x14ac:dyDescent="0.2">
      <c r="B70" s="847" t="s">
        <v>1222</v>
      </c>
      <c r="C70" s="89">
        <f t="shared" ref="C70:G70" si="58">+C29+C32</f>
        <v>0</v>
      </c>
      <c r="D70" s="89">
        <f t="shared" si="58"/>
        <v>0</v>
      </c>
      <c r="E70" s="89">
        <f t="shared" si="58"/>
        <v>0</v>
      </c>
      <c r="F70" s="89">
        <f t="shared" si="58"/>
        <v>0</v>
      </c>
      <c r="G70" s="89">
        <f t="shared" si="58"/>
        <v>0</v>
      </c>
      <c r="H70" s="89">
        <f>+H29+H32</f>
        <v>113895.02157234034</v>
      </c>
      <c r="I70" s="89">
        <f t="shared" ref="I70:M70" si="59">+I29+I32</f>
        <v>0</v>
      </c>
      <c r="J70" s="89">
        <f t="shared" si="59"/>
        <v>0</v>
      </c>
      <c r="K70" s="89">
        <f t="shared" si="59"/>
        <v>0</v>
      </c>
      <c r="L70" s="89">
        <f t="shared" si="59"/>
        <v>0</v>
      </c>
      <c r="M70" s="89">
        <f t="shared" si="59"/>
        <v>0</v>
      </c>
      <c r="N70" s="877">
        <f t="shared" ref="N70" si="60">+N29+N32</f>
        <v>0</v>
      </c>
    </row>
    <row r="71" spans="2:14" x14ac:dyDescent="0.2">
      <c r="B71" s="847" t="s">
        <v>1223</v>
      </c>
      <c r="C71" s="89">
        <f>+C30</f>
        <v>0</v>
      </c>
      <c r="D71" s="89">
        <f t="shared" ref="D71:H71" si="61">+D30</f>
        <v>0</v>
      </c>
      <c r="E71" s="89">
        <f t="shared" si="61"/>
        <v>0</v>
      </c>
      <c r="F71" s="89">
        <f t="shared" si="61"/>
        <v>0</v>
      </c>
      <c r="G71" s="89">
        <f t="shared" si="61"/>
        <v>0</v>
      </c>
      <c r="H71" s="89">
        <f t="shared" si="61"/>
        <v>70216.030598404206</v>
      </c>
      <c r="I71" s="89">
        <f>+I30</f>
        <v>0</v>
      </c>
      <c r="J71" s="89">
        <f t="shared" ref="J71:M71" si="62">+J30</f>
        <v>0</v>
      </c>
      <c r="K71" s="89">
        <f t="shared" si="62"/>
        <v>0</v>
      </c>
      <c r="L71" s="89">
        <f t="shared" si="62"/>
        <v>0</v>
      </c>
      <c r="M71" s="89">
        <f t="shared" si="62"/>
        <v>0</v>
      </c>
      <c r="N71" s="877">
        <f t="shared" ref="N71" si="63">+N30</f>
        <v>0</v>
      </c>
    </row>
    <row r="72" spans="2:14" x14ac:dyDescent="0.2">
      <c r="B72" s="848" t="s">
        <v>1193</v>
      </c>
      <c r="C72" s="878">
        <f>C67+C68-C71-C69-C70</f>
        <v>193876.15799381156</v>
      </c>
      <c r="D72" s="878">
        <f t="shared" ref="D72:H72" si="64">D67+D68-D71-D69-D70</f>
        <v>222492.56507776899</v>
      </c>
      <c r="E72" s="878">
        <f t="shared" si="64"/>
        <v>255603.39279878812</v>
      </c>
      <c r="F72" s="878">
        <f t="shared" si="64"/>
        <v>285835.01810928382</v>
      </c>
      <c r="G72" s="878">
        <f t="shared" si="64"/>
        <v>316066.64341977955</v>
      </c>
      <c r="H72" s="878">
        <f t="shared" si="64"/>
        <v>0</v>
      </c>
      <c r="I72" s="878">
        <f>I67+I68-I71-I69-I70</f>
        <v>31671.226515757433</v>
      </c>
      <c r="J72" s="878">
        <f t="shared" ref="J72" si="65">J67+J68-J71-J69-J70</f>
        <v>48946.440978897852</v>
      </c>
      <c r="K72" s="878">
        <f t="shared" ref="K72" si="66">K67+K68-K71-K69-K70</f>
        <v>80617.667494655281</v>
      </c>
      <c r="L72" s="878">
        <f t="shared" ref="L72" si="67">L67+L68-L71-L69-L70</f>
        <v>110849.29280515101</v>
      </c>
      <c r="M72" s="878">
        <f t="shared" ref="M72:N72" si="68">M67+M68-M71-M69-M70</f>
        <v>141080.91811564672</v>
      </c>
      <c r="N72" s="879">
        <f t="shared" si="68"/>
        <v>158356.13257878713</v>
      </c>
    </row>
    <row r="73" spans="2:14" x14ac:dyDescent="0.2">
      <c r="B73" s="146"/>
      <c r="N73" s="152"/>
    </row>
    <row r="74" spans="2:14" x14ac:dyDescent="0.2">
      <c r="B74" s="146" t="s">
        <v>1197</v>
      </c>
      <c r="C74" s="89">
        <f>+'All. 14'!C28</f>
        <v>2660000</v>
      </c>
      <c r="D74" s="73">
        <f>+C77</f>
        <v>2678490.5303829787</v>
      </c>
      <c r="E74" s="73">
        <f t="shared" ref="E74:M74" si="69">+D77</f>
        <v>2699035.5641418439</v>
      </c>
      <c r="F74" s="73">
        <f t="shared" si="69"/>
        <v>2722807.3490244285</v>
      </c>
      <c r="G74" s="73">
        <f t="shared" si="69"/>
        <v>2744512.022178093</v>
      </c>
      <c r="H74" s="73">
        <f t="shared" si="69"/>
        <v>2766216.6953317574</v>
      </c>
      <c r="I74" s="73">
        <f t="shared" si="69"/>
        <v>2788954.9243498822</v>
      </c>
      <c r="J74" s="73">
        <f t="shared" si="69"/>
        <v>2811693.1533680069</v>
      </c>
      <c r="K74" s="73">
        <f t="shared" si="69"/>
        <v>2824095.8237415296</v>
      </c>
      <c r="L74" s="73">
        <f t="shared" si="69"/>
        <v>2846834.0527596544</v>
      </c>
      <c r="M74" s="73">
        <f t="shared" si="69"/>
        <v>2868538.7259133188</v>
      </c>
      <c r="N74" s="147">
        <f t="shared" ref="N74" si="70">+M77</f>
        <v>2890243.3990669833</v>
      </c>
    </row>
    <row r="75" spans="2:14" x14ac:dyDescent="0.2">
      <c r="B75" s="847" t="s">
        <v>1198</v>
      </c>
      <c r="C75" s="73">
        <f t="shared" ref="C75:N75" si="71">C13</f>
        <v>18490.530382978752</v>
      </c>
      <c r="D75" s="73">
        <f t="shared" si="71"/>
        <v>20545.033758865284</v>
      </c>
      <c r="E75" s="73">
        <f t="shared" si="71"/>
        <v>23771.784882584754</v>
      </c>
      <c r="F75" s="73">
        <f t="shared" si="71"/>
        <v>21704.673153664335</v>
      </c>
      <c r="G75" s="73">
        <f t="shared" si="71"/>
        <v>21704.673153664335</v>
      </c>
      <c r="H75" s="73">
        <f t="shared" si="71"/>
        <v>22738.229018124548</v>
      </c>
      <c r="I75" s="73">
        <f t="shared" si="71"/>
        <v>22738.229018124548</v>
      </c>
      <c r="J75" s="73">
        <f t="shared" si="71"/>
        <v>12402.67037352248</v>
      </c>
      <c r="K75" s="73">
        <f t="shared" si="71"/>
        <v>22738.229018124548</v>
      </c>
      <c r="L75" s="73">
        <f t="shared" si="71"/>
        <v>21704.673153664335</v>
      </c>
      <c r="M75" s="73">
        <f t="shared" si="71"/>
        <v>21704.673153664335</v>
      </c>
      <c r="N75" s="147">
        <f t="shared" si="71"/>
        <v>12402.67037352248</v>
      </c>
    </row>
    <row r="76" spans="2:14" x14ac:dyDescent="0.2">
      <c r="B76" s="847" t="s">
        <v>1199</v>
      </c>
      <c r="N76" s="152"/>
    </row>
    <row r="77" spans="2:14" ht="17" thickBot="1" x14ac:dyDescent="0.25">
      <c r="B77" s="880" t="s">
        <v>1200</v>
      </c>
      <c r="C77" s="314">
        <f>+C74+C75-C76</f>
        <v>2678490.5303829787</v>
      </c>
      <c r="D77" s="314">
        <f>+D74+D75-D76</f>
        <v>2699035.5641418439</v>
      </c>
      <c r="E77" s="314">
        <f t="shared" ref="E77:N77" si="72">+E74+E75-E76</f>
        <v>2722807.3490244285</v>
      </c>
      <c r="F77" s="314">
        <f t="shared" si="72"/>
        <v>2744512.022178093</v>
      </c>
      <c r="G77" s="314">
        <f t="shared" si="72"/>
        <v>2766216.6953317574</v>
      </c>
      <c r="H77" s="314">
        <f t="shared" si="72"/>
        <v>2788954.9243498822</v>
      </c>
      <c r="I77" s="314">
        <f t="shared" si="72"/>
        <v>2811693.1533680069</v>
      </c>
      <c r="J77" s="314">
        <f t="shared" si="72"/>
        <v>2824095.8237415296</v>
      </c>
      <c r="K77" s="314">
        <f t="shared" si="72"/>
        <v>2846834.0527596544</v>
      </c>
      <c r="L77" s="314">
        <f t="shared" si="72"/>
        <v>2868538.7259133188</v>
      </c>
      <c r="M77" s="314">
        <f t="shared" si="72"/>
        <v>2890243.3990669833</v>
      </c>
      <c r="N77" s="292">
        <f t="shared" si="72"/>
        <v>2902646.0694405059</v>
      </c>
    </row>
    <row r="79" spans="2:14" x14ac:dyDescent="0.2">
      <c r="H79" s="73"/>
      <c r="I79" s="73"/>
    </row>
    <row r="80" spans="2:14" x14ac:dyDescent="0.2">
      <c r="B80" s="3" t="s">
        <v>94</v>
      </c>
    </row>
    <row r="81" spans="2:14" x14ac:dyDescent="0.2">
      <c r="B81" s="3" t="s">
        <v>1239</v>
      </c>
      <c r="C81" s="73">
        <f>C14</f>
        <v>379057.25964084273</v>
      </c>
      <c r="D81" s="73">
        <f>D14</f>
        <v>425685.12534702866</v>
      </c>
      <c r="E81" s="73">
        <f t="shared" ref="E81:M81" si="73">E14</f>
        <v>487323.37297685299</v>
      </c>
      <c r="F81" s="73">
        <f t="shared" si="73"/>
        <v>444947.42750060488</v>
      </c>
      <c r="G81" s="73">
        <f t="shared" si="73"/>
        <v>444947.42750060488</v>
      </c>
      <c r="H81" s="73">
        <f>H14</f>
        <v>466135.40023872897</v>
      </c>
      <c r="I81" s="73">
        <f t="shared" si="73"/>
        <v>466135.40023872897</v>
      </c>
      <c r="J81" s="73">
        <f t="shared" si="73"/>
        <v>254255.67285748851</v>
      </c>
      <c r="K81" s="73">
        <f t="shared" si="73"/>
        <v>466135.40023872897</v>
      </c>
      <c r="L81" s="73">
        <f t="shared" si="73"/>
        <v>444947.42750060488</v>
      </c>
      <c r="M81" s="73">
        <f t="shared" si="73"/>
        <v>444947.42750060488</v>
      </c>
      <c r="N81" s="73">
        <f t="shared" ref="N81" si="74">N14</f>
        <v>254255.67285748851</v>
      </c>
    </row>
    <row r="82" spans="2:14" x14ac:dyDescent="0.2">
      <c r="B82" s="76" t="s">
        <v>1240</v>
      </c>
      <c r="C82" s="73">
        <f>-(C47-C44)</f>
        <v>0</v>
      </c>
      <c r="D82" s="73">
        <f>-(D47-D44)</f>
        <v>0</v>
      </c>
      <c r="E82" s="73">
        <f t="shared" ref="E82:M82" si="75">-(E47-E44)</f>
        <v>0</v>
      </c>
      <c r="F82" s="73">
        <f t="shared" si="75"/>
        <v>0</v>
      </c>
      <c r="G82" s="73">
        <f t="shared" si="75"/>
        <v>0</v>
      </c>
      <c r="H82" s="73">
        <f t="shared" si="75"/>
        <v>0</v>
      </c>
      <c r="I82" s="73">
        <f t="shared" si="75"/>
        <v>0</v>
      </c>
      <c r="J82" s="73">
        <f t="shared" si="75"/>
        <v>0</v>
      </c>
      <c r="K82" s="73">
        <f t="shared" si="75"/>
        <v>0</v>
      </c>
      <c r="L82" s="73">
        <f t="shared" si="75"/>
        <v>0</v>
      </c>
      <c r="M82" s="73">
        <f t="shared" si="75"/>
        <v>0</v>
      </c>
      <c r="N82" s="73">
        <f t="shared" ref="N82" si="76">-(N47-N44)</f>
        <v>0</v>
      </c>
    </row>
    <row r="83" spans="2:14" x14ac:dyDescent="0.2">
      <c r="B83" s="76" t="s">
        <v>1241</v>
      </c>
      <c r="C83" s="73">
        <f>-(C53-C49)</f>
        <v>35070.926624585059</v>
      </c>
      <c r="D83" s="73">
        <f>-(D53-D49)</f>
        <v>-10302.363930481777</v>
      </c>
      <c r="E83" s="73">
        <f t="shared" ref="E83:M83" si="77">-(E53-E49)</f>
        <v>-13028.14026184415</v>
      </c>
      <c r="F83" s="73">
        <f t="shared" si="77"/>
        <v>9208.9827523402782</v>
      </c>
      <c r="G83" s="73">
        <f t="shared" si="77"/>
        <v>-1.0186340659856796E-10</v>
      </c>
      <c r="H83" s="73">
        <f>-(H53-H49)</f>
        <v>-118499.5129485107</v>
      </c>
      <c r="I83" s="73">
        <f t="shared" si="77"/>
        <v>113895.02157234019</v>
      </c>
      <c r="J83" s="73">
        <f t="shared" si="77"/>
        <v>46044.913761702002</v>
      </c>
      <c r="K83" s="73">
        <f t="shared" si="77"/>
        <v>-46044.91376170225</v>
      </c>
      <c r="L83" s="73">
        <f t="shared" si="77"/>
        <v>4604.4913761700736</v>
      </c>
      <c r="M83" s="73">
        <f t="shared" si="77"/>
        <v>-1.3096723705530167E-10</v>
      </c>
      <c r="N83" s="73">
        <f t="shared" ref="N83" si="78">-(N53-N49)</f>
        <v>-48641.930894255347</v>
      </c>
    </row>
    <row r="84" spans="2:14" x14ac:dyDescent="0.2">
      <c r="B84" s="76" t="s">
        <v>1242</v>
      </c>
      <c r="C84" s="73">
        <f>-(C58-C55)</f>
        <v>-16683.257848812762</v>
      </c>
      <c r="D84" s="73">
        <f>-(D58-D55)</f>
        <v>-7087.558094901804</v>
      </c>
      <c r="E84" s="73">
        <f t="shared" ref="E84:M84" si="79">-(E58-E55)</f>
        <v>-9098.6287425343471</v>
      </c>
      <c r="F84" s="73">
        <f t="shared" si="79"/>
        <v>6335.361543485109</v>
      </c>
      <c r="G84" s="73">
        <f t="shared" si="79"/>
        <v>0</v>
      </c>
      <c r="H84" s="73">
        <f t="shared" si="79"/>
        <v>-73383.711370146717</v>
      </c>
      <c r="I84" s="73">
        <f t="shared" si="79"/>
        <v>70216.030598404206</v>
      </c>
      <c r="J84" s="73">
        <f t="shared" si="79"/>
        <v>31676.807717425545</v>
      </c>
      <c r="K84" s="73">
        <f t="shared" si="79"/>
        <v>-31676.807717425574</v>
      </c>
      <c r="L84" s="73">
        <f t="shared" si="79"/>
        <v>3167.6807717425399</v>
      </c>
      <c r="M84" s="73">
        <f t="shared" si="79"/>
        <v>0</v>
      </c>
      <c r="N84" s="73">
        <f t="shared" ref="N84" si="80">-(N58-N55)</f>
        <v>-33463.43745838874</v>
      </c>
    </row>
    <row r="85" spans="2:14" x14ac:dyDescent="0.2">
      <c r="B85" s="76" t="s">
        <v>1243</v>
      </c>
      <c r="C85" s="867">
        <f>-(C65-C60)-(C72-C67)</f>
        <v>41343.554712376557</v>
      </c>
      <c r="D85" s="867">
        <f>-(D65-D60)-(D72-D67)</f>
        <v>-57232.814167914861</v>
      </c>
      <c r="E85" s="867">
        <f t="shared" ref="E85:M85" si="81">-(E65-E60)-(E72-E67)</f>
        <v>-66221.65544203826</v>
      </c>
      <c r="F85" s="867">
        <f t="shared" si="81"/>
        <v>-60463.250620991428</v>
      </c>
      <c r="G85" s="867">
        <f t="shared" si="81"/>
        <v>-60463.250620991457</v>
      </c>
      <c r="H85" s="867">
        <f t="shared" si="81"/>
        <v>284395.4169040221</v>
      </c>
      <c r="I85" s="867">
        <f t="shared" si="81"/>
        <v>-63342.453031514873</v>
      </c>
      <c r="J85" s="867">
        <f t="shared" si="81"/>
        <v>-34550.428926280831</v>
      </c>
      <c r="K85" s="867">
        <f t="shared" si="81"/>
        <v>-63342.453031514873</v>
      </c>
      <c r="L85" s="867">
        <f t="shared" si="81"/>
        <v>-60463.250620991457</v>
      </c>
      <c r="M85" s="867">
        <f t="shared" si="81"/>
        <v>-60463.250620991443</v>
      </c>
      <c r="N85" s="867">
        <f t="shared" ref="N85" si="82">-(N65-N60)-(N72-N67)</f>
        <v>303422.1819697934</v>
      </c>
    </row>
    <row r="86" spans="2:14" x14ac:dyDescent="0.2">
      <c r="B86" s="76" t="s">
        <v>1244</v>
      </c>
      <c r="C86" s="73">
        <f>-(C77-C74)</f>
        <v>-18490.53038297873</v>
      </c>
      <c r="D86" s="73">
        <f>-(D77-D74)</f>
        <v>-20545.033758865204</v>
      </c>
      <c r="E86" s="73">
        <f t="shared" ref="E86:M86" si="83">-(E77-E74)</f>
        <v>-23771.784882584587</v>
      </c>
      <c r="F86" s="73">
        <f t="shared" si="83"/>
        <v>-21704.673153664451</v>
      </c>
      <c r="G86" s="73">
        <f t="shared" si="83"/>
        <v>-21704.673153664451</v>
      </c>
      <c r="H86" s="73">
        <f t="shared" si="83"/>
        <v>-22738.229018124752</v>
      </c>
      <c r="I86" s="73">
        <f t="shared" si="83"/>
        <v>-22738.229018124752</v>
      </c>
      <c r="J86" s="73">
        <f t="shared" si="83"/>
        <v>-12402.670373522677</v>
      </c>
      <c r="K86" s="73">
        <f t="shared" si="83"/>
        <v>-22738.229018124752</v>
      </c>
      <c r="L86" s="73">
        <f t="shared" si="83"/>
        <v>-21704.673153664451</v>
      </c>
      <c r="M86" s="73">
        <f t="shared" si="83"/>
        <v>-21704.673153664451</v>
      </c>
      <c r="N86" s="73">
        <f t="shared" ref="N86" si="84">-(N77-N74)</f>
        <v>-12402.670373522677</v>
      </c>
    </row>
    <row r="87" spans="2:14" x14ac:dyDescent="0.2">
      <c r="B87" s="76" t="s">
        <v>1245</v>
      </c>
      <c r="C87" s="73">
        <f>SUM(C81:C86)</f>
        <v>420297.95274601283</v>
      </c>
      <c r="D87" s="73">
        <f>SUM(D81:D86)</f>
        <v>330517.35539486504</v>
      </c>
      <c r="E87" s="73">
        <f t="shared" ref="E87:N87" si="85">SUM(E81:E86)</f>
        <v>375203.16364785162</v>
      </c>
      <c r="F87" s="73">
        <f t="shared" si="85"/>
        <v>378323.84802177432</v>
      </c>
      <c r="G87" s="73">
        <f t="shared" si="85"/>
        <v>362779.50372594886</v>
      </c>
      <c r="H87" s="73">
        <f t="shared" si="85"/>
        <v>535909.3638059689</v>
      </c>
      <c r="I87" s="73">
        <f t="shared" si="85"/>
        <v>564165.77035983372</v>
      </c>
      <c r="J87" s="73">
        <f t="shared" si="85"/>
        <v>285024.29503681255</v>
      </c>
      <c r="K87" s="73">
        <f t="shared" si="85"/>
        <v>302332.9967099615</v>
      </c>
      <c r="L87" s="73">
        <f t="shared" si="85"/>
        <v>370551.67587386159</v>
      </c>
      <c r="M87" s="73">
        <f t="shared" si="85"/>
        <v>362779.50372594886</v>
      </c>
      <c r="N87" s="73">
        <f t="shared" si="85"/>
        <v>463169.81610111514</v>
      </c>
    </row>
    <row r="89" spans="2:14" x14ac:dyDescent="0.2">
      <c r="C89" s="103">
        <f>C87-C42</f>
        <v>0</v>
      </c>
      <c r="D89" s="103">
        <f>D87-D42</f>
        <v>197.48460341896862</v>
      </c>
      <c r="E89" s="103">
        <f t="shared" ref="E89:M89" si="86">E87-E42</f>
        <v>0</v>
      </c>
      <c r="F89" s="103">
        <f t="shared" si="86"/>
        <v>0</v>
      </c>
      <c r="G89" s="103">
        <f t="shared" si="86"/>
        <v>0</v>
      </c>
      <c r="H89" s="103">
        <f>H87-H42</f>
        <v>0</v>
      </c>
      <c r="I89" s="103">
        <f t="shared" si="86"/>
        <v>0</v>
      </c>
      <c r="J89" s="103">
        <f t="shared" si="86"/>
        <v>0</v>
      </c>
      <c r="K89" s="103">
        <f t="shared" si="86"/>
        <v>0</v>
      </c>
      <c r="L89" s="103">
        <f t="shared" si="86"/>
        <v>0</v>
      </c>
      <c r="M89" s="103">
        <f t="shared" si="86"/>
        <v>0</v>
      </c>
      <c r="N89" s="103">
        <f t="shared" ref="N89" si="87">N87-N42</f>
        <v>0</v>
      </c>
    </row>
    <row r="90" spans="2:14" x14ac:dyDescent="0.2">
      <c r="D90" s="969"/>
    </row>
    <row r="91" spans="2:14" x14ac:dyDescent="0.2">
      <c r="D91" s="1016"/>
    </row>
  </sheetData>
  <mergeCells count="1">
    <mergeCell ref="C4:O4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6C7F5-4EF5-334B-B128-44133CDFC89B}">
  <sheetPr codeName="Foglio54"/>
  <dimension ref="B2:P27"/>
  <sheetViews>
    <sheetView topLeftCell="A2" zoomScale="190" zoomScaleNormal="190" workbookViewId="0">
      <selection activeCell="A22" sqref="A22:XFD25"/>
    </sheetView>
  </sheetViews>
  <sheetFormatPr baseColWidth="10" defaultRowHeight="16" x14ac:dyDescent="0.2"/>
  <cols>
    <col min="1" max="1" width="10.83203125" style="3"/>
    <col min="2" max="2" width="29" style="3" customWidth="1"/>
    <col min="3" max="3" width="12.1640625" style="3" bestFit="1" customWidth="1"/>
    <col min="4" max="14" width="12.5" style="3" customWidth="1"/>
    <col min="15" max="16384" width="10.83203125" style="3"/>
  </cols>
  <sheetData>
    <row r="2" spans="2:16" x14ac:dyDescent="0.2">
      <c r="B2" s="3" t="s">
        <v>1254</v>
      </c>
    </row>
    <row r="3" spans="2:16" ht="17" thickBot="1" x14ac:dyDescent="0.25"/>
    <row r="4" spans="2:16" x14ac:dyDescent="0.2">
      <c r="B4" s="13"/>
      <c r="C4" s="1056" t="s">
        <v>196</v>
      </c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5"/>
    </row>
    <row r="5" spans="2:16" x14ac:dyDescent="0.2">
      <c r="B5" s="146"/>
      <c r="C5" s="419" t="s">
        <v>211</v>
      </c>
      <c r="D5" s="420" t="s">
        <v>212</v>
      </c>
      <c r="E5" s="420" t="s">
        <v>213</v>
      </c>
      <c r="F5" s="420" t="s">
        <v>214</v>
      </c>
      <c r="G5" s="420" t="s">
        <v>215</v>
      </c>
      <c r="H5" s="420" t="s">
        <v>216</v>
      </c>
      <c r="I5" s="420" t="s">
        <v>217</v>
      </c>
      <c r="J5" s="420" t="s">
        <v>218</v>
      </c>
      <c r="K5" s="420" t="s">
        <v>219</v>
      </c>
      <c r="L5" s="420" t="s">
        <v>220</v>
      </c>
      <c r="M5" s="420" t="s">
        <v>221</v>
      </c>
      <c r="N5" s="293" t="s">
        <v>222</v>
      </c>
    </row>
    <row r="6" spans="2:16" x14ac:dyDescent="0.2">
      <c r="B6" s="322"/>
      <c r="C6" s="28"/>
      <c r="N6" s="152"/>
    </row>
    <row r="7" spans="2:16" x14ac:dyDescent="0.2">
      <c r="B7" s="146" t="s">
        <v>1257</v>
      </c>
      <c r="C7" s="881">
        <f>'All. 7'!C36</f>
        <v>17068000</v>
      </c>
      <c r="D7" s="100">
        <f>+C10</f>
        <v>17098000</v>
      </c>
      <c r="E7" s="100">
        <f t="shared" ref="E7:N7" si="0">+D10</f>
        <v>17098000</v>
      </c>
      <c r="F7" s="100">
        <f t="shared" si="0"/>
        <v>17098000</v>
      </c>
      <c r="G7" s="100">
        <f t="shared" si="0"/>
        <v>17098000</v>
      </c>
      <c r="H7" s="100">
        <f t="shared" si="0"/>
        <v>17098000</v>
      </c>
      <c r="I7" s="100">
        <f t="shared" si="0"/>
        <v>17098000</v>
      </c>
      <c r="J7" s="100">
        <f t="shared" si="0"/>
        <v>17098000</v>
      </c>
      <c r="K7" s="100">
        <f t="shared" si="0"/>
        <v>17098000</v>
      </c>
      <c r="L7" s="100">
        <f t="shared" si="0"/>
        <v>17098000</v>
      </c>
      <c r="M7" s="100">
        <f t="shared" si="0"/>
        <v>17098000</v>
      </c>
      <c r="N7" s="287">
        <f t="shared" si="0"/>
        <v>17098000</v>
      </c>
    </row>
    <row r="8" spans="2:16" x14ac:dyDescent="0.2">
      <c r="B8" s="847" t="s">
        <v>1255</v>
      </c>
      <c r="C8" s="881">
        <f>'All. 7'!D32</f>
        <v>30000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287"/>
    </row>
    <row r="9" spans="2:16" x14ac:dyDescent="0.2">
      <c r="B9" s="847" t="s">
        <v>1256</v>
      </c>
      <c r="C9" s="881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287"/>
    </row>
    <row r="10" spans="2:16" ht="17" thickBot="1" x14ac:dyDescent="0.25">
      <c r="B10" s="852" t="s">
        <v>1258</v>
      </c>
      <c r="C10" s="882">
        <f>+C7+C8-C9</f>
        <v>17098000</v>
      </c>
      <c r="D10" s="861">
        <f t="shared" ref="D10:N10" si="1">+D7+D8-D9</f>
        <v>17098000</v>
      </c>
      <c r="E10" s="861">
        <f>+E7+E8-E9</f>
        <v>17098000</v>
      </c>
      <c r="F10" s="861">
        <f t="shared" si="1"/>
        <v>17098000</v>
      </c>
      <c r="G10" s="861">
        <f t="shared" si="1"/>
        <v>17098000</v>
      </c>
      <c r="H10" s="861">
        <f t="shared" si="1"/>
        <v>17098000</v>
      </c>
      <c r="I10" s="861">
        <f t="shared" si="1"/>
        <v>17098000</v>
      </c>
      <c r="J10" s="861">
        <f t="shared" si="1"/>
        <v>17098000</v>
      </c>
      <c r="K10" s="861">
        <f t="shared" si="1"/>
        <v>17098000</v>
      </c>
      <c r="L10" s="861">
        <f t="shared" si="1"/>
        <v>17098000</v>
      </c>
      <c r="M10" s="861">
        <f t="shared" si="1"/>
        <v>17098000</v>
      </c>
      <c r="N10" s="883">
        <f t="shared" si="1"/>
        <v>17098000</v>
      </c>
    </row>
    <row r="11" spans="2:16" x14ac:dyDescent="0.2">
      <c r="B11" s="322"/>
      <c r="C11" s="28"/>
      <c r="N11" s="152"/>
    </row>
    <row r="12" spans="2:16" x14ac:dyDescent="0.2">
      <c r="B12" s="146" t="s">
        <v>1259</v>
      </c>
      <c r="C12" s="881">
        <f>'All. 7'!H36</f>
        <v>5034890</v>
      </c>
      <c r="D12" s="100">
        <f>+C16</f>
        <v>5250672.0254110619</v>
      </c>
      <c r="E12" s="100">
        <f t="shared" ref="E12:N12" si="2">+D16</f>
        <v>5477429.3871449931</v>
      </c>
      <c r="F12" s="100">
        <f t="shared" si="2"/>
        <v>5720649.7533632293</v>
      </c>
      <c r="G12" s="100">
        <f t="shared" si="2"/>
        <v>5952894.7832585955</v>
      </c>
      <c r="H12" s="100">
        <f t="shared" si="2"/>
        <v>6185139.8131539617</v>
      </c>
      <c r="I12" s="100">
        <f t="shared" si="2"/>
        <v>6422872.5112107629</v>
      </c>
      <c r="J12" s="100">
        <f t="shared" si="2"/>
        <v>6660605.2092675641</v>
      </c>
      <c r="K12" s="100">
        <f t="shared" si="2"/>
        <v>6843461.2257100157</v>
      </c>
      <c r="L12" s="100">
        <f t="shared" si="2"/>
        <v>7081193.923766817</v>
      </c>
      <c r="M12" s="100">
        <f t="shared" si="2"/>
        <v>7313438.9536621831</v>
      </c>
      <c r="N12" s="287">
        <f t="shared" si="2"/>
        <v>7545683.9835575493</v>
      </c>
    </row>
    <row r="13" spans="2:16" x14ac:dyDescent="0.2">
      <c r="B13" s="847" t="s">
        <v>1394</v>
      </c>
      <c r="C13" s="881">
        <f>'Mens costi industriali DIR'!C53+'Mens costi industriali IND'!C57</f>
        <v>93290.358744394616</v>
      </c>
      <c r="D13" s="881">
        <f>'Mens costi industriali DIR'!D53+'Mens costi industriali IND'!D57</f>
        <v>104265.69506726458</v>
      </c>
      <c r="E13" s="881">
        <f>'Mens costi industriali DIR'!E53+'Mens costi industriali IND'!E57</f>
        <v>120728.6995515695</v>
      </c>
      <c r="F13" s="100">
        <f>'Mens costi industriali DIR'!F53+'Mens costi industriali IND'!F57</f>
        <v>109753.36322869956</v>
      </c>
      <c r="G13" s="100">
        <f>'Mens costi industriali DIR'!G53+'Mens costi industriali IND'!G57</f>
        <v>109753.36322869956</v>
      </c>
      <c r="H13" s="100">
        <f>'Mens costi industriali DIR'!H53+'Mens costi industriali IND'!H57</f>
        <v>115241.03139013454</v>
      </c>
      <c r="I13" s="100">
        <f>'Mens costi industriali DIR'!I53+'Mens costi industriali IND'!I57</f>
        <v>115241.03139013454</v>
      </c>
      <c r="J13" s="100">
        <f>'Mens costi industriali DIR'!J53+'Mens costi industriali IND'!J57</f>
        <v>60364.349775784751</v>
      </c>
      <c r="K13" s="100">
        <f>'Mens costi industriali DIR'!K53+'Mens costi industriali IND'!K57</f>
        <v>115241.03139013454</v>
      </c>
      <c r="L13" s="100">
        <f>'Mens costi industriali DIR'!L53+'Mens costi industriali IND'!L57</f>
        <v>109753.36322869956</v>
      </c>
      <c r="M13" s="100">
        <f>'Mens costi industriali DIR'!M53+'Mens costi industriali IND'!M57</f>
        <v>109753.36322869956</v>
      </c>
      <c r="N13" s="287">
        <f>'Mens costi industriali DIR'!N53+'Mens costi industriali IND'!N57</f>
        <v>60364.349775784751</v>
      </c>
      <c r="O13" s="73">
        <f>SUM(C13:N13)</f>
        <v>1223750.0000000002</v>
      </c>
    </row>
    <row r="14" spans="2:16" x14ac:dyDescent="0.2">
      <c r="B14" s="847" t="s">
        <v>1263</v>
      </c>
      <c r="C14" s="881">
        <f>('All. 7'!$I$36-$O$13)/12</f>
        <v>122491.66666666664</v>
      </c>
      <c r="D14" s="100">
        <f>('All. 7'!$I$36-$O$13)/12</f>
        <v>122491.66666666664</v>
      </c>
      <c r="E14" s="100">
        <f>('All. 7'!$I$36-$O$13)/12</f>
        <v>122491.66666666664</v>
      </c>
      <c r="F14" s="100">
        <f>('All. 7'!$I$36-$O$13)/12</f>
        <v>122491.66666666664</v>
      </c>
      <c r="G14" s="100">
        <f>('All. 7'!$I$36-$O$13)/12</f>
        <v>122491.66666666664</v>
      </c>
      <c r="H14" s="100">
        <f>('All. 7'!$I$36-$O$13)/12</f>
        <v>122491.66666666664</v>
      </c>
      <c r="I14" s="100">
        <f>('All. 7'!$I$36-$O$13)/12</f>
        <v>122491.66666666664</v>
      </c>
      <c r="J14" s="100">
        <f>('All. 7'!$I$36-$O$13)/12</f>
        <v>122491.66666666664</v>
      </c>
      <c r="K14" s="100">
        <f>('All. 7'!$I$36-$O$13)/12</f>
        <v>122491.66666666664</v>
      </c>
      <c r="L14" s="100">
        <f>('All. 7'!$I$36-$O$13)/12</f>
        <v>122491.66666666664</v>
      </c>
      <c r="M14" s="100">
        <f>('All. 7'!$I$36-$O$13)/12</f>
        <v>122491.66666666664</v>
      </c>
      <c r="N14" s="287">
        <f>('All. 7'!$I$36-$O$13)/12</f>
        <v>122491.66666666664</v>
      </c>
      <c r="O14" s="73">
        <f>SUM(C14:N14)</f>
        <v>1469900</v>
      </c>
      <c r="P14" s="73"/>
    </row>
    <row r="15" spans="2:16" x14ac:dyDescent="0.2">
      <c r="B15" s="847" t="s">
        <v>1256</v>
      </c>
      <c r="C15" s="881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287"/>
    </row>
    <row r="16" spans="2:16" ht="17" thickBot="1" x14ac:dyDescent="0.25">
      <c r="B16" s="852" t="s">
        <v>1260</v>
      </c>
      <c r="C16" s="882">
        <f>+C12++C13+C14-C15</f>
        <v>5250672.0254110619</v>
      </c>
      <c r="D16" s="861">
        <f t="shared" ref="D16:N16" si="3">+D12++D13+D14-D15</f>
        <v>5477429.3871449931</v>
      </c>
      <c r="E16" s="861">
        <f t="shared" si="3"/>
        <v>5720649.7533632293</v>
      </c>
      <c r="F16" s="861">
        <f t="shared" si="3"/>
        <v>5952894.7832585955</v>
      </c>
      <c r="G16" s="861">
        <f t="shared" si="3"/>
        <v>6185139.8131539617</v>
      </c>
      <c r="H16" s="861">
        <f t="shared" si="3"/>
        <v>6422872.5112107629</v>
      </c>
      <c r="I16" s="861">
        <f t="shared" si="3"/>
        <v>6660605.2092675641</v>
      </c>
      <c r="J16" s="861">
        <f t="shared" si="3"/>
        <v>6843461.2257100157</v>
      </c>
      <c r="K16" s="861">
        <f t="shared" si="3"/>
        <v>7081193.923766817</v>
      </c>
      <c r="L16" s="861">
        <f t="shared" si="3"/>
        <v>7313438.9536621831</v>
      </c>
      <c r="M16" s="861">
        <f t="shared" si="3"/>
        <v>7545683.9835575493</v>
      </c>
      <c r="N16" s="883">
        <f t="shared" si="3"/>
        <v>7728540.0000000009</v>
      </c>
    </row>
    <row r="17" spans="2:14" x14ac:dyDescent="0.2">
      <c r="B17" s="948"/>
      <c r="C17" s="89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287"/>
    </row>
    <row r="18" spans="2:14" ht="17" thickBot="1" x14ac:dyDescent="0.25">
      <c r="B18" s="326" t="s">
        <v>1264</v>
      </c>
      <c r="C18" s="947">
        <f>+C10-C16</f>
        <v>11847327.974588938</v>
      </c>
      <c r="D18" s="861">
        <f t="shared" ref="D18:N18" si="4">+D10-D16</f>
        <v>11620570.612855006</v>
      </c>
      <c r="E18" s="861">
        <f t="shared" si="4"/>
        <v>11377350.246636771</v>
      </c>
      <c r="F18" s="861">
        <f t="shared" si="4"/>
        <v>11145105.216741405</v>
      </c>
      <c r="G18" s="861">
        <f t="shared" si="4"/>
        <v>10912860.186846038</v>
      </c>
      <c r="H18" s="861">
        <f t="shared" si="4"/>
        <v>10675127.488789238</v>
      </c>
      <c r="I18" s="861">
        <f t="shared" si="4"/>
        <v>10437394.790732436</v>
      </c>
      <c r="J18" s="861">
        <f t="shared" si="4"/>
        <v>10254538.774289984</v>
      </c>
      <c r="K18" s="861">
        <f t="shared" si="4"/>
        <v>10016806.076233182</v>
      </c>
      <c r="L18" s="861">
        <f t="shared" si="4"/>
        <v>9784561.0463378169</v>
      </c>
      <c r="M18" s="861">
        <f t="shared" si="4"/>
        <v>9552316.0164424516</v>
      </c>
      <c r="N18" s="883">
        <f t="shared" si="4"/>
        <v>9369460</v>
      </c>
    </row>
    <row r="19" spans="2:14" ht="17" thickBot="1" x14ac:dyDescent="0.25">
      <c r="B19" s="438"/>
      <c r="N19" s="152"/>
    </row>
    <row r="20" spans="2:14" ht="17" thickBot="1" x14ac:dyDescent="0.25">
      <c r="B20" s="776" t="s">
        <v>90</v>
      </c>
      <c r="C20" s="807">
        <f>C8*'All. 13'!$C$20</f>
        <v>6600</v>
      </c>
      <c r="D20" s="807">
        <f>D8*'All. 13'!$C$20</f>
        <v>0</v>
      </c>
      <c r="E20" s="807">
        <f>E8*'All. 13'!$C$20</f>
        <v>0</v>
      </c>
      <c r="F20" s="807">
        <f>F8*'All. 13'!$C$20</f>
        <v>0</v>
      </c>
      <c r="G20" s="807">
        <f>G8*'All. 13'!$C$20</f>
        <v>0</v>
      </c>
      <c r="H20" s="807">
        <f>H8*'All. 13'!$C$20</f>
        <v>0</v>
      </c>
      <c r="I20" s="807">
        <f>I8*'All. 13'!$C$20</f>
        <v>0</v>
      </c>
      <c r="J20" s="807">
        <f>J8*'All. 13'!$C$20</f>
        <v>0</v>
      </c>
      <c r="K20" s="807">
        <f>K8*'All. 13'!$C$20</f>
        <v>0</v>
      </c>
      <c r="L20" s="807">
        <f>L8*'All. 13'!$C$20</f>
        <v>0</v>
      </c>
      <c r="M20" s="807">
        <f>M8*'All. 13'!$C$20</f>
        <v>0</v>
      </c>
      <c r="N20" s="808">
        <f>N8*'All. 13'!$C$20</f>
        <v>0</v>
      </c>
    </row>
    <row r="21" spans="2:14" x14ac:dyDescent="0.2">
      <c r="B21" s="438"/>
      <c r="N21" s="152"/>
    </row>
    <row r="22" spans="2:14" x14ac:dyDescent="0.2">
      <c r="B22" s="438" t="s">
        <v>1265</v>
      </c>
      <c r="C22" s="884">
        <v>0</v>
      </c>
      <c r="D22" s="73">
        <f>+C25</f>
        <v>36600</v>
      </c>
      <c r="E22" s="73">
        <f t="shared" ref="E22:G22" si="5">+D25</f>
        <v>36600</v>
      </c>
      <c r="F22" s="73">
        <f t="shared" si="5"/>
        <v>36600</v>
      </c>
      <c r="G22" s="73">
        <f t="shared" si="5"/>
        <v>0</v>
      </c>
      <c r="H22" s="73">
        <f t="shared" ref="H22:N22" si="6">+G25</f>
        <v>0</v>
      </c>
      <c r="I22" s="73">
        <f t="shared" si="6"/>
        <v>0</v>
      </c>
      <c r="J22" s="73">
        <f t="shared" si="6"/>
        <v>0</v>
      </c>
      <c r="K22" s="73">
        <f t="shared" si="6"/>
        <v>0</v>
      </c>
      <c r="L22" s="73">
        <f t="shared" si="6"/>
        <v>0</v>
      </c>
      <c r="M22" s="73">
        <f t="shared" si="6"/>
        <v>0</v>
      </c>
      <c r="N22" s="147">
        <f t="shared" si="6"/>
        <v>0</v>
      </c>
    </row>
    <row r="23" spans="2:14" x14ac:dyDescent="0.2">
      <c r="B23" s="469" t="s">
        <v>129</v>
      </c>
      <c r="C23" s="73">
        <f>+C8+C20</f>
        <v>36600</v>
      </c>
      <c r="D23" s="73">
        <f t="shared" ref="D23:G23" si="7">+D8+D20</f>
        <v>0</v>
      </c>
      <c r="E23" s="73">
        <f t="shared" si="7"/>
        <v>0</v>
      </c>
      <c r="F23" s="73">
        <f t="shared" si="7"/>
        <v>0</v>
      </c>
      <c r="G23" s="73">
        <f t="shared" si="7"/>
        <v>0</v>
      </c>
      <c r="H23" s="73">
        <f t="shared" ref="H23:N23" si="8">+H8+H20</f>
        <v>0</v>
      </c>
      <c r="I23" s="73">
        <f t="shared" si="8"/>
        <v>0</v>
      </c>
      <c r="J23" s="73">
        <f t="shared" si="8"/>
        <v>0</v>
      </c>
      <c r="K23" s="73">
        <f t="shared" si="8"/>
        <v>0</v>
      </c>
      <c r="L23" s="73">
        <f t="shared" si="8"/>
        <v>0</v>
      </c>
      <c r="M23" s="73">
        <f t="shared" si="8"/>
        <v>0</v>
      </c>
      <c r="N23" s="147">
        <f t="shared" si="8"/>
        <v>0</v>
      </c>
    </row>
    <row r="24" spans="2:14" x14ac:dyDescent="0.2">
      <c r="B24" s="469" t="s">
        <v>1154</v>
      </c>
      <c r="C24" s="89"/>
      <c r="D24" s="100"/>
      <c r="E24" s="100"/>
      <c r="F24" s="100">
        <f>+C23</f>
        <v>36600</v>
      </c>
      <c r="G24" s="100">
        <f>+D23</f>
        <v>0</v>
      </c>
      <c r="H24" s="100">
        <f t="shared" ref="H24:N24" si="9">+E23</f>
        <v>0</v>
      </c>
      <c r="I24" s="100">
        <f t="shared" si="9"/>
        <v>0</v>
      </c>
      <c r="J24" s="100">
        <f t="shared" si="9"/>
        <v>0</v>
      </c>
      <c r="K24" s="100">
        <f t="shared" si="9"/>
        <v>0</v>
      </c>
      <c r="L24" s="100">
        <f t="shared" si="9"/>
        <v>0</v>
      </c>
      <c r="M24" s="100">
        <f t="shared" si="9"/>
        <v>0</v>
      </c>
      <c r="N24" s="287">
        <f t="shared" si="9"/>
        <v>0</v>
      </c>
    </row>
    <row r="25" spans="2:14" ht="17" thickBot="1" x14ac:dyDescent="0.25">
      <c r="B25" s="326" t="s">
        <v>1266</v>
      </c>
      <c r="C25" s="947">
        <f>+C22+C23-C24</f>
        <v>36600</v>
      </c>
      <c r="D25" s="861">
        <f>+D22+D23-D24</f>
        <v>36600</v>
      </c>
      <c r="E25" s="861">
        <f t="shared" ref="E25:G25" si="10">+E22+E23-E24</f>
        <v>36600</v>
      </c>
      <c r="F25" s="861">
        <f t="shared" si="10"/>
        <v>0</v>
      </c>
      <c r="G25" s="861">
        <f t="shared" si="10"/>
        <v>0</v>
      </c>
      <c r="H25" s="861">
        <f t="shared" ref="H25" si="11">+H22+H23-H24</f>
        <v>0</v>
      </c>
      <c r="I25" s="861">
        <f t="shared" ref="I25" si="12">+I22+I23-I24</f>
        <v>0</v>
      </c>
      <c r="J25" s="861">
        <f t="shared" ref="J25" si="13">+J22+J23-J24</f>
        <v>0</v>
      </c>
      <c r="K25" s="861">
        <f t="shared" ref="K25" si="14">+K22+K23-K24</f>
        <v>0</v>
      </c>
      <c r="L25" s="861">
        <f t="shared" ref="L25" si="15">+L22+L23-L24</f>
        <v>0</v>
      </c>
      <c r="M25" s="861">
        <f t="shared" ref="M25" si="16">+M22+M23-M24</f>
        <v>0</v>
      </c>
      <c r="N25" s="883">
        <f t="shared" ref="N25" si="17">+N22+N23-N24</f>
        <v>0</v>
      </c>
    </row>
    <row r="27" spans="2:14" x14ac:dyDescent="0.2">
      <c r="C27" s="73">
        <f>+C18-'BUDGET PATRIMONIALE'!D7</f>
        <v>0</v>
      </c>
    </row>
  </sheetData>
  <mergeCells count="1">
    <mergeCell ref="C4:N4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55"/>
  <dimension ref="B2:O29"/>
  <sheetViews>
    <sheetView zoomScale="177" zoomScaleNormal="150" workbookViewId="0">
      <selection activeCell="C27" sqref="C27"/>
    </sheetView>
  </sheetViews>
  <sheetFormatPr baseColWidth="10" defaultColWidth="9.1640625" defaultRowHeight="16" x14ac:dyDescent="0.2"/>
  <cols>
    <col min="1" max="1" width="4.33203125" style="3" customWidth="1"/>
    <col min="2" max="2" width="29.33203125" style="3" customWidth="1"/>
    <col min="3" max="3" width="14.5" style="3" bestFit="1" customWidth="1"/>
    <col min="4" max="13" width="13.5" style="3" bestFit="1" customWidth="1"/>
    <col min="14" max="15" width="14.5" style="3" bestFit="1" customWidth="1"/>
    <col min="16" max="16384" width="9.1640625" style="3"/>
  </cols>
  <sheetData>
    <row r="2" spans="2:15" x14ac:dyDescent="0.2">
      <c r="B2" s="3" t="s">
        <v>1275</v>
      </c>
      <c r="C2" s="73">
        <f>+C10-'BUDGET FINANZIARIO'!C88</f>
        <v>0</v>
      </c>
    </row>
    <row r="3" spans="2:15" ht="17" thickBot="1" x14ac:dyDescent="0.25"/>
    <row r="4" spans="2:15" x14ac:dyDescent="0.2">
      <c r="B4" s="157"/>
      <c r="C4" s="1044" t="s">
        <v>196</v>
      </c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5"/>
    </row>
    <row r="5" spans="2:15" x14ac:dyDescent="0.2">
      <c r="B5" s="122"/>
      <c r="C5" s="420" t="s">
        <v>211</v>
      </c>
      <c r="D5" s="420" t="s">
        <v>212</v>
      </c>
      <c r="E5" s="420" t="s">
        <v>213</v>
      </c>
      <c r="F5" s="420" t="s">
        <v>214</v>
      </c>
      <c r="G5" s="420" t="s">
        <v>215</v>
      </c>
      <c r="H5" s="420" t="s">
        <v>216</v>
      </c>
      <c r="I5" s="420" t="s">
        <v>217</v>
      </c>
      <c r="J5" s="420" t="s">
        <v>218</v>
      </c>
      <c r="K5" s="420" t="s">
        <v>219</v>
      </c>
      <c r="L5" s="420" t="s">
        <v>220</v>
      </c>
      <c r="M5" s="420" t="s">
        <v>221</v>
      </c>
      <c r="N5" s="293" t="s">
        <v>222</v>
      </c>
    </row>
    <row r="6" spans="2:15" ht="17" thickBot="1" x14ac:dyDescent="0.25">
      <c r="B6" s="122"/>
      <c r="N6" s="152"/>
    </row>
    <row r="7" spans="2:15" ht="17" thickBot="1" x14ac:dyDescent="0.25">
      <c r="B7" s="889" t="s">
        <v>1276</v>
      </c>
      <c r="C7" s="885">
        <f>+'30.Entrate Operative'!I40</f>
        <v>2423341.3325188719</v>
      </c>
      <c r="D7" s="885">
        <f>+'30.Entrate Operative'!J40</f>
        <v>2692601.4805765245</v>
      </c>
      <c r="E7" s="885">
        <f>+'30.Entrate Operative'!K40</f>
        <v>3096491.7026630063</v>
      </c>
      <c r="F7" s="885">
        <f>+'30.Entrate Operative'!L40</f>
        <v>2827231.5546053536</v>
      </c>
      <c r="G7" s="885">
        <f>+'30.Entrate Operative'!M40</f>
        <v>2827231.5546053536</v>
      </c>
      <c r="H7" s="885">
        <f>+'30.Entrate Operative'!N40</f>
        <v>2961861.6286341809</v>
      </c>
      <c r="I7" s="885">
        <f>+'30.Entrate Operative'!O40</f>
        <v>2961861.6286341809</v>
      </c>
      <c r="J7" s="885">
        <f>+'30.Entrate Operative'!P40</f>
        <v>1615560.8883459149</v>
      </c>
      <c r="K7" s="885">
        <f>+'30.Entrate Operative'!Q40</f>
        <v>2961861.6286341809</v>
      </c>
      <c r="L7" s="885">
        <f>+'30.Entrate Operative'!R40</f>
        <v>2827231.5546053536</v>
      </c>
      <c r="M7" s="885">
        <f>+'30.Entrate Operative'!S40</f>
        <v>2827231.5546053536</v>
      </c>
      <c r="N7" s="886">
        <f>+'30.Entrate Operative'!T40</f>
        <v>1615560.8883459149</v>
      </c>
      <c r="O7" s="73">
        <f>SUM(C7:N7)</f>
        <v>31638067.396774191</v>
      </c>
    </row>
    <row r="8" spans="2:15" x14ac:dyDescent="0.2">
      <c r="B8" s="122"/>
      <c r="N8" s="152"/>
    </row>
    <row r="9" spans="2:15" x14ac:dyDescent="0.2">
      <c r="B9" s="122" t="s">
        <v>1098</v>
      </c>
      <c r="C9" s="73">
        <f>'31.Uscite mp'!I40</f>
        <v>1420033.9080909817</v>
      </c>
      <c r="D9" s="73">
        <f>'31.Uscite mp'!J40</f>
        <v>1602967.4034533137</v>
      </c>
      <c r="E9" s="73">
        <f>'31.Uscite mp'!K40</f>
        <v>1771160.7097185748</v>
      </c>
      <c r="F9" s="73">
        <f>'31.Uscite mp'!L40</f>
        <v>1637319.5052984478</v>
      </c>
      <c r="G9" s="73">
        <f>'31.Uscite mp'!M40</f>
        <v>1606768.9103952814</v>
      </c>
      <c r="H9" s="73">
        <f>'31.Uscite mp'!N40</f>
        <v>1727843.4738856843</v>
      </c>
      <c r="I9" s="73">
        <f>'31.Uscite mp'!O40</f>
        <v>1522281.3922507931</v>
      </c>
      <c r="J9" s="73">
        <f>'31.Uscite mp'!P40</f>
        <v>950764.049535878</v>
      </c>
      <c r="K9" s="73">
        <f>'31.Uscite mp'!Q40</f>
        <v>1598615.2940819608</v>
      </c>
      <c r="L9" s="73">
        <f>'31.Uscite mp'!R40</f>
        <v>1458371.6633701259</v>
      </c>
      <c r="M9" s="73">
        <f>'31.Uscite mp'!S40</f>
        <v>1446761.311252119</v>
      </c>
      <c r="N9" s="147">
        <f>'31.Uscite mp'!T40</f>
        <v>962618.28077191766</v>
      </c>
      <c r="O9" s="73"/>
    </row>
    <row r="10" spans="2:15" x14ac:dyDescent="0.2">
      <c r="B10" s="122" t="s">
        <v>1182</v>
      </c>
      <c r="C10" s="73">
        <f>'32. Uscite altro'!D279+'33. Uscite amministratori'!D15</f>
        <v>1994225.5782868117</v>
      </c>
      <c r="D10" s="73">
        <f>'32. Uscite altro'!E279+'33. Uscite amministratori'!E15</f>
        <v>350056.81765750935</v>
      </c>
      <c r="E10" s="73">
        <f>'32. Uscite altro'!F279+'33. Uscite amministratori'!F15</f>
        <v>482314.96858535893</v>
      </c>
      <c r="F10" s="73">
        <f>'32. Uscite altro'!G279+'33. Uscite amministratori'!G15</f>
        <v>2045193.8064833097</v>
      </c>
      <c r="G10" s="73">
        <f>'32. Uscite altro'!H279+'33. Uscite amministratori'!H15</f>
        <v>343886.89477258106</v>
      </c>
      <c r="H10" s="73">
        <f>'32. Uscite altro'!I279+'33. Uscite amministratori'!I15</f>
        <v>502048.15439767111</v>
      </c>
      <c r="I10" s="73">
        <f>'32. Uscite altro'!J279+'33. Uscite amministratori'!J15</f>
        <v>2036306.6002678368</v>
      </c>
      <c r="J10" s="73">
        <f>'32. Uscite altro'!K279+'33. Uscite amministratori'!K15</f>
        <v>227908.41885689297</v>
      </c>
      <c r="K10" s="73">
        <f>'32. Uscite altro'!L279+'33. Uscite amministratori'!L15</f>
        <v>458494.55302270362</v>
      </c>
      <c r="L10" s="73">
        <f>'32. Uscite altro'!M279+'33. Uscite amministratori'!M15</f>
        <v>2043620.8012427595</v>
      </c>
      <c r="M10" s="73">
        <f>'32. Uscite altro'!N279+'33. Uscite amministratori'!N15</f>
        <v>343886.89477258106</v>
      </c>
      <c r="N10" s="147">
        <f>'32. Uscite altro'!O279+'33. Uscite amministratori'!O15</f>
        <v>329591.02867333847</v>
      </c>
      <c r="O10" s="73"/>
    </row>
    <row r="11" spans="2:15" x14ac:dyDescent="0.2">
      <c r="B11" s="890" t="s">
        <v>39</v>
      </c>
      <c r="C11" s="87">
        <f>SUM(C9:C10)</f>
        <v>3414259.4863777934</v>
      </c>
      <c r="D11" s="87">
        <f t="shared" ref="D11:N11" si="0">SUM(D9:D10)</f>
        <v>1953024.2211108231</v>
      </c>
      <c r="E11" s="87">
        <f t="shared" si="0"/>
        <v>2253475.6783039337</v>
      </c>
      <c r="F11" s="87">
        <f t="shared" si="0"/>
        <v>3682513.3117817575</v>
      </c>
      <c r="G11" s="87">
        <f t="shared" si="0"/>
        <v>1950655.8051678624</v>
      </c>
      <c r="H11" s="87">
        <f t="shared" si="0"/>
        <v>2229891.6282833554</v>
      </c>
      <c r="I11" s="87">
        <f t="shared" si="0"/>
        <v>3558587.9925186299</v>
      </c>
      <c r="J11" s="87">
        <f t="shared" si="0"/>
        <v>1178672.468392771</v>
      </c>
      <c r="K11" s="87">
        <f t="shared" si="0"/>
        <v>2057109.8471046644</v>
      </c>
      <c r="L11" s="87">
        <f t="shared" si="0"/>
        <v>3501992.4646128854</v>
      </c>
      <c r="M11" s="87">
        <f t="shared" si="0"/>
        <v>1790648.2060247001</v>
      </c>
      <c r="N11" s="887">
        <f t="shared" si="0"/>
        <v>1292209.3094452561</v>
      </c>
      <c r="O11" s="73">
        <f>SUM(C11:N11)</f>
        <v>28863040.419124432</v>
      </c>
    </row>
    <row r="12" spans="2:15" x14ac:dyDescent="0.2">
      <c r="B12" s="12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147"/>
      <c r="O12" s="73"/>
    </row>
    <row r="13" spans="2:15" x14ac:dyDescent="0.2">
      <c r="B13" s="890" t="s">
        <v>90</v>
      </c>
      <c r="C13" s="87">
        <f>'35. Budget degli investimenti'!C20</f>
        <v>6600</v>
      </c>
      <c r="D13" s="87">
        <f>'35. Budget degli investimenti'!D20</f>
        <v>0</v>
      </c>
      <c r="E13" s="87">
        <f>'35. Budget degli investimenti'!E20</f>
        <v>0</v>
      </c>
      <c r="F13" s="87">
        <f>'35. Budget degli investimenti'!F20</f>
        <v>0</v>
      </c>
      <c r="G13" s="87">
        <f>'35. Budget degli investimenti'!G20</f>
        <v>0</v>
      </c>
      <c r="H13" s="87">
        <f>'35. Budget degli investimenti'!H20</f>
        <v>0</v>
      </c>
      <c r="I13" s="87">
        <f>'35. Budget degli investimenti'!I20</f>
        <v>0</v>
      </c>
      <c r="J13" s="87">
        <f>'35. Budget degli investimenti'!J20</f>
        <v>0</v>
      </c>
      <c r="K13" s="87">
        <f>'35. Budget degli investimenti'!K20</f>
        <v>0</v>
      </c>
      <c r="L13" s="87">
        <f>'35. Budget degli investimenti'!L20</f>
        <v>0</v>
      </c>
      <c r="M13" s="87">
        <f>'35. Budget degli investimenti'!M20</f>
        <v>0</v>
      </c>
      <c r="N13" s="887">
        <f>'35. Budget degli investimenti'!N20</f>
        <v>0</v>
      </c>
      <c r="O13" s="73">
        <f>SUM(C13:N13)</f>
        <v>6600</v>
      </c>
    </row>
    <row r="14" spans="2:15" ht="17" thickBot="1" x14ac:dyDescent="0.25">
      <c r="B14" s="122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147"/>
      <c r="O14" s="73"/>
    </row>
    <row r="15" spans="2:15" ht="17" thickBot="1" x14ac:dyDescent="0.25">
      <c r="B15" s="889" t="s">
        <v>1277</v>
      </c>
      <c r="C15" s="885">
        <f>C11+C13</f>
        <v>3420859.4863777934</v>
      </c>
      <c r="D15" s="885">
        <f t="shared" ref="D15:N15" si="1">D11+D13</f>
        <v>1953024.2211108231</v>
      </c>
      <c r="E15" s="885">
        <f t="shared" si="1"/>
        <v>2253475.6783039337</v>
      </c>
      <c r="F15" s="885">
        <f t="shared" si="1"/>
        <v>3682513.3117817575</v>
      </c>
      <c r="G15" s="885">
        <f t="shared" si="1"/>
        <v>1950655.8051678624</v>
      </c>
      <c r="H15" s="885">
        <f t="shared" si="1"/>
        <v>2229891.6282833554</v>
      </c>
      <c r="I15" s="885">
        <f t="shared" si="1"/>
        <v>3558587.9925186299</v>
      </c>
      <c r="J15" s="885">
        <f t="shared" si="1"/>
        <v>1178672.468392771</v>
      </c>
      <c r="K15" s="885">
        <f t="shared" si="1"/>
        <v>2057109.8471046644</v>
      </c>
      <c r="L15" s="885">
        <f t="shared" si="1"/>
        <v>3501992.4646128854</v>
      </c>
      <c r="M15" s="885">
        <f t="shared" si="1"/>
        <v>1790648.2060247001</v>
      </c>
      <c r="N15" s="886">
        <f t="shared" si="1"/>
        <v>1292209.3094452561</v>
      </c>
      <c r="O15" s="73"/>
    </row>
    <row r="16" spans="2:15" x14ac:dyDescent="0.2">
      <c r="B16" s="12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147"/>
      <c r="O16" s="73"/>
    </row>
    <row r="17" spans="2:15" x14ac:dyDescent="0.2">
      <c r="B17" s="122" t="s">
        <v>1278</v>
      </c>
      <c r="C17" s="73">
        <f>C7-C15</f>
        <v>-997518.15385892149</v>
      </c>
      <c r="D17" s="73">
        <f t="shared" ref="D17:N17" si="2">D7-D15</f>
        <v>739577.25946570141</v>
      </c>
      <c r="E17" s="73">
        <f t="shared" si="2"/>
        <v>843016.02435907256</v>
      </c>
      <c r="F17" s="73">
        <f t="shared" si="2"/>
        <v>-855281.75717640389</v>
      </c>
      <c r="G17" s="73">
        <f t="shared" si="2"/>
        <v>876575.74943749118</v>
      </c>
      <c r="H17" s="73">
        <f t="shared" si="2"/>
        <v>731970.00035082549</v>
      </c>
      <c r="I17" s="73">
        <f t="shared" si="2"/>
        <v>-596726.36388444901</v>
      </c>
      <c r="J17" s="73">
        <f t="shared" si="2"/>
        <v>436888.41995314392</v>
      </c>
      <c r="K17" s="73">
        <f t="shared" si="2"/>
        <v>904751.78152951645</v>
      </c>
      <c r="L17" s="73">
        <f t="shared" si="2"/>
        <v>-674760.91000753175</v>
      </c>
      <c r="M17" s="73">
        <f t="shared" si="2"/>
        <v>1036583.3485806535</v>
      </c>
      <c r="N17" s="147">
        <f t="shared" si="2"/>
        <v>323351.57890065876</v>
      </c>
      <c r="O17" s="73"/>
    </row>
    <row r="18" spans="2:15" x14ac:dyDescent="0.2">
      <c r="B18" s="12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147"/>
      <c r="O18" s="73"/>
    </row>
    <row r="19" spans="2:15" x14ac:dyDescent="0.2">
      <c r="B19" s="122" t="s">
        <v>1279</v>
      </c>
      <c r="D19" s="73">
        <f t="shared" ref="D19:N19" si="3">C7-C11-C13</f>
        <v>-997518.15385892149</v>
      </c>
      <c r="E19" s="73">
        <f t="shared" si="3"/>
        <v>739577.25946570141</v>
      </c>
      <c r="F19" s="73">
        <f t="shared" si="3"/>
        <v>843016.02435907256</v>
      </c>
      <c r="G19" s="73">
        <f t="shared" si="3"/>
        <v>-855281.75717640389</v>
      </c>
      <c r="H19" s="73">
        <f t="shared" si="3"/>
        <v>876575.74943749118</v>
      </c>
      <c r="I19" s="73">
        <f t="shared" si="3"/>
        <v>731970.00035082549</v>
      </c>
      <c r="J19" s="73">
        <f t="shared" si="3"/>
        <v>-596726.36388444901</v>
      </c>
      <c r="K19" s="73">
        <f t="shared" si="3"/>
        <v>436888.41995314392</v>
      </c>
      <c r="L19" s="73">
        <f t="shared" si="3"/>
        <v>904751.78152951645</v>
      </c>
      <c r="M19" s="73">
        <f t="shared" si="3"/>
        <v>-674760.91000753175</v>
      </c>
      <c r="N19" s="147">
        <f t="shared" si="3"/>
        <v>1036583.3485806535</v>
      </c>
      <c r="O19" s="73"/>
    </row>
    <row r="20" spans="2:15" ht="17" thickBot="1" x14ac:dyDescent="0.25">
      <c r="B20" s="12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147"/>
      <c r="O20" s="73"/>
    </row>
    <row r="21" spans="2:15" ht="17" thickBot="1" x14ac:dyDescent="0.25">
      <c r="B21" s="122" t="s">
        <v>1280</v>
      </c>
      <c r="C21" s="888">
        <f>'30.Entrate Operative'!H38-'30.Entrate Operative'!H38/(1+'All. 13'!$C$11)-('31.Uscite mp'!H38-('31.Uscite mp'!H38/(1+'All. 13'!$C$20)))-('32. Uscite altro'!C281-'32. Uscite altro'!C281/(1+'All. 13'!$C$20))</f>
        <v>-117530.08606557385</v>
      </c>
      <c r="D21" s="73">
        <f>C24</f>
        <v>-1115048.2399244953</v>
      </c>
      <c r="E21" s="73">
        <f t="shared" ref="E21:N21" si="4">D24</f>
        <v>-375470.98045879393</v>
      </c>
      <c r="F21" s="73">
        <f t="shared" si="4"/>
        <v>0</v>
      </c>
      <c r="G21" s="73">
        <f t="shared" si="4"/>
        <v>-855281.75717640389</v>
      </c>
      <c r="H21" s="73">
        <f t="shared" si="4"/>
        <v>0</v>
      </c>
      <c r="I21" s="73">
        <f t="shared" si="4"/>
        <v>0</v>
      </c>
      <c r="J21" s="73">
        <f t="shared" si="4"/>
        <v>-596726.36388444901</v>
      </c>
      <c r="K21" s="73">
        <f t="shared" si="4"/>
        <v>-159837.94393130508</v>
      </c>
      <c r="L21" s="73">
        <f t="shared" si="4"/>
        <v>0</v>
      </c>
      <c r="M21" s="73">
        <f t="shared" si="4"/>
        <v>-674760.91000753175</v>
      </c>
      <c r="N21" s="147">
        <f t="shared" si="4"/>
        <v>0</v>
      </c>
      <c r="O21" s="73"/>
    </row>
    <row r="22" spans="2:15" x14ac:dyDescent="0.2">
      <c r="B22" s="122" t="s">
        <v>46</v>
      </c>
      <c r="C22" s="73">
        <f>+C17</f>
        <v>-997518.15385892149</v>
      </c>
      <c r="D22" s="73">
        <f t="shared" ref="D22:N22" si="5">D7-D11-D13</f>
        <v>739577.25946570141</v>
      </c>
      <c r="E22" s="73">
        <f t="shared" si="5"/>
        <v>843016.02435907256</v>
      </c>
      <c r="F22" s="73">
        <f t="shared" si="5"/>
        <v>-855281.75717640389</v>
      </c>
      <c r="G22" s="73">
        <f t="shared" si="5"/>
        <v>876575.74943749118</v>
      </c>
      <c r="H22" s="73">
        <f t="shared" si="5"/>
        <v>731970.00035082549</v>
      </c>
      <c r="I22" s="73">
        <f t="shared" si="5"/>
        <v>-596726.36388444901</v>
      </c>
      <c r="J22" s="73">
        <f t="shared" si="5"/>
        <v>436888.41995314392</v>
      </c>
      <c r="K22" s="73">
        <f t="shared" si="5"/>
        <v>904751.78152951645</v>
      </c>
      <c r="L22" s="73">
        <f t="shared" si="5"/>
        <v>-674760.91000753175</v>
      </c>
      <c r="M22" s="73">
        <f t="shared" si="5"/>
        <v>1036583.3485806535</v>
      </c>
      <c r="N22" s="147">
        <f t="shared" si="5"/>
        <v>323351.57890065876</v>
      </c>
      <c r="O22" s="73"/>
    </row>
    <row r="23" spans="2:15" x14ac:dyDescent="0.2">
      <c r="B23" s="122" t="s">
        <v>47</v>
      </c>
      <c r="C23" s="73">
        <f>IF(C21+C22&lt;0,0,C22+C21)</f>
        <v>0</v>
      </c>
      <c r="D23" s="73">
        <f t="shared" ref="D23:F23" si="6">IF(D21+D22&lt;0,0,D22+D21)</f>
        <v>0</v>
      </c>
      <c r="E23" s="73">
        <f t="shared" si="6"/>
        <v>467545.04390027863</v>
      </c>
      <c r="F23" s="73">
        <f t="shared" si="6"/>
        <v>0</v>
      </c>
      <c r="G23" s="73">
        <f>IF(G21+G22&lt;0,0,G22+G21)</f>
        <v>21293.992261087289</v>
      </c>
      <c r="H23" s="73">
        <f t="shared" ref="H23" si="7">IF(H21+H22&lt;0,0,H22+H21)</f>
        <v>731970.00035082549</v>
      </c>
      <c r="I23" s="73">
        <f t="shared" ref="I23" si="8">IF(I21+I22&lt;0,0,I22+I21)</f>
        <v>0</v>
      </c>
      <c r="J23" s="73">
        <f>IF(J21+J22&lt;0,0,J22+J21)</f>
        <v>0</v>
      </c>
      <c r="K23" s="73">
        <f t="shared" ref="K23" si="9">IF(K21+K22&lt;0,0,K22+K21)</f>
        <v>744913.83759821136</v>
      </c>
      <c r="L23" s="73">
        <f t="shared" ref="L23" si="10">IF(L21+L22&lt;0,0,L22+L21)</f>
        <v>0</v>
      </c>
      <c r="M23" s="73">
        <f t="shared" ref="M23" si="11">IF(M21+M22&lt;0,0,M22+M21)</f>
        <v>361822.43857312179</v>
      </c>
      <c r="N23" s="147">
        <f>IF(N21+N22&lt;0,0,N22+N21)</f>
        <v>323351.57890065876</v>
      </c>
      <c r="O23" s="73"/>
    </row>
    <row r="24" spans="2:15" x14ac:dyDescent="0.2">
      <c r="B24" s="132" t="s">
        <v>1281</v>
      </c>
      <c r="C24" s="78">
        <f>C21+C22-C23</f>
        <v>-1115048.2399244953</v>
      </c>
      <c r="D24" s="78">
        <f>D21+D22-D23</f>
        <v>-375470.98045879393</v>
      </c>
      <c r="E24" s="78">
        <f t="shared" ref="E24:N24" si="12">E21+E22-E23</f>
        <v>0</v>
      </c>
      <c r="F24" s="78">
        <f t="shared" si="12"/>
        <v>-855281.75717640389</v>
      </c>
      <c r="G24" s="78">
        <f t="shared" si="12"/>
        <v>0</v>
      </c>
      <c r="H24" s="78">
        <f t="shared" si="12"/>
        <v>0</v>
      </c>
      <c r="I24" s="78">
        <f t="shared" si="12"/>
        <v>-596726.36388444901</v>
      </c>
      <c r="J24" s="78">
        <f t="shared" si="12"/>
        <v>-159837.94393130508</v>
      </c>
      <c r="K24" s="78">
        <f t="shared" si="12"/>
        <v>0</v>
      </c>
      <c r="L24" s="78">
        <f t="shared" si="12"/>
        <v>-674760.91000753175</v>
      </c>
      <c r="M24" s="78">
        <f t="shared" si="12"/>
        <v>0</v>
      </c>
      <c r="N24" s="869">
        <f t="shared" si="12"/>
        <v>0</v>
      </c>
      <c r="O24" s="73"/>
    </row>
    <row r="25" spans="2:15" ht="17" thickBot="1" x14ac:dyDescent="0.25">
      <c r="B25" s="12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147"/>
      <c r="O25" s="73"/>
    </row>
    <row r="26" spans="2:15" x14ac:dyDescent="0.2">
      <c r="B26" s="891" t="s">
        <v>75</v>
      </c>
      <c r="C26" s="874">
        <f>IF(C24&gt;0,C24,0)</f>
        <v>0</v>
      </c>
      <c r="D26" s="874">
        <f t="shared" ref="D26:N26" si="13">IF(D24&gt;0,D24,0)</f>
        <v>0</v>
      </c>
      <c r="E26" s="874">
        <f t="shared" si="13"/>
        <v>0</v>
      </c>
      <c r="F26" s="874">
        <f t="shared" si="13"/>
        <v>0</v>
      </c>
      <c r="G26" s="874">
        <f t="shared" si="13"/>
        <v>0</v>
      </c>
      <c r="H26" s="874">
        <f t="shared" si="13"/>
        <v>0</v>
      </c>
      <c r="I26" s="874">
        <f t="shared" si="13"/>
        <v>0</v>
      </c>
      <c r="J26" s="874">
        <f t="shared" si="13"/>
        <v>0</v>
      </c>
      <c r="K26" s="874">
        <f t="shared" si="13"/>
        <v>0</v>
      </c>
      <c r="L26" s="874">
        <f t="shared" si="13"/>
        <v>0</v>
      </c>
      <c r="M26" s="874">
        <f t="shared" si="13"/>
        <v>0</v>
      </c>
      <c r="N26" s="875">
        <f t="shared" si="13"/>
        <v>0</v>
      </c>
      <c r="O26" s="73"/>
    </row>
    <row r="27" spans="2:15" ht="17" thickBot="1" x14ac:dyDescent="0.25">
      <c r="B27" s="892" t="s">
        <v>91</v>
      </c>
      <c r="C27" s="871">
        <f>IF(C24&lt;0,-C24,0)</f>
        <v>1115048.2399244953</v>
      </c>
      <c r="D27" s="871">
        <f t="shared" ref="D27:N27" si="14">IF(D24&lt;0,-D24,0)</f>
        <v>375470.98045879393</v>
      </c>
      <c r="E27" s="871">
        <f t="shared" si="14"/>
        <v>0</v>
      </c>
      <c r="F27" s="871">
        <f t="shared" si="14"/>
        <v>855281.75717640389</v>
      </c>
      <c r="G27" s="871">
        <f t="shared" si="14"/>
        <v>0</v>
      </c>
      <c r="H27" s="871">
        <f t="shared" si="14"/>
        <v>0</v>
      </c>
      <c r="I27" s="871">
        <f t="shared" si="14"/>
        <v>596726.36388444901</v>
      </c>
      <c r="J27" s="871">
        <f t="shared" si="14"/>
        <v>159837.94393130508</v>
      </c>
      <c r="K27" s="871">
        <f t="shared" si="14"/>
        <v>0</v>
      </c>
      <c r="L27" s="871">
        <f t="shared" si="14"/>
        <v>674760.91000753175</v>
      </c>
      <c r="M27" s="871">
        <f t="shared" si="14"/>
        <v>0</v>
      </c>
      <c r="N27" s="872">
        <f t="shared" si="14"/>
        <v>0</v>
      </c>
      <c r="O27" s="73"/>
    </row>
    <row r="29" spans="2:15" x14ac:dyDescent="0.2">
      <c r="C29" s="74"/>
    </row>
  </sheetData>
  <mergeCells count="1">
    <mergeCell ref="C4:N4"/>
  </mergeCells>
  <phoneticPr fontId="4" type="noConversion"/>
  <pageMargins left="0.75" right="0.75" top="1" bottom="1" header="0.5" footer="0.5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571C2-CDBF-2648-B537-8D3D2EFB49B9}">
  <sheetPr codeName="Foglio56">
    <tabColor theme="4" tint="-0.249977111117893"/>
  </sheetPr>
  <dimension ref="A1:H191"/>
  <sheetViews>
    <sheetView showGridLines="0" zoomScale="140" zoomScaleNormal="140" workbookViewId="0">
      <pane ySplit="9" topLeftCell="A10" activePane="bottomLeft" state="frozen"/>
      <selection activeCell="I25" sqref="I25"/>
      <selection pane="bottomLeft" activeCell="H16" sqref="H16"/>
    </sheetView>
  </sheetViews>
  <sheetFormatPr baseColWidth="10" defaultRowHeight="13" x14ac:dyDescent="0.15"/>
  <cols>
    <col min="2" max="2" width="16.6640625" customWidth="1"/>
    <col min="3" max="3" width="14.83203125" customWidth="1"/>
    <col min="5" max="5" width="17.33203125" customWidth="1"/>
    <col min="7" max="7" width="13.6640625" customWidth="1"/>
    <col min="8" max="8" width="14.1640625" bestFit="1" customWidth="1"/>
  </cols>
  <sheetData>
    <row r="1" spans="2:8" ht="17" thickBot="1" x14ac:dyDescent="0.25">
      <c r="B1" s="1110" t="s">
        <v>127</v>
      </c>
      <c r="C1" s="1110"/>
      <c r="D1" s="1110"/>
      <c r="E1" s="1110"/>
      <c r="F1" s="1110"/>
      <c r="G1" s="1110"/>
      <c r="H1" s="1110"/>
    </row>
    <row r="2" spans="2:8" ht="16" x14ac:dyDescent="0.2">
      <c r="B2" s="159" t="s">
        <v>118</v>
      </c>
      <c r="C2" s="160">
        <v>41730</v>
      </c>
      <c r="D2" s="159"/>
      <c r="E2" s="161"/>
      <c r="F2" s="162"/>
      <c r="G2" s="159"/>
      <c r="H2" s="159"/>
    </row>
    <row r="3" spans="2:8" ht="16" x14ac:dyDescent="0.2">
      <c r="B3" s="159" t="s">
        <v>119</v>
      </c>
      <c r="C3" s="163">
        <v>8500000</v>
      </c>
      <c r="D3" s="159"/>
      <c r="E3" s="161"/>
      <c r="F3" s="162"/>
      <c r="G3" s="159"/>
      <c r="H3" s="159"/>
    </row>
    <row r="4" spans="2:8" ht="16" x14ac:dyDescent="0.2">
      <c r="B4" s="159" t="s">
        <v>120</v>
      </c>
      <c r="C4" s="164">
        <v>15</v>
      </c>
      <c r="D4" s="159"/>
      <c r="E4" s="161"/>
      <c r="F4" s="162"/>
      <c r="G4" s="159"/>
      <c r="H4" s="159"/>
    </row>
    <row r="5" spans="2:8" ht="16" x14ac:dyDescent="0.2">
      <c r="B5" s="159" t="s">
        <v>121</v>
      </c>
      <c r="C5" s="162">
        <f>C4*12</f>
        <v>180</v>
      </c>
      <c r="D5" s="159"/>
      <c r="E5" s="161"/>
      <c r="F5" s="162"/>
      <c r="G5" s="159"/>
      <c r="H5" s="159"/>
    </row>
    <row r="6" spans="2:8" ht="16" x14ac:dyDescent="0.2">
      <c r="B6" s="165" t="s">
        <v>122</v>
      </c>
      <c r="C6" s="166">
        <v>0.03</v>
      </c>
      <c r="D6" s="167">
        <f>+C6</f>
        <v>0.03</v>
      </c>
      <c r="E6" s="161"/>
      <c r="F6" s="162"/>
      <c r="G6" s="159"/>
      <c r="H6" s="159"/>
    </row>
    <row r="7" spans="2:8" ht="16" x14ac:dyDescent="0.2">
      <c r="B7" s="159" t="s">
        <v>59</v>
      </c>
      <c r="C7" s="173">
        <f>PMT($C$6/12,$C$5,$C$3)</f>
        <v>-58699.439423629155</v>
      </c>
      <c r="D7" s="159"/>
      <c r="E7" s="161"/>
      <c r="F7" s="162"/>
      <c r="G7" s="159"/>
      <c r="H7" s="159"/>
    </row>
    <row r="8" spans="2:8" ht="17" thickBot="1" x14ac:dyDescent="0.25">
      <c r="B8" s="159"/>
      <c r="C8" s="159"/>
      <c r="D8" s="159"/>
      <c r="E8" s="161"/>
      <c r="F8" s="162"/>
      <c r="G8" s="159"/>
      <c r="H8" s="159"/>
    </row>
    <row r="9" spans="2:8" ht="16" customHeight="1" x14ac:dyDescent="0.2">
      <c r="B9" s="168" t="s">
        <v>123</v>
      </c>
      <c r="C9" s="168"/>
      <c r="D9" s="168" t="s">
        <v>124</v>
      </c>
      <c r="E9" s="169" t="s">
        <v>60</v>
      </c>
      <c r="F9" s="170" t="s">
        <v>59</v>
      </c>
      <c r="G9" s="170" t="s">
        <v>125</v>
      </c>
      <c r="H9" s="170" t="s">
        <v>126</v>
      </c>
    </row>
    <row r="10" spans="2:8" ht="16" customHeight="1" x14ac:dyDescent="0.2">
      <c r="B10" s="162">
        <v>0</v>
      </c>
      <c r="C10" s="162">
        <f>IF(B10="-","-",YEAR(D10))</f>
        <v>2014</v>
      </c>
      <c r="D10" s="160">
        <f>+EOMONTH(C2,-1)+1</f>
        <v>41730</v>
      </c>
      <c r="E10" s="161">
        <f>+C3</f>
        <v>8500000</v>
      </c>
      <c r="F10" s="171"/>
      <c r="G10" s="159"/>
      <c r="H10" s="159"/>
    </row>
    <row r="11" spans="2:8" ht="16" customHeight="1" x14ac:dyDescent="0.2">
      <c r="B11" s="162">
        <f>IFERROR(IF((B10+1)&gt;$C$5,"-",B10+1),"-")</f>
        <v>1</v>
      </c>
      <c r="C11" s="162">
        <f t="shared" ref="C11:C74" si="0">IF(B11="-","-",YEAR(D11))</f>
        <v>2014</v>
      </c>
      <c r="D11" s="160">
        <f>IF(B11="-","-",EOMONTH(D10,0)+1)</f>
        <v>41760</v>
      </c>
      <c r="E11" s="172">
        <f>E10-G11</f>
        <v>8462550.56057637</v>
      </c>
      <c r="F11" s="174">
        <f>+$C$7</f>
        <v>-58699.439423629155</v>
      </c>
      <c r="G11" s="163">
        <f>-F11-H11</f>
        <v>37449.439423629155</v>
      </c>
      <c r="H11" s="163">
        <f>E10*$C$6/12</f>
        <v>21250</v>
      </c>
    </row>
    <row r="12" spans="2:8" ht="16" customHeight="1" x14ac:dyDescent="0.2">
      <c r="B12" s="162">
        <f t="shared" ref="B12:B75" si="1">IFERROR(IF((B11+1)&gt;$C$5,"-",B11+1),"-")</f>
        <v>2</v>
      </c>
      <c r="C12" s="162">
        <f t="shared" si="0"/>
        <v>2014</v>
      </c>
      <c r="D12" s="160">
        <f t="shared" ref="D12:D75" si="2">IF(B12="-","-",EOMONTH(D11,0)+1)</f>
        <v>41791</v>
      </c>
      <c r="E12" s="172">
        <f t="shared" ref="E12:E75" si="3">E11-G12</f>
        <v>8425007.4975541811</v>
      </c>
      <c r="F12" s="174">
        <f t="shared" ref="F12:F75" si="4">+$C$7</f>
        <v>-58699.439423629155</v>
      </c>
      <c r="G12" s="163">
        <f t="shared" ref="G12:G75" si="5">-F12-H12</f>
        <v>37543.063022188231</v>
      </c>
      <c r="H12" s="163">
        <f t="shared" ref="H12:H75" si="6">E11*$C$6/12</f>
        <v>21156.376401440924</v>
      </c>
    </row>
    <row r="13" spans="2:8" ht="16" customHeight="1" x14ac:dyDescent="0.2">
      <c r="B13" s="162">
        <f t="shared" si="1"/>
        <v>3</v>
      </c>
      <c r="C13" s="162">
        <f t="shared" si="0"/>
        <v>2014</v>
      </c>
      <c r="D13" s="160">
        <f t="shared" si="2"/>
        <v>41821</v>
      </c>
      <c r="E13" s="172">
        <f t="shared" si="3"/>
        <v>8387370.5768744377</v>
      </c>
      <c r="F13" s="174">
        <f t="shared" si="4"/>
        <v>-58699.439423629155</v>
      </c>
      <c r="G13" s="163">
        <f t="shared" si="5"/>
        <v>37636.920679743707</v>
      </c>
      <c r="H13" s="163">
        <f t="shared" si="6"/>
        <v>21062.518743885452</v>
      </c>
    </row>
    <row r="14" spans="2:8" ht="16" customHeight="1" x14ac:dyDescent="0.2">
      <c r="B14" s="162">
        <f t="shared" si="1"/>
        <v>4</v>
      </c>
      <c r="C14" s="162">
        <f t="shared" si="0"/>
        <v>2014</v>
      </c>
      <c r="D14" s="160">
        <f t="shared" si="2"/>
        <v>41852</v>
      </c>
      <c r="E14" s="172">
        <f t="shared" si="3"/>
        <v>8349639.563892995</v>
      </c>
      <c r="F14" s="174">
        <f t="shared" si="4"/>
        <v>-58699.439423629155</v>
      </c>
      <c r="G14" s="163">
        <f t="shared" si="5"/>
        <v>37731.012981443062</v>
      </c>
      <c r="H14" s="163">
        <f t="shared" si="6"/>
        <v>20968.426442186093</v>
      </c>
    </row>
    <row r="15" spans="2:8" ht="16" customHeight="1" x14ac:dyDescent="0.2">
      <c r="B15" s="162">
        <f t="shared" si="1"/>
        <v>5</v>
      </c>
      <c r="C15" s="162">
        <f t="shared" si="0"/>
        <v>2014</v>
      </c>
      <c r="D15" s="160">
        <f t="shared" si="2"/>
        <v>41883</v>
      </c>
      <c r="E15" s="172">
        <f t="shared" si="3"/>
        <v>8311814.2233790979</v>
      </c>
      <c r="F15" s="174">
        <f t="shared" si="4"/>
        <v>-58699.439423629155</v>
      </c>
      <c r="G15" s="163">
        <f t="shared" si="5"/>
        <v>37825.340513896663</v>
      </c>
      <c r="H15" s="163">
        <f t="shared" si="6"/>
        <v>20874.098909732489</v>
      </c>
    </row>
    <row r="16" spans="2:8" ht="16" customHeight="1" x14ac:dyDescent="0.2">
      <c r="B16" s="162">
        <f t="shared" si="1"/>
        <v>6</v>
      </c>
      <c r="C16" s="162">
        <f t="shared" si="0"/>
        <v>2014</v>
      </c>
      <c r="D16" s="160">
        <f t="shared" si="2"/>
        <v>41913</v>
      </c>
      <c r="E16" s="172">
        <f t="shared" si="3"/>
        <v>8273894.319513916</v>
      </c>
      <c r="F16" s="174">
        <f t="shared" si="4"/>
        <v>-58699.439423629155</v>
      </c>
      <c r="G16" s="163">
        <f t="shared" si="5"/>
        <v>37919.903865181412</v>
      </c>
      <c r="H16" s="163">
        <f t="shared" si="6"/>
        <v>20779.535558447744</v>
      </c>
    </row>
    <row r="17" spans="2:8" ht="16" customHeight="1" x14ac:dyDescent="0.2">
      <c r="B17" s="162">
        <f t="shared" si="1"/>
        <v>7</v>
      </c>
      <c r="C17" s="162">
        <f t="shared" si="0"/>
        <v>2014</v>
      </c>
      <c r="D17" s="160">
        <f t="shared" si="2"/>
        <v>41944</v>
      </c>
      <c r="E17" s="172">
        <f t="shared" si="3"/>
        <v>8235879.6158890715</v>
      </c>
      <c r="F17" s="174">
        <f t="shared" si="4"/>
        <v>-58699.439423629155</v>
      </c>
      <c r="G17" s="163">
        <f t="shared" si="5"/>
        <v>38014.703624844362</v>
      </c>
      <c r="H17" s="163">
        <f t="shared" si="6"/>
        <v>20684.73579878479</v>
      </c>
    </row>
    <row r="18" spans="2:8" ht="16" customHeight="1" x14ac:dyDescent="0.2">
      <c r="B18" s="162">
        <f t="shared" si="1"/>
        <v>8</v>
      </c>
      <c r="C18" s="162">
        <f t="shared" si="0"/>
        <v>2014</v>
      </c>
      <c r="D18" s="160">
        <f t="shared" si="2"/>
        <v>41974</v>
      </c>
      <c r="E18" s="161">
        <f t="shared" si="3"/>
        <v>8197769.8755051652</v>
      </c>
      <c r="F18" s="174">
        <f t="shared" si="4"/>
        <v>-58699.439423629155</v>
      </c>
      <c r="G18" s="163">
        <f t="shared" si="5"/>
        <v>38109.740383906479</v>
      </c>
      <c r="H18" s="163">
        <f t="shared" si="6"/>
        <v>20589.69903972268</v>
      </c>
    </row>
    <row r="19" spans="2:8" ht="16" customHeight="1" x14ac:dyDescent="0.2">
      <c r="B19" s="162">
        <f t="shared" si="1"/>
        <v>9</v>
      </c>
      <c r="C19" s="162">
        <f t="shared" si="0"/>
        <v>2015</v>
      </c>
      <c r="D19" s="160">
        <f t="shared" si="2"/>
        <v>42005</v>
      </c>
      <c r="E19" s="161">
        <f t="shared" si="3"/>
        <v>8159564.8607702991</v>
      </c>
      <c r="F19" s="174">
        <f t="shared" si="4"/>
        <v>-58699.439423629155</v>
      </c>
      <c r="G19" s="163">
        <f t="shared" si="5"/>
        <v>38205.014734866243</v>
      </c>
      <c r="H19" s="163">
        <f t="shared" si="6"/>
        <v>20494.424688762912</v>
      </c>
    </row>
    <row r="20" spans="2:8" ht="16" customHeight="1" x14ac:dyDescent="0.2">
      <c r="B20" s="162">
        <f t="shared" si="1"/>
        <v>10</v>
      </c>
      <c r="C20" s="162">
        <f t="shared" si="0"/>
        <v>2015</v>
      </c>
      <c r="D20" s="160">
        <f t="shared" si="2"/>
        <v>42036</v>
      </c>
      <c r="E20" s="161">
        <f t="shared" si="3"/>
        <v>8121264.3334985953</v>
      </c>
      <c r="F20" s="174">
        <f t="shared" si="4"/>
        <v>-58699.439423629155</v>
      </c>
      <c r="G20" s="163">
        <f t="shared" si="5"/>
        <v>38300.527271703409</v>
      </c>
      <c r="H20" s="163">
        <f t="shared" si="6"/>
        <v>20398.912151925746</v>
      </c>
    </row>
    <row r="21" spans="2:8" ht="16" customHeight="1" x14ac:dyDescent="0.2">
      <c r="B21" s="162">
        <f t="shared" si="1"/>
        <v>11</v>
      </c>
      <c r="C21" s="162">
        <f t="shared" si="0"/>
        <v>2015</v>
      </c>
      <c r="D21" s="160">
        <f t="shared" si="2"/>
        <v>42064</v>
      </c>
      <c r="E21" s="161">
        <f t="shared" si="3"/>
        <v>8082868.0549087124</v>
      </c>
      <c r="F21" s="174">
        <f t="shared" si="4"/>
        <v>-58699.439423629155</v>
      </c>
      <c r="G21" s="163">
        <f t="shared" si="5"/>
        <v>38396.27858988267</v>
      </c>
      <c r="H21" s="163">
        <f t="shared" si="6"/>
        <v>20303.16083374649</v>
      </c>
    </row>
    <row r="22" spans="2:8" ht="16" customHeight="1" x14ac:dyDescent="0.2">
      <c r="B22" s="162">
        <f t="shared" si="1"/>
        <v>12</v>
      </c>
      <c r="C22" s="162">
        <f t="shared" si="0"/>
        <v>2015</v>
      </c>
      <c r="D22" s="160">
        <f t="shared" si="2"/>
        <v>42095</v>
      </c>
      <c r="E22" s="161">
        <f t="shared" si="3"/>
        <v>8044375.7856223546</v>
      </c>
      <c r="F22" s="174">
        <f t="shared" si="4"/>
        <v>-58699.439423629155</v>
      </c>
      <c r="G22" s="163">
        <f t="shared" si="5"/>
        <v>38492.269286357376</v>
      </c>
      <c r="H22" s="163">
        <f t="shared" si="6"/>
        <v>20207.17013727178</v>
      </c>
    </row>
    <row r="23" spans="2:8" ht="16" customHeight="1" x14ac:dyDescent="0.2">
      <c r="B23" s="162">
        <f t="shared" si="1"/>
        <v>13</v>
      </c>
      <c r="C23" s="162">
        <f t="shared" si="0"/>
        <v>2015</v>
      </c>
      <c r="D23" s="160">
        <f t="shared" si="2"/>
        <v>42125</v>
      </c>
      <c r="E23" s="161">
        <f t="shared" si="3"/>
        <v>8005787.2856627814</v>
      </c>
      <c r="F23" s="174">
        <f t="shared" si="4"/>
        <v>-58699.439423629155</v>
      </c>
      <c r="G23" s="163">
        <f t="shared" si="5"/>
        <v>38588.499959573266</v>
      </c>
      <c r="H23" s="163">
        <f t="shared" si="6"/>
        <v>20110.939464055886</v>
      </c>
    </row>
    <row r="24" spans="2:8" ht="16" customHeight="1" x14ac:dyDescent="0.2">
      <c r="B24" s="162">
        <f t="shared" si="1"/>
        <v>14</v>
      </c>
      <c r="C24" s="162">
        <f t="shared" si="0"/>
        <v>2015</v>
      </c>
      <c r="D24" s="160">
        <f t="shared" si="2"/>
        <v>42156</v>
      </c>
      <c r="E24" s="161">
        <f t="shared" si="3"/>
        <v>7967102.3144533094</v>
      </c>
      <c r="F24" s="174">
        <f t="shared" si="4"/>
        <v>-58699.439423629155</v>
      </c>
      <c r="G24" s="163">
        <f t="shared" si="5"/>
        <v>38684.971209472205</v>
      </c>
      <c r="H24" s="163">
        <f t="shared" si="6"/>
        <v>20014.468214156954</v>
      </c>
    </row>
    <row r="25" spans="2:8" ht="16" customHeight="1" x14ac:dyDescent="0.2">
      <c r="B25" s="162">
        <f t="shared" si="1"/>
        <v>15</v>
      </c>
      <c r="C25" s="162">
        <f t="shared" si="0"/>
        <v>2015</v>
      </c>
      <c r="D25" s="160">
        <f t="shared" si="2"/>
        <v>42186</v>
      </c>
      <c r="E25" s="161">
        <f t="shared" si="3"/>
        <v>7928320.6308158133</v>
      </c>
      <c r="F25" s="174">
        <f t="shared" si="4"/>
        <v>-58699.439423629155</v>
      </c>
      <c r="G25" s="163">
        <f t="shared" si="5"/>
        <v>38781.68363749588</v>
      </c>
      <c r="H25" s="163">
        <f t="shared" si="6"/>
        <v>19917.755786133272</v>
      </c>
    </row>
    <row r="26" spans="2:8" ht="16" customHeight="1" x14ac:dyDescent="0.2">
      <c r="B26" s="162">
        <f t="shared" si="1"/>
        <v>16</v>
      </c>
      <c r="C26" s="162">
        <f t="shared" si="0"/>
        <v>2015</v>
      </c>
      <c r="D26" s="160">
        <f t="shared" si="2"/>
        <v>42217</v>
      </c>
      <c r="E26" s="161">
        <f t="shared" si="3"/>
        <v>7889441.9929692233</v>
      </c>
      <c r="F26" s="174">
        <f t="shared" si="4"/>
        <v>-58699.439423629155</v>
      </c>
      <c r="G26" s="163">
        <f t="shared" si="5"/>
        <v>38878.637846589627</v>
      </c>
      <c r="H26" s="163">
        <f t="shared" si="6"/>
        <v>19820.801577039532</v>
      </c>
    </row>
    <row r="27" spans="2:8" ht="16" customHeight="1" x14ac:dyDescent="0.2">
      <c r="B27" s="162">
        <f t="shared" si="1"/>
        <v>17</v>
      </c>
      <c r="C27" s="162">
        <f t="shared" si="0"/>
        <v>2015</v>
      </c>
      <c r="D27" s="160">
        <f t="shared" si="2"/>
        <v>42248</v>
      </c>
      <c r="E27" s="161">
        <f t="shared" si="3"/>
        <v>7850466.1585280169</v>
      </c>
      <c r="F27" s="174">
        <f t="shared" si="4"/>
        <v>-58699.439423629155</v>
      </c>
      <c r="G27" s="163">
        <f t="shared" si="5"/>
        <v>38975.834441206098</v>
      </c>
      <c r="H27" s="163">
        <f t="shared" si="6"/>
        <v>19723.604982423058</v>
      </c>
    </row>
    <row r="28" spans="2:8" ht="16" customHeight="1" x14ac:dyDescent="0.2">
      <c r="B28" s="162">
        <f t="shared" si="1"/>
        <v>18</v>
      </c>
      <c r="C28" s="162">
        <f t="shared" si="0"/>
        <v>2015</v>
      </c>
      <c r="D28" s="160">
        <f t="shared" si="2"/>
        <v>42278</v>
      </c>
      <c r="E28" s="161">
        <f t="shared" si="3"/>
        <v>7811392.8845007075</v>
      </c>
      <c r="F28" s="174">
        <f t="shared" si="4"/>
        <v>-58699.439423629155</v>
      </c>
      <c r="G28" s="163">
        <f t="shared" si="5"/>
        <v>39073.274027309119</v>
      </c>
      <c r="H28" s="163">
        <f t="shared" si="6"/>
        <v>19626.165396320041</v>
      </c>
    </row>
    <row r="29" spans="2:8" ht="16" customHeight="1" x14ac:dyDescent="0.2">
      <c r="B29" s="162">
        <f t="shared" si="1"/>
        <v>19</v>
      </c>
      <c r="C29" s="162">
        <f t="shared" si="0"/>
        <v>2015</v>
      </c>
      <c r="D29" s="160">
        <f t="shared" si="2"/>
        <v>42309</v>
      </c>
      <c r="E29" s="161">
        <f t="shared" si="3"/>
        <v>7772221.9272883302</v>
      </c>
      <c r="F29" s="174">
        <f t="shared" si="4"/>
        <v>-58699.439423629155</v>
      </c>
      <c r="G29" s="163">
        <f t="shared" si="5"/>
        <v>39170.957212377383</v>
      </c>
      <c r="H29" s="163">
        <f t="shared" si="6"/>
        <v>19528.482211251769</v>
      </c>
    </row>
    <row r="30" spans="2:8" ht="16" customHeight="1" x14ac:dyDescent="0.2">
      <c r="B30" s="162">
        <f t="shared" si="1"/>
        <v>20</v>
      </c>
      <c r="C30" s="162">
        <f t="shared" si="0"/>
        <v>2015</v>
      </c>
      <c r="D30" s="160">
        <f t="shared" si="2"/>
        <v>42339</v>
      </c>
      <c r="E30" s="161">
        <f t="shared" si="3"/>
        <v>7732953.0426829215</v>
      </c>
      <c r="F30" s="174">
        <f t="shared" si="4"/>
        <v>-58699.439423629155</v>
      </c>
      <c r="G30" s="163">
        <f t="shared" si="5"/>
        <v>39268.884605408326</v>
      </c>
      <c r="H30" s="163">
        <f t="shared" si="6"/>
        <v>19430.554818220826</v>
      </c>
    </row>
    <row r="31" spans="2:8" ht="16" customHeight="1" x14ac:dyDescent="0.2">
      <c r="B31" s="162">
        <f t="shared" si="1"/>
        <v>21</v>
      </c>
      <c r="C31" s="162">
        <f t="shared" si="0"/>
        <v>2016</v>
      </c>
      <c r="D31" s="160">
        <f t="shared" si="2"/>
        <v>42370</v>
      </c>
      <c r="E31" s="161">
        <f t="shared" si="3"/>
        <v>7693585.9858659999</v>
      </c>
      <c r="F31" s="174">
        <f t="shared" si="4"/>
        <v>-58699.439423629155</v>
      </c>
      <c r="G31" s="163">
        <f t="shared" si="5"/>
        <v>39367.056816921853</v>
      </c>
      <c r="H31" s="163">
        <f t="shared" si="6"/>
        <v>19332.382606707302</v>
      </c>
    </row>
    <row r="32" spans="2:8" ht="16" customHeight="1" x14ac:dyDescent="0.2">
      <c r="B32" s="162">
        <f t="shared" si="1"/>
        <v>22</v>
      </c>
      <c r="C32" s="162">
        <f t="shared" si="0"/>
        <v>2016</v>
      </c>
      <c r="D32" s="160">
        <f t="shared" si="2"/>
        <v>42401</v>
      </c>
      <c r="E32" s="161">
        <f t="shared" si="3"/>
        <v>7654120.5114070354</v>
      </c>
      <c r="F32" s="174">
        <f t="shared" si="4"/>
        <v>-58699.439423629155</v>
      </c>
      <c r="G32" s="163">
        <f t="shared" si="5"/>
        <v>39465.474458964156</v>
      </c>
      <c r="H32" s="163">
        <f t="shared" si="6"/>
        <v>19233.964964665</v>
      </c>
    </row>
    <row r="33" spans="2:8" ht="16" customHeight="1" x14ac:dyDescent="0.2">
      <c r="B33" s="162">
        <f t="shared" si="1"/>
        <v>23</v>
      </c>
      <c r="C33" s="162">
        <f t="shared" si="0"/>
        <v>2016</v>
      </c>
      <c r="D33" s="160">
        <f t="shared" si="2"/>
        <v>42430</v>
      </c>
      <c r="E33" s="161">
        <f t="shared" si="3"/>
        <v>7614556.3732619239</v>
      </c>
      <c r="F33" s="174">
        <f t="shared" si="4"/>
        <v>-58699.439423629155</v>
      </c>
      <c r="G33" s="163">
        <f t="shared" si="5"/>
        <v>39564.138145111567</v>
      </c>
      <c r="H33" s="163">
        <f t="shared" si="6"/>
        <v>19135.301278517589</v>
      </c>
    </row>
    <row r="34" spans="2:8" ht="16" customHeight="1" x14ac:dyDescent="0.2">
      <c r="B34" s="162">
        <f t="shared" si="1"/>
        <v>24</v>
      </c>
      <c r="C34" s="162">
        <f t="shared" si="0"/>
        <v>2016</v>
      </c>
      <c r="D34" s="160">
        <f t="shared" si="2"/>
        <v>42461</v>
      </c>
      <c r="E34" s="161">
        <f t="shared" si="3"/>
        <v>7574893.3247714499</v>
      </c>
      <c r="F34" s="174">
        <f t="shared" si="4"/>
        <v>-58699.439423629155</v>
      </c>
      <c r="G34" s="163">
        <f t="shared" si="5"/>
        <v>39663.04849047435</v>
      </c>
      <c r="H34" s="163">
        <f t="shared" si="6"/>
        <v>19036.390933154809</v>
      </c>
    </row>
    <row r="35" spans="2:8" ht="16" customHeight="1" x14ac:dyDescent="0.2">
      <c r="B35" s="162">
        <f t="shared" si="1"/>
        <v>25</v>
      </c>
      <c r="C35" s="162">
        <f t="shared" si="0"/>
        <v>2016</v>
      </c>
      <c r="D35" s="160">
        <f t="shared" si="2"/>
        <v>42491</v>
      </c>
      <c r="E35" s="161">
        <f t="shared" si="3"/>
        <v>7535131.1186597496</v>
      </c>
      <c r="F35" s="174">
        <f t="shared" si="4"/>
        <v>-58699.439423629155</v>
      </c>
      <c r="G35" s="163">
        <f t="shared" si="5"/>
        <v>39762.206111700536</v>
      </c>
      <c r="H35" s="163">
        <f t="shared" si="6"/>
        <v>18937.233311928623</v>
      </c>
    </row>
    <row r="36" spans="2:8" ht="16" customHeight="1" x14ac:dyDescent="0.2">
      <c r="B36" s="162">
        <f t="shared" si="1"/>
        <v>26</v>
      </c>
      <c r="C36" s="162">
        <f t="shared" si="0"/>
        <v>2016</v>
      </c>
      <c r="D36" s="160">
        <f t="shared" si="2"/>
        <v>42522</v>
      </c>
      <c r="E36" s="161">
        <f t="shared" si="3"/>
        <v>7495269.5070327697</v>
      </c>
      <c r="F36" s="174">
        <f t="shared" si="4"/>
        <v>-58699.439423629155</v>
      </c>
      <c r="G36" s="163">
        <f t="shared" si="5"/>
        <v>39861.611626979779</v>
      </c>
      <c r="H36" s="163">
        <f t="shared" si="6"/>
        <v>18837.827796649373</v>
      </c>
    </row>
    <row r="37" spans="2:8" ht="16" customHeight="1" x14ac:dyDescent="0.2">
      <c r="B37" s="162">
        <f t="shared" si="1"/>
        <v>27</v>
      </c>
      <c r="C37" s="162">
        <f t="shared" si="0"/>
        <v>2016</v>
      </c>
      <c r="D37" s="160">
        <f t="shared" si="2"/>
        <v>42552</v>
      </c>
      <c r="E37" s="161">
        <f t="shared" si="3"/>
        <v>7455308.2413767222</v>
      </c>
      <c r="F37" s="174">
        <f t="shared" si="4"/>
        <v>-58699.439423629155</v>
      </c>
      <c r="G37" s="163">
        <f t="shared" si="5"/>
        <v>39961.265656047231</v>
      </c>
      <c r="H37" s="163">
        <f t="shared" si="6"/>
        <v>18738.173767581924</v>
      </c>
    </row>
    <row r="38" spans="2:8" ht="16" customHeight="1" x14ac:dyDescent="0.2">
      <c r="B38" s="162">
        <f t="shared" si="1"/>
        <v>28</v>
      </c>
      <c r="C38" s="162">
        <f t="shared" si="0"/>
        <v>2016</v>
      </c>
      <c r="D38" s="160">
        <f t="shared" si="2"/>
        <v>42583</v>
      </c>
      <c r="E38" s="161">
        <f t="shared" si="3"/>
        <v>7415247.0725565348</v>
      </c>
      <c r="F38" s="174">
        <f t="shared" si="4"/>
        <v>-58699.439423629155</v>
      </c>
      <c r="G38" s="163">
        <f t="shared" si="5"/>
        <v>40061.168820187348</v>
      </c>
      <c r="H38" s="163">
        <f t="shared" si="6"/>
        <v>18638.270603441804</v>
      </c>
    </row>
    <row r="39" spans="2:8" ht="16" customHeight="1" x14ac:dyDescent="0.2">
      <c r="B39" s="162">
        <f t="shared" si="1"/>
        <v>29</v>
      </c>
      <c r="C39" s="162">
        <f t="shared" si="0"/>
        <v>2016</v>
      </c>
      <c r="D39" s="160">
        <f t="shared" si="2"/>
        <v>42614</v>
      </c>
      <c r="E39" s="161">
        <f t="shared" si="3"/>
        <v>7375085.7508142972</v>
      </c>
      <c r="F39" s="174">
        <f t="shared" si="4"/>
        <v>-58699.439423629155</v>
      </c>
      <c r="G39" s="163">
        <f t="shared" si="5"/>
        <v>40161.321742237822</v>
      </c>
      <c r="H39" s="163">
        <f t="shared" si="6"/>
        <v>18538.117681391337</v>
      </c>
    </row>
    <row r="40" spans="2:8" ht="16" customHeight="1" x14ac:dyDescent="0.2">
      <c r="B40" s="162">
        <f t="shared" si="1"/>
        <v>30</v>
      </c>
      <c r="C40" s="162">
        <f t="shared" si="0"/>
        <v>2016</v>
      </c>
      <c r="D40" s="160">
        <f t="shared" si="2"/>
        <v>42644</v>
      </c>
      <c r="E40" s="161">
        <f t="shared" si="3"/>
        <v>7334824.0257677035</v>
      </c>
      <c r="F40" s="174">
        <f t="shared" si="4"/>
        <v>-58699.439423629155</v>
      </c>
      <c r="G40" s="163">
        <f t="shared" si="5"/>
        <v>40261.725046593412</v>
      </c>
      <c r="H40" s="163">
        <f t="shared" si="6"/>
        <v>18437.714377035743</v>
      </c>
    </row>
    <row r="41" spans="2:8" ht="16" customHeight="1" x14ac:dyDescent="0.2">
      <c r="B41" s="162">
        <f t="shared" si="1"/>
        <v>31</v>
      </c>
      <c r="C41" s="162">
        <f t="shared" si="0"/>
        <v>2016</v>
      </c>
      <c r="D41" s="160">
        <f t="shared" si="2"/>
        <v>42675</v>
      </c>
      <c r="E41" s="161">
        <f t="shared" si="3"/>
        <v>7294461.6464084936</v>
      </c>
      <c r="F41" s="174">
        <f t="shared" si="4"/>
        <v>-58699.439423629155</v>
      </c>
      <c r="G41" s="163">
        <f t="shared" si="5"/>
        <v>40362.379359209895</v>
      </c>
      <c r="H41" s="163">
        <f t="shared" si="6"/>
        <v>18337.060064419256</v>
      </c>
    </row>
    <row r="42" spans="2:8" ht="16" customHeight="1" x14ac:dyDescent="0.2">
      <c r="B42" s="162">
        <f t="shared" si="1"/>
        <v>32</v>
      </c>
      <c r="C42" s="162">
        <f t="shared" si="0"/>
        <v>2016</v>
      </c>
      <c r="D42" s="160">
        <f t="shared" si="2"/>
        <v>42705</v>
      </c>
      <c r="E42" s="161">
        <f t="shared" si="3"/>
        <v>7253998.361100886</v>
      </c>
      <c r="F42" s="174">
        <f t="shared" si="4"/>
        <v>-58699.439423629155</v>
      </c>
      <c r="G42" s="163">
        <f t="shared" si="5"/>
        <v>40463.285307607919</v>
      </c>
      <c r="H42" s="163">
        <f t="shared" si="6"/>
        <v>18236.154116021233</v>
      </c>
    </row>
    <row r="43" spans="2:8" ht="16" customHeight="1" x14ac:dyDescent="0.2">
      <c r="B43" s="162">
        <f t="shared" si="1"/>
        <v>33</v>
      </c>
      <c r="C43" s="162">
        <f t="shared" si="0"/>
        <v>2017</v>
      </c>
      <c r="D43" s="160">
        <f t="shared" si="2"/>
        <v>42736</v>
      </c>
      <c r="E43" s="161">
        <f t="shared" si="3"/>
        <v>7213433.9175800094</v>
      </c>
      <c r="F43" s="174">
        <f t="shared" si="4"/>
        <v>-58699.439423629155</v>
      </c>
      <c r="G43" s="163">
        <f t="shared" si="5"/>
        <v>40564.443520876943</v>
      </c>
      <c r="H43" s="163">
        <f t="shared" si="6"/>
        <v>18134.995902752216</v>
      </c>
    </row>
    <row r="44" spans="2:8" ht="16" customHeight="1" x14ac:dyDescent="0.2">
      <c r="B44" s="162">
        <f t="shared" si="1"/>
        <v>34</v>
      </c>
      <c r="C44" s="162">
        <f t="shared" si="0"/>
        <v>2017</v>
      </c>
      <c r="D44" s="160">
        <f t="shared" si="2"/>
        <v>42767</v>
      </c>
      <c r="E44" s="161">
        <f t="shared" si="3"/>
        <v>7172768.0629503299</v>
      </c>
      <c r="F44" s="174">
        <f t="shared" si="4"/>
        <v>-58699.439423629155</v>
      </c>
      <c r="G44" s="163">
        <f t="shared" si="5"/>
        <v>40665.854629679132</v>
      </c>
      <c r="H44" s="163">
        <f t="shared" si="6"/>
        <v>18033.584793950024</v>
      </c>
    </row>
    <row r="45" spans="2:8" ht="16" customHeight="1" x14ac:dyDescent="0.2">
      <c r="B45" s="162">
        <f t="shared" si="1"/>
        <v>35</v>
      </c>
      <c r="C45" s="162">
        <f t="shared" si="0"/>
        <v>2017</v>
      </c>
      <c r="D45" s="160">
        <f t="shared" si="2"/>
        <v>42795</v>
      </c>
      <c r="E45" s="161">
        <f t="shared" si="3"/>
        <v>7132000.5436840765</v>
      </c>
      <c r="F45" s="174">
        <f t="shared" si="4"/>
        <v>-58699.439423629155</v>
      </c>
      <c r="G45" s="163">
        <f t="shared" si="5"/>
        <v>40767.519266253337</v>
      </c>
      <c r="H45" s="163">
        <f t="shared" si="6"/>
        <v>17931.920157375822</v>
      </c>
    </row>
    <row r="46" spans="2:8" ht="16" customHeight="1" x14ac:dyDescent="0.2">
      <c r="B46" s="162">
        <f t="shared" si="1"/>
        <v>36</v>
      </c>
      <c r="C46" s="162">
        <f t="shared" si="0"/>
        <v>2017</v>
      </c>
      <c r="D46" s="160">
        <f t="shared" si="2"/>
        <v>42826</v>
      </c>
      <c r="E46" s="161">
        <f t="shared" si="3"/>
        <v>7091131.1056196578</v>
      </c>
      <c r="F46" s="174">
        <f t="shared" si="4"/>
        <v>-58699.439423629155</v>
      </c>
      <c r="G46" s="163">
        <f t="shared" si="5"/>
        <v>40869.438064418966</v>
      </c>
      <c r="H46" s="163">
        <f t="shared" si="6"/>
        <v>17830.00135921019</v>
      </c>
    </row>
    <row r="47" spans="2:8" ht="16" customHeight="1" x14ac:dyDescent="0.2">
      <c r="B47" s="162">
        <f t="shared" si="1"/>
        <v>37</v>
      </c>
      <c r="C47" s="162">
        <f t="shared" si="0"/>
        <v>2017</v>
      </c>
      <c r="D47" s="160">
        <f t="shared" si="2"/>
        <v>42856</v>
      </c>
      <c r="E47" s="161">
        <f t="shared" si="3"/>
        <v>7050159.4939600779</v>
      </c>
      <c r="F47" s="174">
        <f t="shared" si="4"/>
        <v>-58699.439423629155</v>
      </c>
      <c r="G47" s="163">
        <f t="shared" si="5"/>
        <v>40971.611659580012</v>
      </c>
      <c r="H47" s="163">
        <f t="shared" si="6"/>
        <v>17727.827764049143</v>
      </c>
    </row>
    <row r="48" spans="2:8" ht="16" customHeight="1" x14ac:dyDescent="0.2">
      <c r="B48" s="162">
        <f t="shared" si="1"/>
        <v>38</v>
      </c>
      <c r="C48" s="162">
        <f t="shared" si="0"/>
        <v>2017</v>
      </c>
      <c r="D48" s="160">
        <f t="shared" si="2"/>
        <v>42887</v>
      </c>
      <c r="E48" s="161">
        <f t="shared" si="3"/>
        <v>7009085.453271349</v>
      </c>
      <c r="F48" s="174">
        <f t="shared" si="4"/>
        <v>-58699.439423629155</v>
      </c>
      <c r="G48" s="163">
        <f t="shared" si="5"/>
        <v>41074.040688728957</v>
      </c>
      <c r="H48" s="163">
        <f t="shared" si="6"/>
        <v>17625.398734900195</v>
      </c>
    </row>
    <row r="49" spans="2:8" ht="16" customHeight="1" x14ac:dyDescent="0.2">
      <c r="B49" s="162">
        <f t="shared" si="1"/>
        <v>39</v>
      </c>
      <c r="C49" s="162">
        <f t="shared" si="0"/>
        <v>2017</v>
      </c>
      <c r="D49" s="160">
        <f t="shared" si="2"/>
        <v>42917</v>
      </c>
      <c r="E49" s="161">
        <f t="shared" si="3"/>
        <v>6967908.7274808986</v>
      </c>
      <c r="F49" s="174">
        <f t="shared" si="4"/>
        <v>-58699.439423629155</v>
      </c>
      <c r="G49" s="163">
        <f t="shared" si="5"/>
        <v>41176.725790450786</v>
      </c>
      <c r="H49" s="163">
        <f t="shared" si="6"/>
        <v>17522.713633178373</v>
      </c>
    </row>
    <row r="50" spans="2:8" ht="16" customHeight="1" x14ac:dyDescent="0.2">
      <c r="B50" s="162">
        <f t="shared" si="1"/>
        <v>40</v>
      </c>
      <c r="C50" s="162">
        <f t="shared" si="0"/>
        <v>2017</v>
      </c>
      <c r="D50" s="160">
        <f t="shared" si="2"/>
        <v>42948</v>
      </c>
      <c r="E50" s="161">
        <f t="shared" si="3"/>
        <v>6926629.0598759716</v>
      </c>
      <c r="F50" s="174">
        <f t="shared" si="4"/>
        <v>-58699.439423629155</v>
      </c>
      <c r="G50" s="163">
        <f t="shared" si="5"/>
        <v>41279.667604926915</v>
      </c>
      <c r="H50" s="163">
        <f t="shared" si="6"/>
        <v>17419.771818702244</v>
      </c>
    </row>
    <row r="51" spans="2:8" ht="16" customHeight="1" x14ac:dyDescent="0.2">
      <c r="B51" s="162">
        <f t="shared" si="1"/>
        <v>41</v>
      </c>
      <c r="C51" s="162">
        <f t="shared" si="0"/>
        <v>2017</v>
      </c>
      <c r="D51" s="160">
        <f t="shared" si="2"/>
        <v>42979</v>
      </c>
      <c r="E51" s="161">
        <f t="shared" si="3"/>
        <v>6885246.1931020319</v>
      </c>
      <c r="F51" s="174">
        <f t="shared" si="4"/>
        <v>-58699.439423629155</v>
      </c>
      <c r="G51" s="163">
        <f t="shared" si="5"/>
        <v>41382.866773939226</v>
      </c>
      <c r="H51" s="163">
        <f t="shared" si="6"/>
        <v>17316.572649689926</v>
      </c>
    </row>
    <row r="52" spans="2:8" ht="16" customHeight="1" x14ac:dyDescent="0.2">
      <c r="B52" s="162">
        <f t="shared" si="1"/>
        <v>42</v>
      </c>
      <c r="C52" s="162">
        <f t="shared" si="0"/>
        <v>2017</v>
      </c>
      <c r="D52" s="160">
        <f t="shared" si="2"/>
        <v>43009</v>
      </c>
      <c r="E52" s="161">
        <f t="shared" si="3"/>
        <v>6843759.8691611579</v>
      </c>
      <c r="F52" s="174">
        <f t="shared" si="4"/>
        <v>-58699.439423629155</v>
      </c>
      <c r="G52" s="163">
        <f t="shared" si="5"/>
        <v>41486.323940874077</v>
      </c>
      <c r="H52" s="163">
        <f t="shared" si="6"/>
        <v>17213.115482755078</v>
      </c>
    </row>
    <row r="53" spans="2:8" ht="16" customHeight="1" x14ac:dyDescent="0.2">
      <c r="B53" s="162">
        <f t="shared" si="1"/>
        <v>43</v>
      </c>
      <c r="C53" s="162">
        <f t="shared" si="0"/>
        <v>2017</v>
      </c>
      <c r="D53" s="160">
        <f t="shared" si="2"/>
        <v>43040</v>
      </c>
      <c r="E53" s="161">
        <f t="shared" si="3"/>
        <v>6802169.8294104319</v>
      </c>
      <c r="F53" s="174">
        <f t="shared" si="4"/>
        <v>-58699.439423629155</v>
      </c>
      <c r="G53" s="163">
        <f t="shared" si="5"/>
        <v>41590.039750726261</v>
      </c>
      <c r="H53" s="163">
        <f t="shared" si="6"/>
        <v>17109.399672902895</v>
      </c>
    </row>
    <row r="54" spans="2:8" ht="16" customHeight="1" x14ac:dyDescent="0.2">
      <c r="B54" s="162">
        <f t="shared" si="1"/>
        <v>44</v>
      </c>
      <c r="C54" s="162">
        <f t="shared" si="0"/>
        <v>2017</v>
      </c>
      <c r="D54" s="160">
        <f t="shared" si="2"/>
        <v>43070</v>
      </c>
      <c r="E54" s="161">
        <f t="shared" si="3"/>
        <v>6760475.8145603286</v>
      </c>
      <c r="F54" s="174">
        <f t="shared" si="4"/>
        <v>-58699.439423629155</v>
      </c>
      <c r="G54" s="163">
        <f t="shared" si="5"/>
        <v>41694.014850103078</v>
      </c>
      <c r="H54" s="163">
        <f t="shared" si="6"/>
        <v>17005.424573526081</v>
      </c>
    </row>
    <row r="55" spans="2:8" ht="16" customHeight="1" x14ac:dyDescent="0.2">
      <c r="B55" s="162">
        <f t="shared" si="1"/>
        <v>45</v>
      </c>
      <c r="C55" s="162">
        <f t="shared" si="0"/>
        <v>2018</v>
      </c>
      <c r="D55" s="160">
        <f t="shared" si="2"/>
        <v>43101</v>
      </c>
      <c r="E55" s="161">
        <f t="shared" si="3"/>
        <v>6718677.5646731006</v>
      </c>
      <c r="F55" s="174">
        <f t="shared" si="4"/>
        <v>-58699.439423629155</v>
      </c>
      <c r="G55" s="163">
        <f t="shared" si="5"/>
        <v>41798.249887228332</v>
      </c>
      <c r="H55" s="163">
        <f t="shared" si="6"/>
        <v>16901.18953640082</v>
      </c>
    </row>
    <row r="56" spans="2:8" ht="16" customHeight="1" x14ac:dyDescent="0.2">
      <c r="B56" s="162">
        <f t="shared" si="1"/>
        <v>46</v>
      </c>
      <c r="C56" s="162">
        <f t="shared" si="0"/>
        <v>2018</v>
      </c>
      <c r="D56" s="160">
        <f t="shared" si="2"/>
        <v>43132</v>
      </c>
      <c r="E56" s="161">
        <f t="shared" si="3"/>
        <v>6676774.8191611543</v>
      </c>
      <c r="F56" s="174">
        <f t="shared" si="4"/>
        <v>-58699.439423629155</v>
      </c>
      <c r="G56" s="163">
        <f t="shared" si="5"/>
        <v>41902.745511946399</v>
      </c>
      <c r="H56" s="163">
        <f t="shared" si="6"/>
        <v>16796.693911682753</v>
      </c>
    </row>
    <row r="57" spans="2:8" ht="16" customHeight="1" x14ac:dyDescent="0.2">
      <c r="B57" s="162">
        <f t="shared" si="1"/>
        <v>47</v>
      </c>
      <c r="C57" s="162">
        <f t="shared" si="0"/>
        <v>2018</v>
      </c>
      <c r="D57" s="160">
        <f t="shared" si="2"/>
        <v>43160</v>
      </c>
      <c r="E57" s="161">
        <f t="shared" si="3"/>
        <v>6634767.3167854277</v>
      </c>
      <c r="F57" s="174">
        <f t="shared" si="4"/>
        <v>-58699.439423629155</v>
      </c>
      <c r="G57" s="163">
        <f t="shared" si="5"/>
        <v>42007.502375726268</v>
      </c>
      <c r="H57" s="163">
        <f t="shared" si="6"/>
        <v>16691.937047902884</v>
      </c>
    </row>
    <row r="58" spans="2:8" ht="16" customHeight="1" x14ac:dyDescent="0.2">
      <c r="B58" s="162">
        <f t="shared" si="1"/>
        <v>48</v>
      </c>
      <c r="C58" s="162">
        <f t="shared" si="0"/>
        <v>2018</v>
      </c>
      <c r="D58" s="160">
        <f t="shared" si="2"/>
        <v>43191</v>
      </c>
      <c r="E58" s="161">
        <f t="shared" si="3"/>
        <v>6592654.7956537623</v>
      </c>
      <c r="F58" s="174">
        <f t="shared" si="4"/>
        <v>-58699.439423629155</v>
      </c>
      <c r="G58" s="163">
        <f t="shared" si="5"/>
        <v>42112.521131665591</v>
      </c>
      <c r="H58" s="163">
        <f t="shared" si="6"/>
        <v>16586.918291963568</v>
      </c>
    </row>
    <row r="59" spans="2:8" ht="16" customHeight="1" x14ac:dyDescent="0.2">
      <c r="B59" s="162">
        <f t="shared" si="1"/>
        <v>49</v>
      </c>
      <c r="C59" s="162">
        <f t="shared" si="0"/>
        <v>2018</v>
      </c>
      <c r="D59" s="160">
        <f t="shared" si="2"/>
        <v>43221</v>
      </c>
      <c r="E59" s="161">
        <f t="shared" si="3"/>
        <v>6550436.9932192676</v>
      </c>
      <c r="F59" s="174">
        <f t="shared" si="4"/>
        <v>-58699.439423629155</v>
      </c>
      <c r="G59" s="163">
        <f t="shared" si="5"/>
        <v>42217.802434494748</v>
      </c>
      <c r="H59" s="163">
        <f t="shared" si="6"/>
        <v>16481.636989134404</v>
      </c>
    </row>
    <row r="60" spans="2:8" ht="16" customHeight="1" x14ac:dyDescent="0.2">
      <c r="B60" s="162">
        <f t="shared" si="1"/>
        <v>50</v>
      </c>
      <c r="C60" s="162">
        <f t="shared" si="0"/>
        <v>2018</v>
      </c>
      <c r="D60" s="160">
        <f t="shared" si="2"/>
        <v>43252</v>
      </c>
      <c r="E60" s="161">
        <f t="shared" si="3"/>
        <v>6508113.6462786868</v>
      </c>
      <c r="F60" s="174">
        <f t="shared" si="4"/>
        <v>-58699.439423629155</v>
      </c>
      <c r="G60" s="163">
        <f t="shared" si="5"/>
        <v>42323.346940580988</v>
      </c>
      <c r="H60" s="163">
        <f t="shared" si="6"/>
        <v>16376.092483048167</v>
      </c>
    </row>
    <row r="61" spans="2:8" ht="16" customHeight="1" x14ac:dyDescent="0.2">
      <c r="B61" s="162">
        <f t="shared" si="1"/>
        <v>51</v>
      </c>
      <c r="C61" s="162">
        <f t="shared" si="0"/>
        <v>2018</v>
      </c>
      <c r="D61" s="160">
        <f t="shared" si="2"/>
        <v>43282</v>
      </c>
      <c r="E61" s="161">
        <f t="shared" si="3"/>
        <v>6465684.4909707541</v>
      </c>
      <c r="F61" s="174">
        <f t="shared" si="4"/>
        <v>-58699.439423629155</v>
      </c>
      <c r="G61" s="163">
        <f t="shared" si="5"/>
        <v>42429.155307932437</v>
      </c>
      <c r="H61" s="163">
        <f t="shared" si="6"/>
        <v>16270.284115696717</v>
      </c>
    </row>
    <row r="62" spans="2:8" ht="16" customHeight="1" x14ac:dyDescent="0.2">
      <c r="B62" s="162">
        <f t="shared" si="1"/>
        <v>52</v>
      </c>
      <c r="C62" s="162">
        <f t="shared" si="0"/>
        <v>2018</v>
      </c>
      <c r="D62" s="160">
        <f t="shared" si="2"/>
        <v>43313</v>
      </c>
      <c r="E62" s="161">
        <f t="shared" si="3"/>
        <v>6423149.2627745522</v>
      </c>
      <c r="F62" s="174">
        <f t="shared" si="4"/>
        <v>-58699.439423629155</v>
      </c>
      <c r="G62" s="163">
        <f t="shared" si="5"/>
        <v>42535.228196202268</v>
      </c>
      <c r="H62" s="163">
        <f t="shared" si="6"/>
        <v>16164.211227426886</v>
      </c>
    </row>
    <row r="63" spans="2:8" ht="16" customHeight="1" x14ac:dyDescent="0.2">
      <c r="B63" s="162">
        <f t="shared" si="1"/>
        <v>53</v>
      </c>
      <c r="C63" s="162">
        <f t="shared" si="0"/>
        <v>2018</v>
      </c>
      <c r="D63" s="160">
        <f t="shared" si="2"/>
        <v>43344</v>
      </c>
      <c r="E63" s="161">
        <f t="shared" si="3"/>
        <v>6380507.696507859</v>
      </c>
      <c r="F63" s="174">
        <f t="shared" si="4"/>
        <v>-58699.439423629155</v>
      </c>
      <c r="G63" s="163">
        <f t="shared" si="5"/>
        <v>42641.566266692775</v>
      </c>
      <c r="H63" s="163">
        <f t="shared" si="6"/>
        <v>16057.873156936381</v>
      </c>
    </row>
    <row r="64" spans="2:8" ht="16" customHeight="1" x14ac:dyDescent="0.2">
      <c r="B64" s="162">
        <f t="shared" si="1"/>
        <v>54</v>
      </c>
      <c r="C64" s="162">
        <f t="shared" si="0"/>
        <v>2018</v>
      </c>
      <c r="D64" s="160">
        <f t="shared" si="2"/>
        <v>43374</v>
      </c>
      <c r="E64" s="161">
        <f t="shared" si="3"/>
        <v>6337759.5263254996</v>
      </c>
      <c r="F64" s="174">
        <f t="shared" si="4"/>
        <v>-58699.439423629155</v>
      </c>
      <c r="G64" s="163">
        <f t="shared" si="5"/>
        <v>42748.170182359507</v>
      </c>
      <c r="H64" s="163">
        <f t="shared" si="6"/>
        <v>15951.269241269647</v>
      </c>
    </row>
    <row r="65" spans="2:8" ht="16" customHeight="1" x14ac:dyDescent="0.2">
      <c r="B65" s="162">
        <f t="shared" si="1"/>
        <v>55</v>
      </c>
      <c r="C65" s="162">
        <f t="shared" si="0"/>
        <v>2018</v>
      </c>
      <c r="D65" s="160">
        <f t="shared" si="2"/>
        <v>43405</v>
      </c>
      <c r="E65" s="161">
        <f t="shared" si="3"/>
        <v>6294904.485717684</v>
      </c>
      <c r="F65" s="174">
        <f t="shared" si="4"/>
        <v>-58699.439423629155</v>
      </c>
      <c r="G65" s="163">
        <f t="shared" si="5"/>
        <v>42855.040607815405</v>
      </c>
      <c r="H65" s="163">
        <f t="shared" si="6"/>
        <v>15844.398815813749</v>
      </c>
    </row>
    <row r="66" spans="2:8" ht="16" customHeight="1" x14ac:dyDescent="0.2">
      <c r="B66" s="162">
        <f t="shared" si="1"/>
        <v>56</v>
      </c>
      <c r="C66" s="162">
        <f t="shared" si="0"/>
        <v>2018</v>
      </c>
      <c r="D66" s="160">
        <f t="shared" si="2"/>
        <v>43435</v>
      </c>
      <c r="E66" s="161">
        <f t="shared" si="3"/>
        <v>6251942.3075083494</v>
      </c>
      <c r="F66" s="174">
        <f t="shared" si="4"/>
        <v>-58699.439423629155</v>
      </c>
      <c r="G66" s="163">
        <f t="shared" si="5"/>
        <v>42962.178209334947</v>
      </c>
      <c r="H66" s="163">
        <f t="shared" si="6"/>
        <v>15737.261214294209</v>
      </c>
    </row>
    <row r="67" spans="2:8" ht="16" customHeight="1" x14ac:dyDescent="0.2">
      <c r="B67" s="162">
        <f t="shared" si="1"/>
        <v>57</v>
      </c>
      <c r="C67" s="162">
        <f t="shared" si="0"/>
        <v>2019</v>
      </c>
      <c r="D67" s="160">
        <f t="shared" si="2"/>
        <v>43466</v>
      </c>
      <c r="E67" s="161">
        <f t="shared" si="3"/>
        <v>6208872.7238534912</v>
      </c>
      <c r="F67" s="174">
        <f t="shared" si="4"/>
        <v>-58699.439423629155</v>
      </c>
      <c r="G67" s="163">
        <f t="shared" si="5"/>
        <v>43069.583654858281</v>
      </c>
      <c r="H67" s="163">
        <f t="shared" si="6"/>
        <v>15629.855768770873</v>
      </c>
    </row>
    <row r="68" spans="2:8" ht="16" customHeight="1" x14ac:dyDescent="0.2">
      <c r="B68" s="162">
        <f t="shared" si="1"/>
        <v>58</v>
      </c>
      <c r="C68" s="162">
        <f t="shared" si="0"/>
        <v>2019</v>
      </c>
      <c r="D68" s="160">
        <f t="shared" si="2"/>
        <v>43497</v>
      </c>
      <c r="E68" s="161">
        <f t="shared" si="3"/>
        <v>6165695.4662394961</v>
      </c>
      <c r="F68" s="174">
        <f t="shared" si="4"/>
        <v>-58699.439423629155</v>
      </c>
      <c r="G68" s="163">
        <f t="shared" si="5"/>
        <v>43177.257613995425</v>
      </c>
      <c r="H68" s="163">
        <f t="shared" si="6"/>
        <v>15522.181809633728</v>
      </c>
    </row>
    <row r="69" spans="2:8" ht="16" customHeight="1" x14ac:dyDescent="0.2">
      <c r="B69" s="162">
        <f t="shared" si="1"/>
        <v>59</v>
      </c>
      <c r="C69" s="162">
        <f t="shared" si="0"/>
        <v>2019</v>
      </c>
      <c r="D69" s="160">
        <f t="shared" si="2"/>
        <v>43525</v>
      </c>
      <c r="E69" s="161">
        <f t="shared" si="3"/>
        <v>6122410.2654814655</v>
      </c>
      <c r="F69" s="174">
        <f t="shared" si="4"/>
        <v>-58699.439423629155</v>
      </c>
      <c r="G69" s="163">
        <f t="shared" si="5"/>
        <v>43285.200758030413</v>
      </c>
      <c r="H69" s="163">
        <f t="shared" si="6"/>
        <v>15414.238665598741</v>
      </c>
    </row>
    <row r="70" spans="2:8" ht="16" customHeight="1" x14ac:dyDescent="0.2">
      <c r="B70" s="162">
        <f t="shared" si="1"/>
        <v>60</v>
      </c>
      <c r="C70" s="162">
        <f t="shared" si="0"/>
        <v>2019</v>
      </c>
      <c r="D70" s="160">
        <f t="shared" si="2"/>
        <v>43556</v>
      </c>
      <c r="E70" s="161">
        <f t="shared" si="3"/>
        <v>6079016.8517215401</v>
      </c>
      <c r="F70" s="174">
        <f t="shared" si="4"/>
        <v>-58699.439423629155</v>
      </c>
      <c r="G70" s="163">
        <f t="shared" si="5"/>
        <v>43393.41375992549</v>
      </c>
      <c r="H70" s="163">
        <f t="shared" si="6"/>
        <v>15306.025663703664</v>
      </c>
    </row>
    <row r="71" spans="2:8" ht="16" customHeight="1" x14ac:dyDescent="0.2">
      <c r="B71" s="162">
        <f t="shared" si="1"/>
        <v>61</v>
      </c>
      <c r="C71" s="162">
        <f t="shared" si="0"/>
        <v>2019</v>
      </c>
      <c r="D71" s="160">
        <f t="shared" si="2"/>
        <v>43586</v>
      </c>
      <c r="E71" s="161">
        <f t="shared" si="3"/>
        <v>6035514.9544272143</v>
      </c>
      <c r="F71" s="174">
        <f t="shared" si="4"/>
        <v>-58699.439423629155</v>
      </c>
      <c r="G71" s="163">
        <f t="shared" si="5"/>
        <v>43501.897294325303</v>
      </c>
      <c r="H71" s="163">
        <f t="shared" si="6"/>
        <v>15197.542129303851</v>
      </c>
    </row>
    <row r="72" spans="2:8" ht="16" customHeight="1" x14ac:dyDescent="0.2">
      <c r="B72" s="162">
        <f t="shared" si="1"/>
        <v>62</v>
      </c>
      <c r="C72" s="162">
        <f t="shared" si="0"/>
        <v>2019</v>
      </c>
      <c r="D72" s="160">
        <f t="shared" si="2"/>
        <v>43617</v>
      </c>
      <c r="E72" s="161">
        <f t="shared" si="3"/>
        <v>5991904.3023896534</v>
      </c>
      <c r="F72" s="174">
        <f t="shared" si="4"/>
        <v>-58699.439423629155</v>
      </c>
      <c r="G72" s="163">
        <f t="shared" si="5"/>
        <v>43610.652037561122</v>
      </c>
      <c r="H72" s="163">
        <f t="shared" si="6"/>
        <v>15088.787386068036</v>
      </c>
    </row>
    <row r="73" spans="2:8" ht="16" customHeight="1" x14ac:dyDescent="0.2">
      <c r="B73" s="162">
        <f t="shared" si="1"/>
        <v>63</v>
      </c>
      <c r="C73" s="162">
        <f t="shared" si="0"/>
        <v>2019</v>
      </c>
      <c r="D73" s="160">
        <f t="shared" si="2"/>
        <v>43647</v>
      </c>
      <c r="E73" s="161">
        <f t="shared" si="3"/>
        <v>5948184.6237219982</v>
      </c>
      <c r="F73" s="174">
        <f t="shared" si="4"/>
        <v>-58699.439423629155</v>
      </c>
      <c r="G73" s="163">
        <f t="shared" si="5"/>
        <v>43719.678667655025</v>
      </c>
      <c r="H73" s="163">
        <f t="shared" si="6"/>
        <v>14979.760755974132</v>
      </c>
    </row>
    <row r="74" spans="2:8" ht="16" customHeight="1" x14ac:dyDescent="0.2">
      <c r="B74" s="162">
        <f t="shared" si="1"/>
        <v>64</v>
      </c>
      <c r="C74" s="162">
        <f t="shared" si="0"/>
        <v>2019</v>
      </c>
      <c r="D74" s="160">
        <f t="shared" si="2"/>
        <v>43678</v>
      </c>
      <c r="E74" s="161">
        <f t="shared" si="3"/>
        <v>5904355.6458576741</v>
      </c>
      <c r="F74" s="174">
        <f t="shared" si="4"/>
        <v>-58699.439423629155</v>
      </c>
      <c r="G74" s="163">
        <f t="shared" si="5"/>
        <v>43828.977864324159</v>
      </c>
      <c r="H74" s="163">
        <f t="shared" si="6"/>
        <v>14870.461559304995</v>
      </c>
    </row>
    <row r="75" spans="2:8" ht="16" customHeight="1" x14ac:dyDescent="0.2">
      <c r="B75" s="162">
        <f t="shared" si="1"/>
        <v>65</v>
      </c>
      <c r="C75" s="162">
        <f t="shared" ref="C75:C138" si="7">IF(B75="-","-",YEAR(D75))</f>
        <v>2019</v>
      </c>
      <c r="D75" s="160">
        <f t="shared" si="2"/>
        <v>43709</v>
      </c>
      <c r="E75" s="161">
        <f t="shared" si="3"/>
        <v>5860417.0955486894</v>
      </c>
      <c r="F75" s="174">
        <f t="shared" si="4"/>
        <v>-58699.439423629155</v>
      </c>
      <c r="G75" s="163">
        <f t="shared" si="5"/>
        <v>43938.550308984974</v>
      </c>
      <c r="H75" s="163">
        <f t="shared" si="6"/>
        <v>14760.889114644184</v>
      </c>
    </row>
    <row r="76" spans="2:8" ht="16" customHeight="1" x14ac:dyDescent="0.2">
      <c r="B76" s="162">
        <f t="shared" ref="B76:B139" si="8">IFERROR(IF((B75+1)&gt;$C$5,"-",B75+1),"-")</f>
        <v>66</v>
      </c>
      <c r="C76" s="162">
        <f t="shared" si="7"/>
        <v>2019</v>
      </c>
      <c r="D76" s="160">
        <f t="shared" ref="D76:D139" si="9">IF(B76="-","-",EOMONTH(D75,0)+1)</f>
        <v>43739</v>
      </c>
      <c r="E76" s="161">
        <f t="shared" ref="E76:E139" si="10">E75-G76</f>
        <v>5816368.6988639319</v>
      </c>
      <c r="F76" s="174">
        <f t="shared" ref="F76:F139" si="11">+$C$7</f>
        <v>-58699.439423629155</v>
      </c>
      <c r="G76" s="163">
        <f t="shared" ref="G76:G139" si="12">-F76-H76</f>
        <v>44048.396684757434</v>
      </c>
      <c r="H76" s="163">
        <f t="shared" ref="H76:H139" si="13">E75*$C$6/12</f>
        <v>14651.042738871722</v>
      </c>
    </row>
    <row r="77" spans="2:8" ht="16" customHeight="1" x14ac:dyDescent="0.2">
      <c r="B77" s="162">
        <f t="shared" si="8"/>
        <v>67</v>
      </c>
      <c r="C77" s="162">
        <f t="shared" si="7"/>
        <v>2019</v>
      </c>
      <c r="D77" s="160">
        <f t="shared" si="9"/>
        <v>43770</v>
      </c>
      <c r="E77" s="161">
        <f t="shared" si="10"/>
        <v>5772210.181187463</v>
      </c>
      <c r="F77" s="174">
        <f t="shared" si="11"/>
        <v>-58699.439423629155</v>
      </c>
      <c r="G77" s="163">
        <f t="shared" si="12"/>
        <v>44158.517676469324</v>
      </c>
      <c r="H77" s="163">
        <f t="shared" si="13"/>
        <v>14540.921747159829</v>
      </c>
    </row>
    <row r="78" spans="2:8" ht="16" customHeight="1" x14ac:dyDescent="0.2">
      <c r="B78" s="162">
        <f t="shared" si="8"/>
        <v>68</v>
      </c>
      <c r="C78" s="162">
        <f t="shared" si="7"/>
        <v>2019</v>
      </c>
      <c r="D78" s="160">
        <f t="shared" si="9"/>
        <v>43800</v>
      </c>
      <c r="E78" s="161">
        <f t="shared" si="10"/>
        <v>5727941.2672168026</v>
      </c>
      <c r="F78" s="174">
        <f t="shared" si="11"/>
        <v>-58699.439423629155</v>
      </c>
      <c r="G78" s="163">
        <f t="shared" si="12"/>
        <v>44268.913970660498</v>
      </c>
      <c r="H78" s="163">
        <f t="shared" si="13"/>
        <v>14430.525452968657</v>
      </c>
    </row>
    <row r="79" spans="2:8" ht="16" customHeight="1" x14ac:dyDescent="0.2">
      <c r="B79" s="162">
        <f t="shared" si="8"/>
        <v>69</v>
      </c>
      <c r="C79" s="162">
        <f t="shared" si="7"/>
        <v>2020</v>
      </c>
      <c r="D79" s="160">
        <f t="shared" si="9"/>
        <v>43831</v>
      </c>
      <c r="E79" s="161">
        <f t="shared" si="10"/>
        <v>5683561.6809612159</v>
      </c>
      <c r="F79" s="174">
        <f t="shared" si="11"/>
        <v>-58699.439423629155</v>
      </c>
      <c r="G79" s="163">
        <f t="shared" si="12"/>
        <v>44379.58625558715</v>
      </c>
      <c r="H79" s="163">
        <f t="shared" si="13"/>
        <v>14319.853168042006</v>
      </c>
    </row>
    <row r="80" spans="2:8" ht="16" customHeight="1" x14ac:dyDescent="0.2">
      <c r="B80" s="162">
        <f t="shared" si="8"/>
        <v>70</v>
      </c>
      <c r="C80" s="162">
        <f t="shared" si="7"/>
        <v>2020</v>
      </c>
      <c r="D80" s="160">
        <f t="shared" si="9"/>
        <v>43862</v>
      </c>
      <c r="E80" s="161">
        <f t="shared" si="10"/>
        <v>5639071.1457399894</v>
      </c>
      <c r="F80" s="174">
        <f t="shared" si="11"/>
        <v>-58699.439423629155</v>
      </c>
      <c r="G80" s="163">
        <f t="shared" si="12"/>
        <v>44490.535221226113</v>
      </c>
      <c r="H80" s="163">
        <f t="shared" si="13"/>
        <v>14208.90420240304</v>
      </c>
    </row>
    <row r="81" spans="2:8" ht="16" customHeight="1" x14ac:dyDescent="0.2">
      <c r="B81" s="162">
        <f t="shared" si="8"/>
        <v>71</v>
      </c>
      <c r="C81" s="162">
        <f t="shared" si="7"/>
        <v>2020</v>
      </c>
      <c r="D81" s="160">
        <f t="shared" si="9"/>
        <v>43891</v>
      </c>
      <c r="E81" s="161">
        <f t="shared" si="10"/>
        <v>5594469.3841807097</v>
      </c>
      <c r="F81" s="174">
        <f t="shared" si="11"/>
        <v>-58699.439423629155</v>
      </c>
      <c r="G81" s="163">
        <f t="shared" si="12"/>
        <v>44601.761559279184</v>
      </c>
      <c r="H81" s="163">
        <f t="shared" si="13"/>
        <v>14097.677864349973</v>
      </c>
    </row>
    <row r="82" spans="2:8" ht="16" customHeight="1" x14ac:dyDescent="0.2">
      <c r="B82" s="162">
        <f t="shared" si="8"/>
        <v>72</v>
      </c>
      <c r="C82" s="162">
        <f t="shared" si="7"/>
        <v>2020</v>
      </c>
      <c r="D82" s="160">
        <f t="shared" si="9"/>
        <v>43922</v>
      </c>
      <c r="E82" s="161">
        <f t="shared" si="10"/>
        <v>5549756.1182175325</v>
      </c>
      <c r="F82" s="174">
        <f t="shared" si="11"/>
        <v>-58699.439423629155</v>
      </c>
      <c r="G82" s="163">
        <f t="shared" si="12"/>
        <v>44713.265963177379</v>
      </c>
      <c r="H82" s="163">
        <f t="shared" si="13"/>
        <v>13986.173460451775</v>
      </c>
    </row>
    <row r="83" spans="2:8" ht="16" customHeight="1" x14ac:dyDescent="0.2">
      <c r="B83" s="162">
        <f t="shared" si="8"/>
        <v>73</v>
      </c>
      <c r="C83" s="162">
        <f t="shared" si="7"/>
        <v>2020</v>
      </c>
      <c r="D83" s="160">
        <f t="shared" si="9"/>
        <v>43952</v>
      </c>
      <c r="E83" s="161">
        <f t="shared" si="10"/>
        <v>5504931.0690894471</v>
      </c>
      <c r="F83" s="174">
        <f t="shared" si="11"/>
        <v>-58699.439423629155</v>
      </c>
      <c r="G83" s="163">
        <f t="shared" si="12"/>
        <v>44825.049128085324</v>
      </c>
      <c r="H83" s="163">
        <f t="shared" si="13"/>
        <v>13874.390295543832</v>
      </c>
    </row>
    <row r="84" spans="2:8" ht="16" customHeight="1" x14ac:dyDescent="0.2">
      <c r="B84" s="162">
        <f t="shared" si="8"/>
        <v>74</v>
      </c>
      <c r="C84" s="162">
        <f t="shared" si="7"/>
        <v>2020</v>
      </c>
      <c r="D84" s="160">
        <f t="shared" si="9"/>
        <v>43983</v>
      </c>
      <c r="E84" s="161">
        <f t="shared" si="10"/>
        <v>5459993.9573385417</v>
      </c>
      <c r="F84" s="174">
        <f t="shared" si="11"/>
        <v>-58699.439423629155</v>
      </c>
      <c r="G84" s="163">
        <f t="shared" si="12"/>
        <v>44937.11175090554</v>
      </c>
      <c r="H84" s="163">
        <f t="shared" si="13"/>
        <v>13762.327672723617</v>
      </c>
    </row>
    <row r="85" spans="2:8" ht="16" customHeight="1" x14ac:dyDescent="0.2">
      <c r="B85" s="162">
        <f t="shared" si="8"/>
        <v>75</v>
      </c>
      <c r="C85" s="162">
        <f t="shared" si="7"/>
        <v>2020</v>
      </c>
      <c r="D85" s="160">
        <f t="shared" si="9"/>
        <v>44013</v>
      </c>
      <c r="E85" s="161">
        <f t="shared" si="10"/>
        <v>5414944.5028082589</v>
      </c>
      <c r="F85" s="174">
        <f t="shared" si="11"/>
        <v>-58699.439423629155</v>
      </c>
      <c r="G85" s="163">
        <f t="shared" si="12"/>
        <v>45049.454530282805</v>
      </c>
      <c r="H85" s="163">
        <f t="shared" si="13"/>
        <v>13649.984893346353</v>
      </c>
    </row>
    <row r="86" spans="2:8" ht="16" customHeight="1" x14ac:dyDescent="0.2">
      <c r="B86" s="162">
        <f t="shared" si="8"/>
        <v>76</v>
      </c>
      <c r="C86" s="162">
        <f t="shared" si="7"/>
        <v>2020</v>
      </c>
      <c r="D86" s="160">
        <f t="shared" si="9"/>
        <v>44044</v>
      </c>
      <c r="E86" s="161">
        <f t="shared" si="10"/>
        <v>5369782.4246416502</v>
      </c>
      <c r="F86" s="174">
        <f t="shared" si="11"/>
        <v>-58699.439423629155</v>
      </c>
      <c r="G86" s="163">
        <f t="shared" si="12"/>
        <v>45162.078166608509</v>
      </c>
      <c r="H86" s="163">
        <f t="shared" si="13"/>
        <v>13537.361257020646</v>
      </c>
    </row>
    <row r="87" spans="2:8" ht="16" customHeight="1" x14ac:dyDescent="0.2">
      <c r="B87" s="162">
        <f t="shared" si="8"/>
        <v>77</v>
      </c>
      <c r="C87" s="162">
        <f t="shared" si="7"/>
        <v>2020</v>
      </c>
      <c r="D87" s="160">
        <f t="shared" si="9"/>
        <v>44075</v>
      </c>
      <c r="E87" s="161">
        <f t="shared" si="10"/>
        <v>5324507.4412796255</v>
      </c>
      <c r="F87" s="174">
        <f t="shared" si="11"/>
        <v>-58699.439423629155</v>
      </c>
      <c r="G87" s="163">
        <f t="shared" si="12"/>
        <v>45274.983362025028</v>
      </c>
      <c r="H87" s="163">
        <f t="shared" si="13"/>
        <v>13424.456061604125</v>
      </c>
    </row>
    <row r="88" spans="2:8" ht="16" customHeight="1" x14ac:dyDescent="0.2">
      <c r="B88" s="162">
        <f t="shared" si="8"/>
        <v>78</v>
      </c>
      <c r="C88" s="162">
        <f t="shared" si="7"/>
        <v>2020</v>
      </c>
      <c r="D88" s="160">
        <f t="shared" si="9"/>
        <v>44105</v>
      </c>
      <c r="E88" s="161">
        <f t="shared" si="10"/>
        <v>5279119.2704591956</v>
      </c>
      <c r="F88" s="174">
        <f t="shared" si="11"/>
        <v>-58699.439423629155</v>
      </c>
      <c r="G88" s="163">
        <f t="shared" si="12"/>
        <v>45388.170820430096</v>
      </c>
      <c r="H88" s="163">
        <f t="shared" si="13"/>
        <v>13311.268603199062</v>
      </c>
    </row>
    <row r="89" spans="2:8" ht="16" customHeight="1" x14ac:dyDescent="0.2">
      <c r="B89" s="162">
        <f t="shared" si="8"/>
        <v>79</v>
      </c>
      <c r="C89" s="162">
        <f t="shared" si="7"/>
        <v>2020</v>
      </c>
      <c r="D89" s="160">
        <f t="shared" si="9"/>
        <v>44136</v>
      </c>
      <c r="E89" s="161">
        <f t="shared" si="10"/>
        <v>5233617.6292117145</v>
      </c>
      <c r="F89" s="174">
        <f t="shared" si="11"/>
        <v>-58699.439423629155</v>
      </c>
      <c r="G89" s="163">
        <f t="shared" si="12"/>
        <v>45501.641247481166</v>
      </c>
      <c r="H89" s="163">
        <f t="shared" si="13"/>
        <v>13197.79817614799</v>
      </c>
    </row>
    <row r="90" spans="2:8" ht="16" customHeight="1" x14ac:dyDescent="0.2">
      <c r="B90" s="162">
        <f t="shared" si="8"/>
        <v>80</v>
      </c>
      <c r="C90" s="162">
        <f t="shared" si="7"/>
        <v>2020</v>
      </c>
      <c r="D90" s="160">
        <f t="shared" si="9"/>
        <v>44166</v>
      </c>
      <c r="E90" s="161">
        <f t="shared" si="10"/>
        <v>5188002.2338611148</v>
      </c>
      <c r="F90" s="174">
        <f t="shared" si="11"/>
        <v>-58699.439423629155</v>
      </c>
      <c r="G90" s="163">
        <f t="shared" si="12"/>
        <v>45615.395350599872</v>
      </c>
      <c r="H90" s="163">
        <f t="shared" si="13"/>
        <v>13084.044073029285</v>
      </c>
    </row>
    <row r="91" spans="2:8" ht="16" customHeight="1" x14ac:dyDescent="0.2">
      <c r="B91" s="162">
        <f t="shared" si="8"/>
        <v>81</v>
      </c>
      <c r="C91" s="162">
        <f t="shared" si="7"/>
        <v>2021</v>
      </c>
      <c r="D91" s="160">
        <f t="shared" si="9"/>
        <v>44197</v>
      </c>
      <c r="E91" s="161">
        <f t="shared" si="10"/>
        <v>5142272.8000221383</v>
      </c>
      <c r="F91" s="174">
        <f t="shared" si="11"/>
        <v>-58699.439423629155</v>
      </c>
      <c r="G91" s="163">
        <f t="shared" si="12"/>
        <v>45729.433838976372</v>
      </c>
      <c r="H91" s="163">
        <f t="shared" si="13"/>
        <v>12970.005584652785</v>
      </c>
    </row>
    <row r="92" spans="2:8" ht="16" customHeight="1" x14ac:dyDescent="0.2">
      <c r="B92" s="162">
        <f t="shared" si="8"/>
        <v>82</v>
      </c>
      <c r="C92" s="162">
        <f t="shared" si="7"/>
        <v>2021</v>
      </c>
      <c r="D92" s="160">
        <f t="shared" si="9"/>
        <v>44228</v>
      </c>
      <c r="E92" s="161">
        <f t="shared" si="10"/>
        <v>5096429.0425985642</v>
      </c>
      <c r="F92" s="174">
        <f t="shared" si="11"/>
        <v>-58699.439423629155</v>
      </c>
      <c r="G92" s="163">
        <f t="shared" si="12"/>
        <v>45843.757423573814</v>
      </c>
      <c r="H92" s="163">
        <f t="shared" si="13"/>
        <v>12855.682000055343</v>
      </c>
    </row>
    <row r="93" spans="2:8" ht="16" customHeight="1" x14ac:dyDescent="0.2">
      <c r="B93" s="162">
        <f t="shared" si="8"/>
        <v>83</v>
      </c>
      <c r="C93" s="162">
        <f t="shared" si="7"/>
        <v>2021</v>
      </c>
      <c r="D93" s="160">
        <f t="shared" si="9"/>
        <v>44256</v>
      </c>
      <c r="E93" s="161">
        <f t="shared" si="10"/>
        <v>5050470.6757814316</v>
      </c>
      <c r="F93" s="174">
        <f t="shared" si="11"/>
        <v>-58699.439423629155</v>
      </c>
      <c r="G93" s="163">
        <f t="shared" si="12"/>
        <v>45958.366817132744</v>
      </c>
      <c r="H93" s="163">
        <f t="shared" si="13"/>
        <v>12741.072606496411</v>
      </c>
    </row>
    <row r="94" spans="2:8" ht="16" customHeight="1" x14ac:dyDescent="0.2">
      <c r="B94" s="162">
        <f t="shared" si="8"/>
        <v>84</v>
      </c>
      <c r="C94" s="162">
        <f t="shared" si="7"/>
        <v>2021</v>
      </c>
      <c r="D94" s="160">
        <f t="shared" si="9"/>
        <v>44287</v>
      </c>
      <c r="E94" s="161">
        <f t="shared" si="10"/>
        <v>5004397.4130472559</v>
      </c>
      <c r="F94" s="174">
        <f t="shared" si="11"/>
        <v>-58699.439423629155</v>
      </c>
      <c r="G94" s="163">
        <f t="shared" si="12"/>
        <v>46073.26273417558</v>
      </c>
      <c r="H94" s="163">
        <f t="shared" si="13"/>
        <v>12626.176689453578</v>
      </c>
    </row>
    <row r="95" spans="2:8" ht="16" customHeight="1" x14ac:dyDescent="0.2">
      <c r="B95" s="162">
        <f t="shared" si="8"/>
        <v>85</v>
      </c>
      <c r="C95" s="162">
        <f t="shared" si="7"/>
        <v>2021</v>
      </c>
      <c r="D95" s="160">
        <f t="shared" si="9"/>
        <v>44317</v>
      </c>
      <c r="E95" s="161">
        <f t="shared" si="10"/>
        <v>4958208.9671562454</v>
      </c>
      <c r="F95" s="174">
        <f t="shared" si="11"/>
        <v>-58699.439423629155</v>
      </c>
      <c r="G95" s="163">
        <f t="shared" si="12"/>
        <v>46188.445891011019</v>
      </c>
      <c r="H95" s="163">
        <f t="shared" si="13"/>
        <v>12510.993532618138</v>
      </c>
    </row>
    <row r="96" spans="2:8" ht="16" customHeight="1" x14ac:dyDescent="0.2">
      <c r="B96" s="162">
        <f t="shared" si="8"/>
        <v>86</v>
      </c>
      <c r="C96" s="162">
        <f t="shared" si="7"/>
        <v>2021</v>
      </c>
      <c r="D96" s="160">
        <f t="shared" si="9"/>
        <v>44348</v>
      </c>
      <c r="E96" s="161">
        <f t="shared" si="10"/>
        <v>4911905.0501505071</v>
      </c>
      <c r="F96" s="174">
        <f t="shared" si="11"/>
        <v>-58699.439423629155</v>
      </c>
      <c r="G96" s="163">
        <f t="shared" si="12"/>
        <v>46303.917005738542</v>
      </c>
      <c r="H96" s="163">
        <f t="shared" si="13"/>
        <v>12395.522417890614</v>
      </c>
    </row>
    <row r="97" spans="1:8" ht="16" customHeight="1" x14ac:dyDescent="0.2">
      <c r="B97" s="162">
        <f t="shared" si="8"/>
        <v>87</v>
      </c>
      <c r="C97" s="162">
        <f t="shared" si="7"/>
        <v>2021</v>
      </c>
      <c r="D97" s="160">
        <f t="shared" si="9"/>
        <v>44378</v>
      </c>
      <c r="E97" s="161">
        <f t="shared" si="10"/>
        <v>4865485.3733522538</v>
      </c>
      <c r="F97" s="174">
        <f t="shared" si="11"/>
        <v>-58699.439423629155</v>
      </c>
      <c r="G97" s="163">
        <f t="shared" si="12"/>
        <v>46419.676798252891</v>
      </c>
      <c r="H97" s="163">
        <f t="shared" si="13"/>
        <v>12279.762625376266</v>
      </c>
    </row>
    <row r="98" spans="1:8" ht="16" customHeight="1" x14ac:dyDescent="0.2">
      <c r="B98" s="162">
        <f t="shared" si="8"/>
        <v>88</v>
      </c>
      <c r="C98" s="162">
        <f t="shared" si="7"/>
        <v>2021</v>
      </c>
      <c r="D98" s="160">
        <f t="shared" si="9"/>
        <v>44409</v>
      </c>
      <c r="E98" s="161">
        <f t="shared" si="10"/>
        <v>4818949.647362005</v>
      </c>
      <c r="F98" s="174">
        <f t="shared" si="11"/>
        <v>-58699.439423629155</v>
      </c>
      <c r="G98" s="163">
        <f t="shared" si="12"/>
        <v>46535.725990248524</v>
      </c>
      <c r="H98" s="163">
        <f t="shared" si="13"/>
        <v>12163.713433380633</v>
      </c>
    </row>
    <row r="99" spans="1:8" ht="16" customHeight="1" x14ac:dyDescent="0.2">
      <c r="B99" s="162">
        <f t="shared" si="8"/>
        <v>89</v>
      </c>
      <c r="C99" s="162">
        <f t="shared" si="7"/>
        <v>2021</v>
      </c>
      <c r="D99" s="160">
        <f t="shared" si="9"/>
        <v>44440</v>
      </c>
      <c r="E99" s="161">
        <f t="shared" si="10"/>
        <v>4772297.5820567813</v>
      </c>
      <c r="F99" s="174">
        <f t="shared" si="11"/>
        <v>-58699.439423629155</v>
      </c>
      <c r="G99" s="163">
        <f t="shared" si="12"/>
        <v>46652.065305224147</v>
      </c>
      <c r="H99" s="163">
        <f t="shared" si="13"/>
        <v>12047.37411840501</v>
      </c>
    </row>
    <row r="100" spans="1:8" ht="16" customHeight="1" x14ac:dyDescent="0.2">
      <c r="B100" s="162">
        <f t="shared" si="8"/>
        <v>90</v>
      </c>
      <c r="C100" s="162">
        <f t="shared" si="7"/>
        <v>2021</v>
      </c>
      <c r="D100" s="160">
        <f t="shared" si="9"/>
        <v>44470</v>
      </c>
      <c r="E100" s="161">
        <f t="shared" si="10"/>
        <v>4725528.8865882941</v>
      </c>
      <c r="F100" s="174">
        <f t="shared" si="11"/>
        <v>-58699.439423629155</v>
      </c>
      <c r="G100" s="163">
        <f t="shared" si="12"/>
        <v>46768.695468487203</v>
      </c>
      <c r="H100" s="163">
        <f t="shared" si="13"/>
        <v>11930.743955141952</v>
      </c>
    </row>
    <row r="101" spans="1:8" ht="16" customHeight="1" x14ac:dyDescent="0.2">
      <c r="B101" s="162">
        <f t="shared" si="8"/>
        <v>91</v>
      </c>
      <c r="C101" s="162">
        <f t="shared" si="7"/>
        <v>2021</v>
      </c>
      <c r="D101" s="160">
        <f t="shared" si="9"/>
        <v>44501</v>
      </c>
      <c r="E101" s="161">
        <f t="shared" si="10"/>
        <v>4678643.2693811357</v>
      </c>
      <c r="F101" s="174">
        <f t="shared" si="11"/>
        <v>-58699.439423629155</v>
      </c>
      <c r="G101" s="163">
        <f t="shared" si="12"/>
        <v>46885.617207158422</v>
      </c>
      <c r="H101" s="163">
        <f t="shared" si="13"/>
        <v>11813.822216470735</v>
      </c>
    </row>
    <row r="102" spans="1:8" ht="16" customHeight="1" thickBot="1" x14ac:dyDescent="0.25">
      <c r="B102" s="162">
        <f t="shared" si="8"/>
        <v>92</v>
      </c>
      <c r="C102" s="162">
        <f t="shared" si="7"/>
        <v>2021</v>
      </c>
      <c r="D102" s="160">
        <f t="shared" si="9"/>
        <v>44531</v>
      </c>
      <c r="E102" s="161">
        <f t="shared" si="10"/>
        <v>4631640.4381309589</v>
      </c>
      <c r="F102" s="174">
        <f t="shared" si="11"/>
        <v>-58699.439423629155</v>
      </c>
      <c r="G102" s="163">
        <f t="shared" si="12"/>
        <v>47002.831250176314</v>
      </c>
      <c r="H102" s="163">
        <f t="shared" si="13"/>
        <v>11696.60817345284</v>
      </c>
    </row>
    <row r="103" spans="1:8" ht="16" customHeight="1" x14ac:dyDescent="0.2">
      <c r="A103" t="s">
        <v>11</v>
      </c>
      <c r="B103" s="894">
        <f t="shared" si="8"/>
        <v>93</v>
      </c>
      <c r="C103" s="895">
        <f t="shared" si="7"/>
        <v>2022</v>
      </c>
      <c r="D103" s="896">
        <f t="shared" si="9"/>
        <v>44562</v>
      </c>
      <c r="E103" s="897">
        <f t="shared" si="10"/>
        <v>4584520.099802657</v>
      </c>
      <c r="F103" s="898">
        <f t="shared" si="11"/>
        <v>-58699.439423629155</v>
      </c>
      <c r="G103" s="899">
        <f t="shared" si="12"/>
        <v>47120.338328301761</v>
      </c>
      <c r="H103" s="900">
        <f t="shared" si="13"/>
        <v>11579.101095327396</v>
      </c>
    </row>
    <row r="104" spans="1:8" ht="16" customHeight="1" x14ac:dyDescent="0.2">
      <c r="A104" t="s">
        <v>12</v>
      </c>
      <c r="B104" s="901">
        <f t="shared" si="8"/>
        <v>94</v>
      </c>
      <c r="C104" s="902">
        <f t="shared" si="7"/>
        <v>2022</v>
      </c>
      <c r="D104" s="903">
        <f t="shared" si="9"/>
        <v>44593</v>
      </c>
      <c r="E104" s="904">
        <f t="shared" si="10"/>
        <v>4537281.9606285347</v>
      </c>
      <c r="F104" s="905">
        <f t="shared" si="11"/>
        <v>-58699.439423629155</v>
      </c>
      <c r="G104" s="906">
        <f t="shared" si="12"/>
        <v>47238.139174122516</v>
      </c>
      <c r="H104" s="907">
        <f t="shared" si="13"/>
        <v>11461.300249506641</v>
      </c>
    </row>
    <row r="105" spans="1:8" ht="16" x14ac:dyDescent="0.2">
      <c r="A105" t="s">
        <v>13</v>
      </c>
      <c r="B105" s="901">
        <f t="shared" si="8"/>
        <v>95</v>
      </c>
      <c r="C105" s="902">
        <f t="shared" si="7"/>
        <v>2022</v>
      </c>
      <c r="D105" s="903">
        <f t="shared" si="9"/>
        <v>44621</v>
      </c>
      <c r="E105" s="904">
        <f t="shared" si="10"/>
        <v>4489925.726106477</v>
      </c>
      <c r="F105" s="905">
        <f t="shared" si="11"/>
        <v>-58699.439423629155</v>
      </c>
      <c r="G105" s="906">
        <f t="shared" si="12"/>
        <v>47356.234522057821</v>
      </c>
      <c r="H105" s="907">
        <f t="shared" si="13"/>
        <v>11343.204901571336</v>
      </c>
    </row>
    <row r="106" spans="1:8" ht="16" x14ac:dyDescent="0.2">
      <c r="A106" t="s">
        <v>14</v>
      </c>
      <c r="B106" s="901">
        <f t="shared" si="8"/>
        <v>96</v>
      </c>
      <c r="C106" s="902">
        <f t="shared" si="7"/>
        <v>2022</v>
      </c>
      <c r="D106" s="903">
        <f t="shared" si="9"/>
        <v>44652</v>
      </c>
      <c r="E106" s="904">
        <f t="shared" si="10"/>
        <v>4442451.1009981139</v>
      </c>
      <c r="F106" s="905">
        <f t="shared" si="11"/>
        <v>-58699.439423629155</v>
      </c>
      <c r="G106" s="906">
        <f t="shared" si="12"/>
        <v>47474.625108362961</v>
      </c>
      <c r="H106" s="907">
        <f t="shared" si="13"/>
        <v>11224.814315266192</v>
      </c>
    </row>
    <row r="107" spans="1:8" ht="16" x14ac:dyDescent="0.2">
      <c r="A107" t="s">
        <v>15</v>
      </c>
      <c r="B107" s="901">
        <f t="shared" si="8"/>
        <v>97</v>
      </c>
      <c r="C107" s="902">
        <f t="shared" si="7"/>
        <v>2022</v>
      </c>
      <c r="D107" s="903">
        <f t="shared" si="9"/>
        <v>44682</v>
      </c>
      <c r="E107" s="904">
        <f t="shared" si="10"/>
        <v>4394857.7893269798</v>
      </c>
      <c r="F107" s="905">
        <f t="shared" si="11"/>
        <v>-58699.439423629155</v>
      </c>
      <c r="G107" s="906">
        <f t="shared" si="12"/>
        <v>47593.311671133873</v>
      </c>
      <c r="H107" s="907">
        <f t="shared" si="13"/>
        <v>11106.127752495284</v>
      </c>
    </row>
    <row r="108" spans="1:8" ht="16" x14ac:dyDescent="0.2">
      <c r="A108" t="s">
        <v>16</v>
      </c>
      <c r="B108" s="901">
        <f t="shared" si="8"/>
        <v>98</v>
      </c>
      <c r="C108" s="902">
        <f t="shared" si="7"/>
        <v>2022</v>
      </c>
      <c r="D108" s="903">
        <f t="shared" si="9"/>
        <v>44713</v>
      </c>
      <c r="E108" s="904">
        <f t="shared" si="10"/>
        <v>4347145.4943766678</v>
      </c>
      <c r="F108" s="905">
        <f t="shared" si="11"/>
        <v>-58699.439423629155</v>
      </c>
      <c r="G108" s="906">
        <f t="shared" si="12"/>
        <v>47712.294950311705</v>
      </c>
      <c r="H108" s="907">
        <f t="shared" si="13"/>
        <v>10987.144473317449</v>
      </c>
    </row>
    <row r="109" spans="1:8" ht="16" x14ac:dyDescent="0.2">
      <c r="A109" t="s">
        <v>17</v>
      </c>
      <c r="B109" s="901">
        <f t="shared" si="8"/>
        <v>99</v>
      </c>
      <c r="C109" s="902">
        <f t="shared" si="7"/>
        <v>2022</v>
      </c>
      <c r="D109" s="903">
        <f t="shared" si="9"/>
        <v>44743</v>
      </c>
      <c r="E109" s="904">
        <f t="shared" si="10"/>
        <v>4299313.9186889799</v>
      </c>
      <c r="F109" s="905">
        <f t="shared" si="11"/>
        <v>-58699.439423629155</v>
      </c>
      <c r="G109" s="906">
        <f t="shared" si="12"/>
        <v>47831.575687687488</v>
      </c>
      <c r="H109" s="907">
        <f t="shared" si="13"/>
        <v>10867.86373594167</v>
      </c>
    </row>
    <row r="110" spans="1:8" ht="16" x14ac:dyDescent="0.2">
      <c r="A110" t="s">
        <v>18</v>
      </c>
      <c r="B110" s="901">
        <f t="shared" si="8"/>
        <v>100</v>
      </c>
      <c r="C110" s="902">
        <f t="shared" si="7"/>
        <v>2022</v>
      </c>
      <c r="D110" s="903">
        <f t="shared" si="9"/>
        <v>44774</v>
      </c>
      <c r="E110" s="904">
        <f t="shared" si="10"/>
        <v>4251362.7640620731</v>
      </c>
      <c r="F110" s="905">
        <f t="shared" si="11"/>
        <v>-58699.439423629155</v>
      </c>
      <c r="G110" s="906">
        <f t="shared" si="12"/>
        <v>47951.154626906704</v>
      </c>
      <c r="H110" s="907">
        <f t="shared" si="13"/>
        <v>10748.28479672245</v>
      </c>
    </row>
    <row r="111" spans="1:8" ht="16" x14ac:dyDescent="0.2">
      <c r="A111" t="s">
        <v>19</v>
      </c>
      <c r="B111" s="901">
        <f t="shared" si="8"/>
        <v>101</v>
      </c>
      <c r="C111" s="902">
        <f t="shared" si="7"/>
        <v>2022</v>
      </c>
      <c r="D111" s="903">
        <f t="shared" si="9"/>
        <v>44805</v>
      </c>
      <c r="E111" s="904">
        <f t="shared" si="10"/>
        <v>4203291.731548599</v>
      </c>
      <c r="F111" s="905">
        <f t="shared" si="11"/>
        <v>-58699.439423629155</v>
      </c>
      <c r="G111" s="906">
        <f t="shared" si="12"/>
        <v>48071.032513473976</v>
      </c>
      <c r="H111" s="907">
        <f t="shared" si="13"/>
        <v>10628.406910155181</v>
      </c>
    </row>
    <row r="112" spans="1:8" ht="16" x14ac:dyDescent="0.2">
      <c r="A112" t="s">
        <v>20</v>
      </c>
      <c r="B112" s="901">
        <f t="shared" si="8"/>
        <v>102</v>
      </c>
      <c r="C112" s="902">
        <f t="shared" si="7"/>
        <v>2022</v>
      </c>
      <c r="D112" s="903">
        <f t="shared" si="9"/>
        <v>44835</v>
      </c>
      <c r="E112" s="904">
        <f t="shared" si="10"/>
        <v>4155100.5214538411</v>
      </c>
      <c r="F112" s="905">
        <f t="shared" si="11"/>
        <v>-58699.439423629155</v>
      </c>
      <c r="G112" s="906">
        <f t="shared" si="12"/>
        <v>48191.210094757655</v>
      </c>
      <c r="H112" s="907">
        <f t="shared" si="13"/>
        <v>10508.229328871497</v>
      </c>
    </row>
    <row r="113" spans="1:8" ht="16" x14ac:dyDescent="0.2">
      <c r="A113" t="s">
        <v>21</v>
      </c>
      <c r="B113" s="901">
        <f t="shared" si="8"/>
        <v>103</v>
      </c>
      <c r="C113" s="902">
        <f t="shared" si="7"/>
        <v>2022</v>
      </c>
      <c r="D113" s="903">
        <f t="shared" si="9"/>
        <v>44866</v>
      </c>
      <c r="E113" s="904">
        <f t="shared" si="10"/>
        <v>4106788.8333338466</v>
      </c>
      <c r="F113" s="905">
        <f t="shared" si="11"/>
        <v>-58699.439423629155</v>
      </c>
      <c r="G113" s="906">
        <f t="shared" si="12"/>
        <v>48311.688119994549</v>
      </c>
      <c r="H113" s="907">
        <f t="shared" si="13"/>
        <v>10387.751303634603</v>
      </c>
    </row>
    <row r="114" spans="1:8" ht="18" customHeight="1" thickBot="1" x14ac:dyDescent="0.25">
      <c r="A114" t="s">
        <v>22</v>
      </c>
      <c r="B114" s="908">
        <f t="shared" si="8"/>
        <v>104</v>
      </c>
      <c r="C114" s="909">
        <f t="shared" si="7"/>
        <v>2022</v>
      </c>
      <c r="D114" s="910">
        <f t="shared" si="9"/>
        <v>44896</v>
      </c>
      <c r="E114" s="911">
        <f t="shared" si="10"/>
        <v>4058356.3659935519</v>
      </c>
      <c r="F114" s="912">
        <f t="shared" si="11"/>
        <v>-58699.439423629155</v>
      </c>
      <c r="G114" s="913">
        <f t="shared" si="12"/>
        <v>48432.467340294541</v>
      </c>
      <c r="H114" s="914">
        <f t="shared" si="13"/>
        <v>10266.972083334616</v>
      </c>
    </row>
    <row r="115" spans="1:8" ht="18" customHeight="1" x14ac:dyDescent="0.2">
      <c r="B115" s="162">
        <f t="shared" si="8"/>
        <v>105</v>
      </c>
      <c r="C115" s="162">
        <f t="shared" si="7"/>
        <v>2023</v>
      </c>
      <c r="D115" s="160">
        <f t="shared" si="9"/>
        <v>44927</v>
      </c>
      <c r="E115" s="161">
        <f t="shared" si="10"/>
        <v>4009802.8174849064</v>
      </c>
      <c r="F115" s="174">
        <f t="shared" si="11"/>
        <v>-58699.439423629155</v>
      </c>
      <c r="G115" s="163">
        <f t="shared" si="12"/>
        <v>48553.548508645275</v>
      </c>
      <c r="H115" s="163">
        <f t="shared" si="13"/>
        <v>10145.890914983878</v>
      </c>
    </row>
    <row r="116" spans="1:8" ht="18" customHeight="1" x14ac:dyDescent="0.2">
      <c r="B116" s="162">
        <f t="shared" si="8"/>
        <v>106</v>
      </c>
      <c r="C116" s="162">
        <f t="shared" si="7"/>
        <v>2023</v>
      </c>
      <c r="D116" s="160">
        <f t="shared" si="9"/>
        <v>44958</v>
      </c>
      <c r="E116" s="161">
        <f t="shared" si="10"/>
        <v>3961127.8851049896</v>
      </c>
      <c r="F116" s="174">
        <f t="shared" si="11"/>
        <v>-58699.439423629155</v>
      </c>
      <c r="G116" s="163">
        <f t="shared" si="12"/>
        <v>48674.932379916892</v>
      </c>
      <c r="H116" s="163">
        <f t="shared" si="13"/>
        <v>10024.507043712265</v>
      </c>
    </row>
    <row r="117" spans="1:8" ht="18" customHeight="1" x14ac:dyDescent="0.2">
      <c r="B117" s="162">
        <f t="shared" si="8"/>
        <v>107</v>
      </c>
      <c r="C117" s="162">
        <f t="shared" si="7"/>
        <v>2023</v>
      </c>
      <c r="D117" s="160">
        <f t="shared" si="9"/>
        <v>44986</v>
      </c>
      <c r="E117" s="161">
        <f t="shared" si="10"/>
        <v>3912331.2653941228</v>
      </c>
      <c r="F117" s="174">
        <f t="shared" si="11"/>
        <v>-58699.439423629155</v>
      </c>
      <c r="G117" s="163">
        <f t="shared" si="12"/>
        <v>48796.619710866682</v>
      </c>
      <c r="H117" s="163">
        <f t="shared" si="13"/>
        <v>9902.8197127624735</v>
      </c>
    </row>
    <row r="118" spans="1:8" ht="18" customHeight="1" x14ac:dyDescent="0.2">
      <c r="B118" s="162">
        <f t="shared" si="8"/>
        <v>108</v>
      </c>
      <c r="C118" s="162">
        <f t="shared" si="7"/>
        <v>2023</v>
      </c>
      <c r="D118" s="160">
        <f t="shared" si="9"/>
        <v>45017</v>
      </c>
      <c r="E118" s="161">
        <f t="shared" si="10"/>
        <v>3863412.6541339788</v>
      </c>
      <c r="F118" s="174">
        <f t="shared" si="11"/>
        <v>-58699.439423629155</v>
      </c>
      <c r="G118" s="163">
        <f t="shared" si="12"/>
        <v>48918.611260143851</v>
      </c>
      <c r="H118" s="163">
        <f t="shared" si="13"/>
        <v>9780.8281634853065</v>
      </c>
    </row>
    <row r="119" spans="1:8" ht="18" customHeight="1" x14ac:dyDescent="0.2">
      <c r="B119" s="162">
        <f t="shared" si="8"/>
        <v>109</v>
      </c>
      <c r="C119" s="162">
        <f t="shared" si="7"/>
        <v>2023</v>
      </c>
      <c r="D119" s="160">
        <f t="shared" si="9"/>
        <v>45047</v>
      </c>
      <c r="E119" s="161">
        <f t="shared" si="10"/>
        <v>3814371.7463456844</v>
      </c>
      <c r="F119" s="174">
        <f t="shared" si="11"/>
        <v>-58699.439423629155</v>
      </c>
      <c r="G119" s="163">
        <f t="shared" si="12"/>
        <v>49040.907788294207</v>
      </c>
      <c r="H119" s="163">
        <f t="shared" si="13"/>
        <v>9658.5316353349463</v>
      </c>
    </row>
    <row r="120" spans="1:8" ht="18" customHeight="1" x14ac:dyDescent="0.2">
      <c r="B120" s="162">
        <f t="shared" si="8"/>
        <v>110</v>
      </c>
      <c r="C120" s="162">
        <f t="shared" si="7"/>
        <v>2023</v>
      </c>
      <c r="D120" s="160">
        <f t="shared" si="9"/>
        <v>45078</v>
      </c>
      <c r="E120" s="161">
        <f t="shared" si="10"/>
        <v>3765208.2362879193</v>
      </c>
      <c r="F120" s="174">
        <f t="shared" si="11"/>
        <v>-58699.439423629155</v>
      </c>
      <c r="G120" s="163">
        <f t="shared" si="12"/>
        <v>49163.510057764943</v>
      </c>
      <c r="H120" s="163">
        <f t="shared" si="13"/>
        <v>9535.9293658642109</v>
      </c>
    </row>
    <row r="121" spans="1:8" ht="18" customHeight="1" x14ac:dyDescent="0.2">
      <c r="B121" s="162">
        <f t="shared" si="8"/>
        <v>111</v>
      </c>
      <c r="C121" s="162">
        <f t="shared" si="7"/>
        <v>2023</v>
      </c>
      <c r="D121" s="160">
        <f t="shared" si="9"/>
        <v>45108</v>
      </c>
      <c r="E121" s="161">
        <f t="shared" si="10"/>
        <v>3715921.81745501</v>
      </c>
      <c r="F121" s="174">
        <f t="shared" si="11"/>
        <v>-58699.439423629155</v>
      </c>
      <c r="G121" s="163">
        <f t="shared" si="12"/>
        <v>49286.418832909359</v>
      </c>
      <c r="H121" s="163">
        <f t="shared" si="13"/>
        <v>9413.0205907197978</v>
      </c>
    </row>
    <row r="122" spans="1:8" ht="18" customHeight="1" x14ac:dyDescent="0.2">
      <c r="B122" s="162">
        <f t="shared" si="8"/>
        <v>112</v>
      </c>
      <c r="C122" s="162">
        <f t="shared" si="7"/>
        <v>2023</v>
      </c>
      <c r="D122" s="160">
        <f t="shared" si="9"/>
        <v>45139</v>
      </c>
      <c r="E122" s="161">
        <f t="shared" si="10"/>
        <v>3666512.1825750186</v>
      </c>
      <c r="F122" s="174">
        <f t="shared" si="11"/>
        <v>-58699.439423629155</v>
      </c>
      <c r="G122" s="163">
        <f t="shared" si="12"/>
        <v>49409.63487999163</v>
      </c>
      <c r="H122" s="163">
        <f t="shared" si="13"/>
        <v>9289.8045436375251</v>
      </c>
    </row>
    <row r="123" spans="1:8" ht="18" customHeight="1" x14ac:dyDescent="0.2">
      <c r="B123" s="162">
        <f t="shared" si="8"/>
        <v>113</v>
      </c>
      <c r="C123" s="162">
        <f t="shared" si="7"/>
        <v>2023</v>
      </c>
      <c r="D123" s="160">
        <f t="shared" si="9"/>
        <v>45170</v>
      </c>
      <c r="E123" s="161">
        <f t="shared" si="10"/>
        <v>3616979.0236078268</v>
      </c>
      <c r="F123" s="174">
        <f t="shared" si="11"/>
        <v>-58699.439423629155</v>
      </c>
      <c r="G123" s="163">
        <f t="shared" si="12"/>
        <v>49533.158967191608</v>
      </c>
      <c r="H123" s="163">
        <f t="shared" si="13"/>
        <v>9166.2804564375456</v>
      </c>
    </row>
    <row r="124" spans="1:8" ht="18" customHeight="1" x14ac:dyDescent="0.2">
      <c r="B124" s="162">
        <f t="shared" si="8"/>
        <v>114</v>
      </c>
      <c r="C124" s="162">
        <f t="shared" si="7"/>
        <v>2023</v>
      </c>
      <c r="D124" s="160">
        <f t="shared" si="9"/>
        <v>45200</v>
      </c>
      <c r="E124" s="161">
        <f t="shared" si="10"/>
        <v>3567322.0317432173</v>
      </c>
      <c r="F124" s="174">
        <f t="shared" si="11"/>
        <v>-58699.439423629155</v>
      </c>
      <c r="G124" s="163">
        <f t="shared" si="12"/>
        <v>49656.99186460959</v>
      </c>
      <c r="H124" s="163">
        <f t="shared" si="13"/>
        <v>9042.4475590195671</v>
      </c>
    </row>
    <row r="125" spans="1:8" ht="18" customHeight="1" x14ac:dyDescent="0.2">
      <c r="B125" s="162">
        <f t="shared" si="8"/>
        <v>115</v>
      </c>
      <c r="C125" s="162">
        <f t="shared" si="7"/>
        <v>2023</v>
      </c>
      <c r="D125" s="160">
        <f t="shared" si="9"/>
        <v>45231</v>
      </c>
      <c r="E125" s="161">
        <f t="shared" si="10"/>
        <v>3517540.8973989463</v>
      </c>
      <c r="F125" s="174">
        <f t="shared" si="11"/>
        <v>-58699.439423629155</v>
      </c>
      <c r="G125" s="163">
        <f t="shared" si="12"/>
        <v>49781.134344271115</v>
      </c>
      <c r="H125" s="163">
        <f t="shared" si="13"/>
        <v>8918.3050793580423</v>
      </c>
    </row>
    <row r="126" spans="1:8" ht="18" customHeight="1" x14ac:dyDescent="0.2">
      <c r="B126" s="162">
        <f t="shared" si="8"/>
        <v>116</v>
      </c>
      <c r="C126" s="162">
        <f t="shared" si="7"/>
        <v>2023</v>
      </c>
      <c r="D126" s="160">
        <f t="shared" si="9"/>
        <v>45261</v>
      </c>
      <c r="E126" s="161">
        <f t="shared" si="10"/>
        <v>3467635.3102188148</v>
      </c>
      <c r="F126" s="174">
        <f t="shared" si="11"/>
        <v>-58699.439423629155</v>
      </c>
      <c r="G126" s="163">
        <f t="shared" si="12"/>
        <v>49905.587180131792</v>
      </c>
      <c r="H126" s="163">
        <f t="shared" si="13"/>
        <v>8793.8522434973656</v>
      </c>
    </row>
    <row r="127" spans="1:8" ht="18" customHeight="1" x14ac:dyDescent="0.2">
      <c r="B127" s="162">
        <f t="shared" si="8"/>
        <v>117</v>
      </c>
      <c r="C127" s="162">
        <f t="shared" si="7"/>
        <v>2024</v>
      </c>
      <c r="D127" s="160">
        <f t="shared" si="9"/>
        <v>45292</v>
      </c>
      <c r="E127" s="161">
        <f t="shared" si="10"/>
        <v>3417604.9590707328</v>
      </c>
      <c r="F127" s="174">
        <f t="shared" si="11"/>
        <v>-58699.439423629155</v>
      </c>
      <c r="G127" s="163">
        <f t="shared" si="12"/>
        <v>50030.351148082118</v>
      </c>
      <c r="H127" s="163">
        <f t="shared" si="13"/>
        <v>8669.0882755470357</v>
      </c>
    </row>
    <row r="128" spans="1:8" ht="18" customHeight="1" x14ac:dyDescent="0.2">
      <c r="B128" s="162">
        <f t="shared" si="8"/>
        <v>118</v>
      </c>
      <c r="C128" s="162">
        <f t="shared" si="7"/>
        <v>2024</v>
      </c>
      <c r="D128" s="160">
        <f t="shared" si="9"/>
        <v>45323</v>
      </c>
      <c r="E128" s="161">
        <f t="shared" si="10"/>
        <v>3367449.5320447804</v>
      </c>
      <c r="F128" s="174">
        <f t="shared" si="11"/>
        <v>-58699.439423629155</v>
      </c>
      <c r="G128" s="163">
        <f t="shared" si="12"/>
        <v>50155.427025952325</v>
      </c>
      <c r="H128" s="163">
        <f t="shared" si="13"/>
        <v>8544.0123976768318</v>
      </c>
    </row>
    <row r="129" spans="2:8" ht="18" customHeight="1" x14ac:dyDescent="0.2">
      <c r="B129" s="162">
        <f t="shared" si="8"/>
        <v>119</v>
      </c>
      <c r="C129" s="162">
        <f t="shared" si="7"/>
        <v>2024</v>
      </c>
      <c r="D129" s="160">
        <f t="shared" si="9"/>
        <v>45352</v>
      </c>
      <c r="E129" s="161">
        <f t="shared" si="10"/>
        <v>3317168.7164512631</v>
      </c>
      <c r="F129" s="174">
        <f t="shared" si="11"/>
        <v>-58699.439423629155</v>
      </c>
      <c r="G129" s="163">
        <f t="shared" si="12"/>
        <v>50280.815593517204</v>
      </c>
      <c r="H129" s="163">
        <f t="shared" si="13"/>
        <v>8418.6238301119502</v>
      </c>
    </row>
    <row r="130" spans="2:8" ht="18" customHeight="1" x14ac:dyDescent="0.2">
      <c r="B130" s="162">
        <f t="shared" si="8"/>
        <v>120</v>
      </c>
      <c r="C130" s="162">
        <f t="shared" si="7"/>
        <v>2024</v>
      </c>
      <c r="D130" s="160">
        <f t="shared" si="9"/>
        <v>45383</v>
      </c>
      <c r="E130" s="161">
        <f t="shared" si="10"/>
        <v>3266762.1988187619</v>
      </c>
      <c r="F130" s="174">
        <f t="shared" si="11"/>
        <v>-58699.439423629155</v>
      </c>
      <c r="G130" s="163">
        <f t="shared" si="12"/>
        <v>50406.517632500996</v>
      </c>
      <c r="H130" s="163">
        <f t="shared" si="13"/>
        <v>8292.9217911281576</v>
      </c>
    </row>
    <row r="131" spans="2:8" ht="18" customHeight="1" x14ac:dyDescent="0.2">
      <c r="B131" s="162">
        <f t="shared" si="8"/>
        <v>121</v>
      </c>
      <c r="C131" s="162">
        <f t="shared" si="7"/>
        <v>2024</v>
      </c>
      <c r="D131" s="160">
        <f t="shared" si="9"/>
        <v>45413</v>
      </c>
      <c r="E131" s="161">
        <f t="shared" si="10"/>
        <v>3216229.6648921794</v>
      </c>
      <c r="F131" s="174">
        <f t="shared" si="11"/>
        <v>-58699.439423629155</v>
      </c>
      <c r="G131" s="163">
        <f t="shared" si="12"/>
        <v>50532.533926582255</v>
      </c>
      <c r="H131" s="163">
        <f t="shared" si="13"/>
        <v>8166.9054970469042</v>
      </c>
    </row>
    <row r="132" spans="2:8" ht="18" customHeight="1" x14ac:dyDescent="0.2">
      <c r="B132" s="162">
        <f t="shared" si="8"/>
        <v>122</v>
      </c>
      <c r="C132" s="162">
        <f t="shared" si="7"/>
        <v>2024</v>
      </c>
      <c r="D132" s="160">
        <f t="shared" si="9"/>
        <v>45444</v>
      </c>
      <c r="E132" s="161">
        <f t="shared" si="10"/>
        <v>3165570.7996307807</v>
      </c>
      <c r="F132" s="174">
        <f t="shared" si="11"/>
        <v>-58699.439423629155</v>
      </c>
      <c r="G132" s="163">
        <f t="shared" si="12"/>
        <v>50658.865261398707</v>
      </c>
      <c r="H132" s="163">
        <f t="shared" si="13"/>
        <v>8040.5741622304486</v>
      </c>
    </row>
    <row r="133" spans="2:8" ht="18" customHeight="1" x14ac:dyDescent="0.2">
      <c r="B133" s="162">
        <f t="shared" si="8"/>
        <v>123</v>
      </c>
      <c r="C133" s="162">
        <f t="shared" si="7"/>
        <v>2024</v>
      </c>
      <c r="D133" s="160">
        <f t="shared" si="9"/>
        <v>45474</v>
      </c>
      <c r="E133" s="161">
        <f t="shared" si="10"/>
        <v>3114785.2872062284</v>
      </c>
      <c r="F133" s="174">
        <f t="shared" si="11"/>
        <v>-58699.439423629155</v>
      </c>
      <c r="G133" s="163">
        <f t="shared" si="12"/>
        <v>50785.512424552202</v>
      </c>
      <c r="H133" s="163">
        <f t="shared" si="13"/>
        <v>7913.9269990769508</v>
      </c>
    </row>
    <row r="134" spans="2:8" ht="18" customHeight="1" x14ac:dyDescent="0.2">
      <c r="B134" s="162">
        <f t="shared" si="8"/>
        <v>124</v>
      </c>
      <c r="C134" s="162">
        <f t="shared" si="7"/>
        <v>2024</v>
      </c>
      <c r="D134" s="160">
        <f t="shared" si="9"/>
        <v>45505</v>
      </c>
      <c r="E134" s="161">
        <f t="shared" si="10"/>
        <v>3063872.8110006149</v>
      </c>
      <c r="F134" s="174">
        <f t="shared" si="11"/>
        <v>-58699.439423629155</v>
      </c>
      <c r="G134" s="163">
        <f t="shared" si="12"/>
        <v>50912.476205613588</v>
      </c>
      <c r="H134" s="163">
        <f t="shared" si="13"/>
        <v>7786.9632180155704</v>
      </c>
    </row>
    <row r="135" spans="2:8" ht="18" customHeight="1" x14ac:dyDescent="0.2">
      <c r="B135" s="162">
        <f t="shared" si="8"/>
        <v>125</v>
      </c>
      <c r="C135" s="162">
        <f t="shared" si="7"/>
        <v>2024</v>
      </c>
      <c r="D135" s="160">
        <f t="shared" si="9"/>
        <v>45536</v>
      </c>
      <c r="E135" s="161">
        <f t="shared" si="10"/>
        <v>3012833.0536044873</v>
      </c>
      <c r="F135" s="174">
        <f t="shared" si="11"/>
        <v>-58699.439423629155</v>
      </c>
      <c r="G135" s="163">
        <f t="shared" si="12"/>
        <v>51039.757396127621</v>
      </c>
      <c r="H135" s="163">
        <f t="shared" si="13"/>
        <v>7659.682027501537</v>
      </c>
    </row>
    <row r="136" spans="2:8" ht="18" customHeight="1" x14ac:dyDescent="0.2">
      <c r="B136" s="162">
        <f t="shared" si="8"/>
        <v>126</v>
      </c>
      <c r="C136" s="162">
        <f t="shared" si="7"/>
        <v>2024</v>
      </c>
      <c r="D136" s="160">
        <f t="shared" si="9"/>
        <v>45566</v>
      </c>
      <c r="E136" s="161">
        <f t="shared" si="10"/>
        <v>2961665.6968148695</v>
      </c>
      <c r="F136" s="174">
        <f t="shared" si="11"/>
        <v>-58699.439423629155</v>
      </c>
      <c r="G136" s="163">
        <f t="shared" si="12"/>
        <v>51167.356789617937</v>
      </c>
      <c r="H136" s="163">
        <f t="shared" si="13"/>
        <v>7532.082634011218</v>
      </c>
    </row>
    <row r="137" spans="2:8" ht="18" customHeight="1" x14ac:dyDescent="0.2">
      <c r="B137" s="162">
        <f t="shared" si="8"/>
        <v>127</v>
      </c>
      <c r="C137" s="162">
        <f t="shared" si="7"/>
        <v>2024</v>
      </c>
      <c r="D137" s="160">
        <f t="shared" si="9"/>
        <v>45597</v>
      </c>
      <c r="E137" s="161">
        <f t="shared" si="10"/>
        <v>2910370.4216332776</v>
      </c>
      <c r="F137" s="174">
        <f t="shared" si="11"/>
        <v>-58699.439423629155</v>
      </c>
      <c r="G137" s="163">
        <f t="shared" si="12"/>
        <v>51295.275181591984</v>
      </c>
      <c r="H137" s="163">
        <f t="shared" si="13"/>
        <v>7404.1642420371727</v>
      </c>
    </row>
    <row r="138" spans="2:8" ht="18" customHeight="1" x14ac:dyDescent="0.2">
      <c r="B138" s="162">
        <f t="shared" si="8"/>
        <v>128</v>
      </c>
      <c r="C138" s="162">
        <f t="shared" si="7"/>
        <v>2024</v>
      </c>
      <c r="D138" s="160">
        <f t="shared" si="9"/>
        <v>45627</v>
      </c>
      <c r="E138" s="161">
        <f t="shared" si="10"/>
        <v>2858946.9082637317</v>
      </c>
      <c r="F138" s="174">
        <f t="shared" si="11"/>
        <v>-58699.439423629155</v>
      </c>
      <c r="G138" s="163">
        <f t="shared" si="12"/>
        <v>51423.513369545959</v>
      </c>
      <c r="H138" s="163">
        <f t="shared" si="13"/>
        <v>7275.9260540831938</v>
      </c>
    </row>
    <row r="139" spans="2:8" ht="18" customHeight="1" x14ac:dyDescent="0.2">
      <c r="B139" s="162">
        <f t="shared" si="8"/>
        <v>129</v>
      </c>
      <c r="C139" s="162">
        <f t="shared" ref="C139:C190" si="14">IF(B139="-","-",YEAR(D139))</f>
        <v>2025</v>
      </c>
      <c r="D139" s="160">
        <f t="shared" si="9"/>
        <v>45658</v>
      </c>
      <c r="E139" s="161">
        <f t="shared" si="10"/>
        <v>2807394.8361107619</v>
      </c>
      <c r="F139" s="174">
        <f t="shared" si="11"/>
        <v>-58699.439423629155</v>
      </c>
      <c r="G139" s="163">
        <f t="shared" si="12"/>
        <v>51552.072152969828</v>
      </c>
      <c r="H139" s="163">
        <f t="shared" si="13"/>
        <v>7147.3672706593288</v>
      </c>
    </row>
    <row r="140" spans="2:8" ht="18" customHeight="1" x14ac:dyDescent="0.2">
      <c r="B140" s="162">
        <f t="shared" ref="B140:B190" si="15">IFERROR(IF((B139+1)&gt;$C$5,"-",B139+1),"-")</f>
        <v>130</v>
      </c>
      <c r="C140" s="162">
        <f t="shared" si="14"/>
        <v>2025</v>
      </c>
      <c r="D140" s="160">
        <f t="shared" ref="D140:D190" si="16">IF(B140="-","-",EOMONTH(D139,0)+1)</f>
        <v>45689</v>
      </c>
      <c r="E140" s="161">
        <f t="shared" ref="E140:E190" si="17">E139-G140</f>
        <v>2755713.8837774098</v>
      </c>
      <c r="F140" s="174">
        <f t="shared" ref="F140:F190" si="18">+$C$7</f>
        <v>-58699.439423629155</v>
      </c>
      <c r="G140" s="163">
        <f t="shared" ref="G140:G190" si="19">-F140-H140</f>
        <v>51680.952333352252</v>
      </c>
      <c r="H140" s="163">
        <f t="shared" ref="H140:H190" si="20">E139*$C$6/12</f>
        <v>7018.4870902769044</v>
      </c>
    </row>
    <row r="141" spans="2:8" ht="18" customHeight="1" x14ac:dyDescent="0.2">
      <c r="B141" s="162">
        <f t="shared" si="15"/>
        <v>131</v>
      </c>
      <c r="C141" s="162">
        <f t="shared" si="14"/>
        <v>2025</v>
      </c>
      <c r="D141" s="160">
        <f t="shared" si="16"/>
        <v>45717</v>
      </c>
      <c r="E141" s="161">
        <f t="shared" si="17"/>
        <v>2703903.729063224</v>
      </c>
      <c r="F141" s="174">
        <f t="shared" si="18"/>
        <v>-58699.439423629155</v>
      </c>
      <c r="G141" s="163">
        <f t="shared" si="19"/>
        <v>51810.154714185628</v>
      </c>
      <c r="H141" s="163">
        <f t="shared" si="20"/>
        <v>6889.2847094435238</v>
      </c>
    </row>
    <row r="142" spans="2:8" ht="18" customHeight="1" x14ac:dyDescent="0.2">
      <c r="B142" s="162">
        <f t="shared" si="15"/>
        <v>132</v>
      </c>
      <c r="C142" s="162">
        <f t="shared" si="14"/>
        <v>2025</v>
      </c>
      <c r="D142" s="160">
        <f t="shared" si="16"/>
        <v>45748</v>
      </c>
      <c r="E142" s="161">
        <f t="shared" si="17"/>
        <v>2651964.0489622531</v>
      </c>
      <c r="F142" s="174">
        <f t="shared" si="18"/>
        <v>-58699.439423629155</v>
      </c>
      <c r="G142" s="163">
        <f t="shared" si="19"/>
        <v>51939.680100971098</v>
      </c>
      <c r="H142" s="163">
        <f t="shared" si="20"/>
        <v>6759.7593226580602</v>
      </c>
    </row>
    <row r="143" spans="2:8" ht="18" customHeight="1" x14ac:dyDescent="0.2">
      <c r="B143" s="162">
        <f t="shared" si="15"/>
        <v>133</v>
      </c>
      <c r="C143" s="162">
        <f t="shared" si="14"/>
        <v>2025</v>
      </c>
      <c r="D143" s="160">
        <f t="shared" si="16"/>
        <v>45778</v>
      </c>
      <c r="E143" s="161">
        <f t="shared" si="17"/>
        <v>2599894.5196610298</v>
      </c>
      <c r="F143" s="174">
        <f t="shared" si="18"/>
        <v>-58699.439423629155</v>
      </c>
      <c r="G143" s="163">
        <f t="shared" si="19"/>
        <v>52069.52930122352</v>
      </c>
      <c r="H143" s="163">
        <f t="shared" si="20"/>
        <v>6629.9101224056321</v>
      </c>
    </row>
    <row r="144" spans="2:8" ht="18" customHeight="1" x14ac:dyDescent="0.2">
      <c r="B144" s="162">
        <f t="shared" si="15"/>
        <v>134</v>
      </c>
      <c r="C144" s="162">
        <f t="shared" si="14"/>
        <v>2025</v>
      </c>
      <c r="D144" s="160">
        <f t="shared" si="16"/>
        <v>45809</v>
      </c>
      <c r="E144" s="161">
        <f t="shared" si="17"/>
        <v>2547694.8165365532</v>
      </c>
      <c r="F144" s="174">
        <f t="shared" si="18"/>
        <v>-58699.439423629155</v>
      </c>
      <c r="G144" s="163">
        <f t="shared" si="19"/>
        <v>52199.703124476582</v>
      </c>
      <c r="H144" s="163">
        <f t="shared" si="20"/>
        <v>6499.7362991525742</v>
      </c>
    </row>
    <row r="145" spans="2:8" ht="18" customHeight="1" x14ac:dyDescent="0.2">
      <c r="B145" s="162">
        <f t="shared" si="15"/>
        <v>135</v>
      </c>
      <c r="C145" s="162">
        <f t="shared" si="14"/>
        <v>2025</v>
      </c>
      <c r="D145" s="160">
        <f t="shared" si="16"/>
        <v>45839</v>
      </c>
      <c r="E145" s="161">
        <f t="shared" si="17"/>
        <v>2495364.6141542653</v>
      </c>
      <c r="F145" s="174">
        <f t="shared" si="18"/>
        <v>-58699.439423629155</v>
      </c>
      <c r="G145" s="163">
        <f t="shared" si="19"/>
        <v>52330.202382287775</v>
      </c>
      <c r="H145" s="163">
        <f t="shared" si="20"/>
        <v>6369.2370413413819</v>
      </c>
    </row>
    <row r="146" spans="2:8" ht="18" customHeight="1" x14ac:dyDescent="0.2">
      <c r="B146" s="162">
        <f t="shared" si="15"/>
        <v>136</v>
      </c>
      <c r="C146" s="162">
        <f t="shared" si="14"/>
        <v>2025</v>
      </c>
      <c r="D146" s="160">
        <f t="shared" si="16"/>
        <v>45870</v>
      </c>
      <c r="E146" s="161">
        <f t="shared" si="17"/>
        <v>2442903.5862660217</v>
      </c>
      <c r="F146" s="174">
        <f t="shared" si="18"/>
        <v>-58699.439423629155</v>
      </c>
      <c r="G146" s="163">
        <f t="shared" si="19"/>
        <v>52461.027888243494</v>
      </c>
      <c r="H146" s="163">
        <f t="shared" si="20"/>
        <v>6238.4115353856623</v>
      </c>
    </row>
    <row r="147" spans="2:8" ht="18" customHeight="1" x14ac:dyDescent="0.2">
      <c r="B147" s="162">
        <f t="shared" si="15"/>
        <v>137</v>
      </c>
      <c r="C147" s="162">
        <f t="shared" si="14"/>
        <v>2025</v>
      </c>
      <c r="D147" s="160">
        <f t="shared" si="16"/>
        <v>45901</v>
      </c>
      <c r="E147" s="161">
        <f t="shared" si="17"/>
        <v>2390311.4058080576</v>
      </c>
      <c r="F147" s="174">
        <f t="shared" si="18"/>
        <v>-58699.439423629155</v>
      </c>
      <c r="G147" s="163">
        <f t="shared" si="19"/>
        <v>52592.180457964103</v>
      </c>
      <c r="H147" s="163">
        <f t="shared" si="20"/>
        <v>6107.2589656650534</v>
      </c>
    </row>
    <row r="148" spans="2:8" ht="18" customHeight="1" x14ac:dyDescent="0.2">
      <c r="B148" s="162">
        <f t="shared" si="15"/>
        <v>138</v>
      </c>
      <c r="C148" s="162">
        <f t="shared" si="14"/>
        <v>2025</v>
      </c>
      <c r="D148" s="160">
        <f t="shared" si="16"/>
        <v>45931</v>
      </c>
      <c r="E148" s="161">
        <f t="shared" si="17"/>
        <v>2337587.7448989488</v>
      </c>
      <c r="F148" s="174">
        <f t="shared" si="18"/>
        <v>-58699.439423629155</v>
      </c>
      <c r="G148" s="163">
        <f t="shared" si="19"/>
        <v>52723.660909109014</v>
      </c>
      <c r="H148" s="163">
        <f t="shared" si="20"/>
        <v>5975.7785145201442</v>
      </c>
    </row>
    <row r="149" spans="2:8" ht="18" customHeight="1" x14ac:dyDescent="0.2">
      <c r="B149" s="162">
        <f t="shared" si="15"/>
        <v>139</v>
      </c>
      <c r="C149" s="162">
        <f t="shared" si="14"/>
        <v>2025</v>
      </c>
      <c r="D149" s="160">
        <f t="shared" si="16"/>
        <v>45962</v>
      </c>
      <c r="E149" s="161">
        <f t="shared" si="17"/>
        <v>2284732.274837567</v>
      </c>
      <c r="F149" s="174">
        <f t="shared" si="18"/>
        <v>-58699.439423629155</v>
      </c>
      <c r="G149" s="163">
        <f t="shared" si="19"/>
        <v>52855.470061381784</v>
      </c>
      <c r="H149" s="163">
        <f t="shared" si="20"/>
        <v>5843.9693622473715</v>
      </c>
    </row>
    <row r="150" spans="2:8" ht="18" customHeight="1" x14ac:dyDescent="0.2">
      <c r="B150" s="162">
        <f t="shared" si="15"/>
        <v>140</v>
      </c>
      <c r="C150" s="162">
        <f t="shared" si="14"/>
        <v>2025</v>
      </c>
      <c r="D150" s="160">
        <f t="shared" si="16"/>
        <v>45992</v>
      </c>
      <c r="E150" s="161">
        <f t="shared" si="17"/>
        <v>2231744.6661010319</v>
      </c>
      <c r="F150" s="174">
        <f t="shared" si="18"/>
        <v>-58699.439423629155</v>
      </c>
      <c r="G150" s="163">
        <f t="shared" si="19"/>
        <v>52987.608736535236</v>
      </c>
      <c r="H150" s="163">
        <f t="shared" si="20"/>
        <v>5711.8306870939168</v>
      </c>
    </row>
    <row r="151" spans="2:8" ht="18" customHeight="1" x14ac:dyDescent="0.2">
      <c r="B151" s="162">
        <f t="shared" si="15"/>
        <v>141</v>
      </c>
      <c r="C151" s="162">
        <f t="shared" si="14"/>
        <v>2026</v>
      </c>
      <c r="D151" s="160">
        <f t="shared" si="16"/>
        <v>46023</v>
      </c>
      <c r="E151" s="161">
        <f t="shared" si="17"/>
        <v>2178624.5883426555</v>
      </c>
      <c r="F151" s="174">
        <f t="shared" si="18"/>
        <v>-58699.439423629155</v>
      </c>
      <c r="G151" s="163">
        <f t="shared" si="19"/>
        <v>53120.077758376574</v>
      </c>
      <c r="H151" s="163">
        <f t="shared" si="20"/>
        <v>5579.3616652525789</v>
      </c>
    </row>
    <row r="152" spans="2:8" ht="18" customHeight="1" x14ac:dyDescent="0.2">
      <c r="B152" s="162">
        <f t="shared" si="15"/>
        <v>142</v>
      </c>
      <c r="C152" s="162">
        <f t="shared" si="14"/>
        <v>2026</v>
      </c>
      <c r="D152" s="160">
        <f t="shared" si="16"/>
        <v>46054</v>
      </c>
      <c r="E152" s="161">
        <f t="shared" si="17"/>
        <v>2125371.7103898828</v>
      </c>
      <c r="F152" s="174">
        <f t="shared" si="18"/>
        <v>-58699.439423629155</v>
      </c>
      <c r="G152" s="163">
        <f t="shared" si="19"/>
        <v>53252.87795277252</v>
      </c>
      <c r="H152" s="163">
        <f t="shared" si="20"/>
        <v>5446.5614708566382</v>
      </c>
    </row>
    <row r="153" spans="2:8" ht="18" customHeight="1" x14ac:dyDescent="0.2">
      <c r="B153" s="162">
        <f t="shared" si="15"/>
        <v>143</v>
      </c>
      <c r="C153" s="162">
        <f t="shared" si="14"/>
        <v>2026</v>
      </c>
      <c r="D153" s="160">
        <f t="shared" si="16"/>
        <v>46082</v>
      </c>
      <c r="E153" s="161">
        <f t="shared" si="17"/>
        <v>2071985.7002422283</v>
      </c>
      <c r="F153" s="174">
        <f t="shared" si="18"/>
        <v>-58699.439423629155</v>
      </c>
      <c r="G153" s="163">
        <f t="shared" si="19"/>
        <v>53386.010147654451</v>
      </c>
      <c r="H153" s="163">
        <f t="shared" si="20"/>
        <v>5313.4292759747068</v>
      </c>
    </row>
    <row r="154" spans="2:8" ht="18" customHeight="1" x14ac:dyDescent="0.2">
      <c r="B154" s="162">
        <f t="shared" si="15"/>
        <v>144</v>
      </c>
      <c r="C154" s="162">
        <f t="shared" si="14"/>
        <v>2026</v>
      </c>
      <c r="D154" s="160">
        <f t="shared" si="16"/>
        <v>46113</v>
      </c>
      <c r="E154" s="161">
        <f t="shared" si="17"/>
        <v>2018466.2250692048</v>
      </c>
      <c r="F154" s="174">
        <f t="shared" si="18"/>
        <v>-58699.439423629155</v>
      </c>
      <c r="G154" s="163">
        <f t="shared" si="19"/>
        <v>53519.475173023588</v>
      </c>
      <c r="H154" s="163">
        <f t="shared" si="20"/>
        <v>5179.9642506055707</v>
      </c>
    </row>
    <row r="155" spans="2:8" ht="18" customHeight="1" x14ac:dyDescent="0.2">
      <c r="B155" s="162">
        <f t="shared" si="15"/>
        <v>145</v>
      </c>
      <c r="C155" s="162">
        <f t="shared" si="14"/>
        <v>2026</v>
      </c>
      <c r="D155" s="160">
        <f t="shared" si="16"/>
        <v>46143</v>
      </c>
      <c r="E155" s="161">
        <f t="shared" si="17"/>
        <v>1964812.9512082487</v>
      </c>
      <c r="F155" s="174">
        <f t="shared" si="18"/>
        <v>-58699.439423629155</v>
      </c>
      <c r="G155" s="163">
        <f t="shared" si="19"/>
        <v>53653.273860956142</v>
      </c>
      <c r="H155" s="163">
        <f t="shared" si="20"/>
        <v>5046.1655626730117</v>
      </c>
    </row>
    <row r="156" spans="2:8" ht="18" customHeight="1" x14ac:dyDescent="0.2">
      <c r="B156" s="162">
        <f t="shared" si="15"/>
        <v>146</v>
      </c>
      <c r="C156" s="162">
        <f t="shared" si="14"/>
        <v>2026</v>
      </c>
      <c r="D156" s="160">
        <f t="shared" si="16"/>
        <v>46174</v>
      </c>
      <c r="E156" s="161">
        <f t="shared" si="17"/>
        <v>1911025.5441626401</v>
      </c>
      <c r="F156" s="174">
        <f t="shared" si="18"/>
        <v>-58699.439423629155</v>
      </c>
      <c r="G156" s="163">
        <f t="shared" si="19"/>
        <v>53787.407045608532</v>
      </c>
      <c r="H156" s="163">
        <f t="shared" si="20"/>
        <v>4912.0323780206218</v>
      </c>
    </row>
    <row r="157" spans="2:8" ht="18" customHeight="1" x14ac:dyDescent="0.2">
      <c r="B157" s="162">
        <f t="shared" si="15"/>
        <v>147</v>
      </c>
      <c r="C157" s="162">
        <f t="shared" si="14"/>
        <v>2026</v>
      </c>
      <c r="D157" s="160">
        <f t="shared" si="16"/>
        <v>46204</v>
      </c>
      <c r="E157" s="161">
        <f t="shared" si="17"/>
        <v>1857103.6685994177</v>
      </c>
      <c r="F157" s="174">
        <f t="shared" si="18"/>
        <v>-58699.439423629155</v>
      </c>
      <c r="G157" s="163">
        <f t="shared" si="19"/>
        <v>53921.875563222558</v>
      </c>
      <c r="H157" s="163">
        <f t="shared" si="20"/>
        <v>4777.5638604065998</v>
      </c>
    </row>
    <row r="158" spans="2:8" ht="18" customHeight="1" x14ac:dyDescent="0.2">
      <c r="B158" s="162">
        <f t="shared" si="15"/>
        <v>148</v>
      </c>
      <c r="C158" s="162">
        <f t="shared" si="14"/>
        <v>2026</v>
      </c>
      <c r="D158" s="160">
        <f t="shared" si="16"/>
        <v>46235</v>
      </c>
      <c r="E158" s="161">
        <f t="shared" si="17"/>
        <v>1803046.9883472871</v>
      </c>
      <c r="F158" s="174">
        <f t="shared" si="18"/>
        <v>-58699.439423629155</v>
      </c>
      <c r="G158" s="163">
        <f t="shared" si="19"/>
        <v>54056.680252130609</v>
      </c>
      <c r="H158" s="163">
        <f t="shared" si="20"/>
        <v>4642.7591714985438</v>
      </c>
    </row>
    <row r="159" spans="2:8" ht="18" customHeight="1" x14ac:dyDescent="0.2">
      <c r="B159" s="162">
        <f t="shared" si="15"/>
        <v>149</v>
      </c>
      <c r="C159" s="162">
        <f t="shared" si="14"/>
        <v>2026</v>
      </c>
      <c r="D159" s="160">
        <f t="shared" si="16"/>
        <v>46266</v>
      </c>
      <c r="E159" s="161">
        <f t="shared" si="17"/>
        <v>1748855.1663945261</v>
      </c>
      <c r="F159" s="174">
        <f t="shared" si="18"/>
        <v>-58699.439423629155</v>
      </c>
      <c r="G159" s="163">
        <f t="shared" si="19"/>
        <v>54191.82195276094</v>
      </c>
      <c r="H159" s="163">
        <f t="shared" si="20"/>
        <v>4507.6174708682174</v>
      </c>
    </row>
    <row r="160" spans="2:8" ht="18" customHeight="1" x14ac:dyDescent="0.2">
      <c r="B160" s="162">
        <f t="shared" si="15"/>
        <v>150</v>
      </c>
      <c r="C160" s="162">
        <f t="shared" si="14"/>
        <v>2026</v>
      </c>
      <c r="D160" s="160">
        <f t="shared" si="16"/>
        <v>46296</v>
      </c>
      <c r="E160" s="161">
        <f t="shared" si="17"/>
        <v>1694527.8648868832</v>
      </c>
      <c r="F160" s="174">
        <f t="shared" si="18"/>
        <v>-58699.439423629155</v>
      </c>
      <c r="G160" s="163">
        <f t="shared" si="19"/>
        <v>54327.301507642842</v>
      </c>
      <c r="H160" s="163">
        <f t="shared" si="20"/>
        <v>4372.1379159863154</v>
      </c>
    </row>
    <row r="161" spans="2:8" ht="18" customHeight="1" x14ac:dyDescent="0.2">
      <c r="B161" s="162">
        <f t="shared" si="15"/>
        <v>151</v>
      </c>
      <c r="C161" s="162">
        <f t="shared" si="14"/>
        <v>2026</v>
      </c>
      <c r="D161" s="160">
        <f t="shared" si="16"/>
        <v>46327</v>
      </c>
      <c r="E161" s="161">
        <f t="shared" si="17"/>
        <v>1640064.7451254711</v>
      </c>
      <c r="F161" s="174">
        <f t="shared" si="18"/>
        <v>-58699.439423629155</v>
      </c>
      <c r="G161" s="163">
        <f t="shared" si="19"/>
        <v>54463.119761411945</v>
      </c>
      <c r="H161" s="163">
        <f t="shared" si="20"/>
        <v>4236.3196622172081</v>
      </c>
    </row>
    <row r="162" spans="2:8" ht="18" customHeight="1" x14ac:dyDescent="0.2">
      <c r="B162" s="162">
        <f t="shared" si="15"/>
        <v>152</v>
      </c>
      <c r="C162" s="162">
        <f t="shared" si="14"/>
        <v>2026</v>
      </c>
      <c r="D162" s="160">
        <f t="shared" si="16"/>
        <v>46357</v>
      </c>
      <c r="E162" s="161">
        <f t="shared" si="17"/>
        <v>1585465.4675646557</v>
      </c>
      <c r="F162" s="174">
        <f t="shared" si="18"/>
        <v>-58699.439423629155</v>
      </c>
      <c r="G162" s="163">
        <f t="shared" si="19"/>
        <v>54599.277560815477</v>
      </c>
      <c r="H162" s="163">
        <f t="shared" si="20"/>
        <v>4100.1618628136775</v>
      </c>
    </row>
    <row r="163" spans="2:8" ht="18" customHeight="1" x14ac:dyDescent="0.2">
      <c r="B163" s="162">
        <f t="shared" si="15"/>
        <v>153</v>
      </c>
      <c r="C163" s="162">
        <f t="shared" si="14"/>
        <v>2027</v>
      </c>
      <c r="D163" s="160">
        <f t="shared" si="16"/>
        <v>46388</v>
      </c>
      <c r="E163" s="161">
        <f t="shared" si="17"/>
        <v>1530729.6918099383</v>
      </c>
      <c r="F163" s="174">
        <f t="shared" si="18"/>
        <v>-58699.439423629155</v>
      </c>
      <c r="G163" s="163">
        <f t="shared" si="19"/>
        <v>54735.775754717513</v>
      </c>
      <c r="H163" s="163">
        <f t="shared" si="20"/>
        <v>3963.663668911639</v>
      </c>
    </row>
    <row r="164" spans="2:8" ht="18" customHeight="1" x14ac:dyDescent="0.2">
      <c r="B164" s="162">
        <f t="shared" si="15"/>
        <v>154</v>
      </c>
      <c r="C164" s="162">
        <f t="shared" si="14"/>
        <v>2027</v>
      </c>
      <c r="D164" s="160">
        <f t="shared" si="16"/>
        <v>46419</v>
      </c>
      <c r="E164" s="161">
        <f t="shared" si="17"/>
        <v>1475857.0766158339</v>
      </c>
      <c r="F164" s="174">
        <f t="shared" si="18"/>
        <v>-58699.439423629155</v>
      </c>
      <c r="G164" s="163">
        <f t="shared" si="19"/>
        <v>54872.615194104306</v>
      </c>
      <c r="H164" s="163">
        <f t="shared" si="20"/>
        <v>3826.8242295248456</v>
      </c>
    </row>
    <row r="165" spans="2:8" ht="18" customHeight="1" x14ac:dyDescent="0.2">
      <c r="B165" s="162">
        <f t="shared" si="15"/>
        <v>155</v>
      </c>
      <c r="C165" s="162">
        <f t="shared" si="14"/>
        <v>2027</v>
      </c>
      <c r="D165" s="160">
        <f t="shared" si="16"/>
        <v>46447</v>
      </c>
      <c r="E165" s="161">
        <f t="shared" si="17"/>
        <v>1420847.2798837444</v>
      </c>
      <c r="F165" s="174">
        <f t="shared" si="18"/>
        <v>-58699.439423629155</v>
      </c>
      <c r="G165" s="163">
        <f t="shared" si="19"/>
        <v>55009.79673208957</v>
      </c>
      <c r="H165" s="163">
        <f t="shared" si="20"/>
        <v>3689.6426915395846</v>
      </c>
    </row>
    <row r="166" spans="2:8" ht="18" customHeight="1" x14ac:dyDescent="0.2">
      <c r="B166" s="162">
        <f t="shared" si="15"/>
        <v>156</v>
      </c>
      <c r="C166" s="162">
        <f t="shared" si="14"/>
        <v>2027</v>
      </c>
      <c r="D166" s="160">
        <f t="shared" si="16"/>
        <v>46478</v>
      </c>
      <c r="E166" s="161">
        <f t="shared" si="17"/>
        <v>1365699.9586598247</v>
      </c>
      <c r="F166" s="174">
        <f t="shared" si="18"/>
        <v>-58699.439423629155</v>
      </c>
      <c r="G166" s="163">
        <f t="shared" si="19"/>
        <v>55147.321223919796</v>
      </c>
      <c r="H166" s="163">
        <f t="shared" si="20"/>
        <v>3552.1181997093609</v>
      </c>
    </row>
    <row r="167" spans="2:8" ht="18" customHeight="1" x14ac:dyDescent="0.2">
      <c r="B167" s="162">
        <f t="shared" si="15"/>
        <v>157</v>
      </c>
      <c r="C167" s="162">
        <f t="shared" si="14"/>
        <v>2027</v>
      </c>
      <c r="D167" s="160">
        <f t="shared" si="16"/>
        <v>46508</v>
      </c>
      <c r="E167" s="161">
        <f t="shared" si="17"/>
        <v>1310414.7691328451</v>
      </c>
      <c r="F167" s="174">
        <f t="shared" si="18"/>
        <v>-58699.439423629155</v>
      </c>
      <c r="G167" s="163">
        <f t="shared" si="19"/>
        <v>55285.189526979593</v>
      </c>
      <c r="H167" s="163">
        <f t="shared" si="20"/>
        <v>3414.2498966495618</v>
      </c>
    </row>
    <row r="168" spans="2:8" ht="18" customHeight="1" x14ac:dyDescent="0.2">
      <c r="B168" s="162">
        <f t="shared" si="15"/>
        <v>158</v>
      </c>
      <c r="C168" s="162">
        <f t="shared" si="14"/>
        <v>2027</v>
      </c>
      <c r="D168" s="160">
        <f t="shared" si="16"/>
        <v>46539</v>
      </c>
      <c r="E168" s="161">
        <f t="shared" si="17"/>
        <v>1254991.366632048</v>
      </c>
      <c r="F168" s="174">
        <f t="shared" si="18"/>
        <v>-58699.439423629155</v>
      </c>
      <c r="G168" s="163">
        <f t="shared" si="19"/>
        <v>55423.402500797041</v>
      </c>
      <c r="H168" s="163">
        <f t="shared" si="20"/>
        <v>3276.0369228321124</v>
      </c>
    </row>
    <row r="169" spans="2:8" ht="18" customHeight="1" x14ac:dyDescent="0.2">
      <c r="B169" s="162">
        <f t="shared" si="15"/>
        <v>159</v>
      </c>
      <c r="C169" s="162">
        <f t="shared" si="14"/>
        <v>2027</v>
      </c>
      <c r="D169" s="160">
        <f t="shared" si="16"/>
        <v>46569</v>
      </c>
      <c r="E169" s="161">
        <f t="shared" si="17"/>
        <v>1199429.405624999</v>
      </c>
      <c r="F169" s="174">
        <f t="shared" si="18"/>
        <v>-58699.439423629155</v>
      </c>
      <c r="G169" s="163">
        <f t="shared" si="19"/>
        <v>55561.961007049038</v>
      </c>
      <c r="H169" s="163">
        <f t="shared" si="20"/>
        <v>3137.4784165801198</v>
      </c>
    </row>
    <row r="170" spans="2:8" ht="18" customHeight="1" x14ac:dyDescent="0.2">
      <c r="B170" s="162">
        <f t="shared" si="15"/>
        <v>160</v>
      </c>
      <c r="C170" s="162">
        <f t="shared" si="14"/>
        <v>2027</v>
      </c>
      <c r="D170" s="160">
        <f t="shared" si="16"/>
        <v>46600</v>
      </c>
      <c r="E170" s="161">
        <f t="shared" si="17"/>
        <v>1143728.5397154323</v>
      </c>
      <c r="F170" s="174">
        <f t="shared" si="18"/>
        <v>-58699.439423629155</v>
      </c>
      <c r="G170" s="163">
        <f t="shared" si="19"/>
        <v>55700.865909566659</v>
      </c>
      <c r="H170" s="163">
        <f t="shared" si="20"/>
        <v>2998.573514062497</v>
      </c>
    </row>
    <row r="171" spans="2:8" ht="18" customHeight="1" x14ac:dyDescent="0.2">
      <c r="B171" s="162">
        <f t="shared" si="15"/>
        <v>161</v>
      </c>
      <c r="C171" s="162">
        <f t="shared" si="14"/>
        <v>2027</v>
      </c>
      <c r="D171" s="160">
        <f t="shared" si="16"/>
        <v>46631</v>
      </c>
      <c r="E171" s="161">
        <f t="shared" si="17"/>
        <v>1087888.4216410918</v>
      </c>
      <c r="F171" s="174">
        <f t="shared" si="18"/>
        <v>-58699.439423629155</v>
      </c>
      <c r="G171" s="163">
        <f t="shared" si="19"/>
        <v>55840.118074340571</v>
      </c>
      <c r="H171" s="163">
        <f t="shared" si="20"/>
        <v>2859.3213492885807</v>
      </c>
    </row>
    <row r="172" spans="2:8" ht="18" customHeight="1" x14ac:dyDescent="0.2">
      <c r="B172" s="162">
        <f t="shared" si="15"/>
        <v>162</v>
      </c>
      <c r="C172" s="162">
        <f t="shared" si="14"/>
        <v>2027</v>
      </c>
      <c r="D172" s="160">
        <f t="shared" si="16"/>
        <v>46661</v>
      </c>
      <c r="E172" s="161">
        <f t="shared" si="17"/>
        <v>1031908.7032715654</v>
      </c>
      <c r="F172" s="174">
        <f t="shared" si="18"/>
        <v>-58699.439423629155</v>
      </c>
      <c r="G172" s="163">
        <f t="shared" si="19"/>
        <v>55979.718369526425</v>
      </c>
      <c r="H172" s="163">
        <f t="shared" si="20"/>
        <v>2719.7210541027293</v>
      </c>
    </row>
    <row r="173" spans="2:8" ht="18" customHeight="1" x14ac:dyDescent="0.2">
      <c r="B173" s="162">
        <f t="shared" si="15"/>
        <v>163</v>
      </c>
      <c r="C173" s="162">
        <f t="shared" si="14"/>
        <v>2027</v>
      </c>
      <c r="D173" s="160">
        <f t="shared" si="16"/>
        <v>46692</v>
      </c>
      <c r="E173" s="161">
        <f t="shared" si="17"/>
        <v>975789.03560611513</v>
      </c>
      <c r="F173" s="174">
        <f t="shared" si="18"/>
        <v>-58699.439423629155</v>
      </c>
      <c r="G173" s="163">
        <f t="shared" si="19"/>
        <v>56119.667665450244</v>
      </c>
      <c r="H173" s="163">
        <f t="shared" si="20"/>
        <v>2579.7717581789134</v>
      </c>
    </row>
    <row r="174" spans="2:8" ht="18" customHeight="1" x14ac:dyDescent="0.2">
      <c r="B174" s="162">
        <f t="shared" si="15"/>
        <v>164</v>
      </c>
      <c r="C174" s="162">
        <f t="shared" si="14"/>
        <v>2027</v>
      </c>
      <c r="D174" s="160">
        <f t="shared" si="16"/>
        <v>46722</v>
      </c>
      <c r="E174" s="161">
        <f t="shared" si="17"/>
        <v>919529.0687715013</v>
      </c>
      <c r="F174" s="174">
        <f t="shared" si="18"/>
        <v>-58699.439423629155</v>
      </c>
      <c r="G174" s="163">
        <f t="shared" si="19"/>
        <v>56259.966834613864</v>
      </c>
      <c r="H174" s="163">
        <f t="shared" si="20"/>
        <v>2439.4725890152877</v>
      </c>
    </row>
    <row r="175" spans="2:8" ht="18" customHeight="1" x14ac:dyDescent="0.2">
      <c r="B175" s="162">
        <f t="shared" si="15"/>
        <v>165</v>
      </c>
      <c r="C175" s="162">
        <f t="shared" si="14"/>
        <v>2028</v>
      </c>
      <c r="D175" s="160">
        <f t="shared" si="16"/>
        <v>46753</v>
      </c>
      <c r="E175" s="161">
        <f t="shared" si="17"/>
        <v>863128.4520198009</v>
      </c>
      <c r="F175" s="174">
        <f t="shared" si="18"/>
        <v>-58699.439423629155</v>
      </c>
      <c r="G175" s="163">
        <f t="shared" si="19"/>
        <v>56400.6167517004</v>
      </c>
      <c r="H175" s="163">
        <f t="shared" si="20"/>
        <v>2298.8226719287532</v>
      </c>
    </row>
    <row r="176" spans="2:8" ht="18" customHeight="1" x14ac:dyDescent="0.2">
      <c r="B176" s="162">
        <f t="shared" si="15"/>
        <v>166</v>
      </c>
      <c r="C176" s="162">
        <f t="shared" si="14"/>
        <v>2028</v>
      </c>
      <c r="D176" s="160">
        <f t="shared" si="16"/>
        <v>46784</v>
      </c>
      <c r="E176" s="161">
        <f t="shared" si="17"/>
        <v>806586.83372622123</v>
      </c>
      <c r="F176" s="174">
        <f t="shared" si="18"/>
        <v>-58699.439423629155</v>
      </c>
      <c r="G176" s="163">
        <f t="shared" si="19"/>
        <v>56541.618293579653</v>
      </c>
      <c r="H176" s="163">
        <f t="shared" si="20"/>
        <v>2157.8211300495022</v>
      </c>
    </row>
    <row r="177" spans="2:8" ht="18" customHeight="1" x14ac:dyDescent="0.2">
      <c r="B177" s="162">
        <f t="shared" si="15"/>
        <v>167</v>
      </c>
      <c r="C177" s="162">
        <f t="shared" si="14"/>
        <v>2028</v>
      </c>
      <c r="D177" s="160">
        <f t="shared" si="16"/>
        <v>46813</v>
      </c>
      <c r="E177" s="161">
        <f t="shared" si="17"/>
        <v>749903.86138690764</v>
      </c>
      <c r="F177" s="174">
        <f t="shared" si="18"/>
        <v>-58699.439423629155</v>
      </c>
      <c r="G177" s="163">
        <f t="shared" si="19"/>
        <v>56682.972339313601</v>
      </c>
      <c r="H177" s="163">
        <f t="shared" si="20"/>
        <v>2016.4670843155529</v>
      </c>
    </row>
    <row r="178" spans="2:8" ht="18" customHeight="1" x14ac:dyDescent="0.2">
      <c r="B178" s="162">
        <f t="shared" si="15"/>
        <v>168</v>
      </c>
      <c r="C178" s="162">
        <f t="shared" si="14"/>
        <v>2028</v>
      </c>
      <c r="D178" s="160">
        <f t="shared" si="16"/>
        <v>46844</v>
      </c>
      <c r="E178" s="161">
        <f t="shared" si="17"/>
        <v>693079.18161674577</v>
      </c>
      <c r="F178" s="174">
        <f t="shared" si="18"/>
        <v>-58699.439423629155</v>
      </c>
      <c r="G178" s="163">
        <f t="shared" si="19"/>
        <v>56824.679770161885</v>
      </c>
      <c r="H178" s="163">
        <f t="shared" si="20"/>
        <v>1874.7596534672691</v>
      </c>
    </row>
    <row r="179" spans="2:8" ht="18" customHeight="1" x14ac:dyDescent="0.2">
      <c r="B179" s="162">
        <f t="shared" si="15"/>
        <v>169</v>
      </c>
      <c r="C179" s="162">
        <f t="shared" si="14"/>
        <v>2028</v>
      </c>
      <c r="D179" s="160">
        <f t="shared" si="16"/>
        <v>46874</v>
      </c>
      <c r="E179" s="161">
        <f t="shared" si="17"/>
        <v>636112.44014715846</v>
      </c>
      <c r="F179" s="174">
        <f t="shared" si="18"/>
        <v>-58699.439423629155</v>
      </c>
      <c r="G179" s="163">
        <f t="shared" si="19"/>
        <v>56966.741469587294</v>
      </c>
      <c r="H179" s="163">
        <f t="shared" si="20"/>
        <v>1732.6979540418643</v>
      </c>
    </row>
    <row r="180" spans="2:8" ht="18" customHeight="1" x14ac:dyDescent="0.2">
      <c r="B180" s="162">
        <f t="shared" si="15"/>
        <v>170</v>
      </c>
      <c r="C180" s="162">
        <f t="shared" si="14"/>
        <v>2028</v>
      </c>
      <c r="D180" s="160">
        <f t="shared" si="16"/>
        <v>46905</v>
      </c>
      <c r="E180" s="161">
        <f t="shared" si="17"/>
        <v>579003.28182389715</v>
      </c>
      <c r="F180" s="174">
        <f t="shared" si="18"/>
        <v>-58699.439423629155</v>
      </c>
      <c r="G180" s="163">
        <f t="shared" si="19"/>
        <v>57109.158323261261</v>
      </c>
      <c r="H180" s="163">
        <f t="shared" si="20"/>
        <v>1590.2811003678962</v>
      </c>
    </row>
    <row r="181" spans="2:8" ht="18" customHeight="1" x14ac:dyDescent="0.2">
      <c r="B181" s="162">
        <f t="shared" si="15"/>
        <v>171</v>
      </c>
      <c r="C181" s="162">
        <f t="shared" si="14"/>
        <v>2028</v>
      </c>
      <c r="D181" s="160">
        <f t="shared" si="16"/>
        <v>46935</v>
      </c>
      <c r="E181" s="161">
        <f t="shared" si="17"/>
        <v>521751.35060482775</v>
      </c>
      <c r="F181" s="174">
        <f t="shared" si="18"/>
        <v>-58699.439423629155</v>
      </c>
      <c r="G181" s="163">
        <f t="shared" si="19"/>
        <v>57251.931219069411</v>
      </c>
      <c r="H181" s="163">
        <f t="shared" si="20"/>
        <v>1447.5082045597428</v>
      </c>
    </row>
    <row r="182" spans="2:8" ht="18" customHeight="1" x14ac:dyDescent="0.2">
      <c r="B182" s="162">
        <f t="shared" si="15"/>
        <v>172</v>
      </c>
      <c r="C182" s="162">
        <f t="shared" si="14"/>
        <v>2028</v>
      </c>
      <c r="D182" s="160">
        <f t="shared" si="16"/>
        <v>46966</v>
      </c>
      <c r="E182" s="161">
        <f t="shared" si="17"/>
        <v>464356.28955771064</v>
      </c>
      <c r="F182" s="174">
        <f t="shared" si="18"/>
        <v>-58699.439423629155</v>
      </c>
      <c r="G182" s="163">
        <f t="shared" si="19"/>
        <v>57395.061047117088</v>
      </c>
      <c r="H182" s="163">
        <f t="shared" si="20"/>
        <v>1304.3783765120693</v>
      </c>
    </row>
    <row r="183" spans="2:8" ht="18" customHeight="1" x14ac:dyDescent="0.2">
      <c r="B183" s="162">
        <f t="shared" si="15"/>
        <v>173</v>
      </c>
      <c r="C183" s="162">
        <f t="shared" si="14"/>
        <v>2028</v>
      </c>
      <c r="D183" s="160">
        <f t="shared" si="16"/>
        <v>46997</v>
      </c>
      <c r="E183" s="161">
        <f t="shared" si="17"/>
        <v>406817.74085797579</v>
      </c>
      <c r="F183" s="174">
        <f t="shared" si="18"/>
        <v>-58699.439423629155</v>
      </c>
      <c r="G183" s="163">
        <f t="shared" si="19"/>
        <v>57538.548699734878</v>
      </c>
      <c r="H183" s="163">
        <f t="shared" si="20"/>
        <v>1160.8907238942766</v>
      </c>
    </row>
    <row r="184" spans="2:8" ht="18" customHeight="1" x14ac:dyDescent="0.2">
      <c r="B184" s="162">
        <f t="shared" si="15"/>
        <v>174</v>
      </c>
      <c r="C184" s="162">
        <f t="shared" si="14"/>
        <v>2028</v>
      </c>
      <c r="D184" s="160">
        <f t="shared" si="16"/>
        <v>47027</v>
      </c>
      <c r="E184" s="161">
        <f t="shared" si="17"/>
        <v>349135.34578649158</v>
      </c>
      <c r="F184" s="174">
        <f t="shared" si="18"/>
        <v>-58699.439423629155</v>
      </c>
      <c r="G184" s="163">
        <f t="shared" si="19"/>
        <v>57682.395071484214</v>
      </c>
      <c r="H184" s="163">
        <f t="shared" si="20"/>
        <v>1017.0443521449394</v>
      </c>
    </row>
    <row r="185" spans="2:8" ht="18" customHeight="1" x14ac:dyDescent="0.2">
      <c r="B185" s="162">
        <f t="shared" si="15"/>
        <v>175</v>
      </c>
      <c r="C185" s="162">
        <f t="shared" si="14"/>
        <v>2028</v>
      </c>
      <c r="D185" s="160">
        <f t="shared" si="16"/>
        <v>47058</v>
      </c>
      <c r="E185" s="161">
        <f t="shared" si="17"/>
        <v>291308.74472732865</v>
      </c>
      <c r="F185" s="174">
        <f t="shared" si="18"/>
        <v>-58699.439423629155</v>
      </c>
      <c r="G185" s="163">
        <f t="shared" si="19"/>
        <v>57826.601059162924</v>
      </c>
      <c r="H185" s="163">
        <f t="shared" si="20"/>
        <v>872.838364466229</v>
      </c>
    </row>
    <row r="186" spans="2:8" ht="18" customHeight="1" x14ac:dyDescent="0.2">
      <c r="B186" s="162">
        <f t="shared" si="15"/>
        <v>176</v>
      </c>
      <c r="C186" s="162">
        <f t="shared" si="14"/>
        <v>2028</v>
      </c>
      <c r="D186" s="160">
        <f t="shared" si="16"/>
        <v>47088</v>
      </c>
      <c r="E186" s="161">
        <f t="shared" si="17"/>
        <v>233337.57716551781</v>
      </c>
      <c r="F186" s="174">
        <f t="shared" si="18"/>
        <v>-58699.439423629155</v>
      </c>
      <c r="G186" s="163">
        <f t="shared" si="19"/>
        <v>57971.167561810835</v>
      </c>
      <c r="H186" s="163">
        <f t="shared" si="20"/>
        <v>728.27186181832167</v>
      </c>
    </row>
    <row r="187" spans="2:8" ht="18" customHeight="1" x14ac:dyDescent="0.2">
      <c r="B187" s="162">
        <f t="shared" si="15"/>
        <v>177</v>
      </c>
      <c r="C187" s="162">
        <f t="shared" si="14"/>
        <v>2029</v>
      </c>
      <c r="D187" s="160">
        <f t="shared" si="16"/>
        <v>47119</v>
      </c>
      <c r="E187" s="161">
        <f t="shared" si="17"/>
        <v>175221.48168480245</v>
      </c>
      <c r="F187" s="174">
        <f t="shared" si="18"/>
        <v>-58699.439423629155</v>
      </c>
      <c r="G187" s="163">
        <f t="shared" si="19"/>
        <v>58116.095480715361</v>
      </c>
      <c r="H187" s="163">
        <f t="shared" si="20"/>
        <v>583.34394291379454</v>
      </c>
    </row>
    <row r="188" spans="2:8" ht="18" customHeight="1" x14ac:dyDescent="0.2">
      <c r="B188" s="162">
        <f t="shared" si="15"/>
        <v>178</v>
      </c>
      <c r="C188" s="162">
        <f t="shared" si="14"/>
        <v>2029</v>
      </c>
      <c r="D188" s="160">
        <f t="shared" si="16"/>
        <v>47150</v>
      </c>
      <c r="E188" s="161">
        <f t="shared" si="17"/>
        <v>116960.09596538529</v>
      </c>
      <c r="F188" s="174">
        <f t="shared" si="18"/>
        <v>-58699.439423629155</v>
      </c>
      <c r="G188" s="163">
        <f t="shared" si="19"/>
        <v>58261.385719417151</v>
      </c>
      <c r="H188" s="163">
        <f t="shared" si="20"/>
        <v>438.0537042120061</v>
      </c>
    </row>
    <row r="189" spans="2:8" ht="18" customHeight="1" x14ac:dyDescent="0.2">
      <c r="B189" s="162">
        <f t="shared" si="15"/>
        <v>179</v>
      </c>
      <c r="C189" s="162">
        <f t="shared" si="14"/>
        <v>2029</v>
      </c>
      <c r="D189" s="160">
        <f t="shared" si="16"/>
        <v>47178</v>
      </c>
      <c r="E189" s="161">
        <f t="shared" si="17"/>
        <v>58553.056781669598</v>
      </c>
      <c r="F189" s="174">
        <f t="shared" si="18"/>
        <v>-58699.439423629155</v>
      </c>
      <c r="G189" s="163">
        <f t="shared" si="19"/>
        <v>58407.039183715693</v>
      </c>
      <c r="H189" s="163">
        <f t="shared" si="20"/>
        <v>292.40023991346322</v>
      </c>
    </row>
    <row r="190" spans="2:8" ht="18" customHeight="1" x14ac:dyDescent="0.2">
      <c r="B190" s="162">
        <f t="shared" si="15"/>
        <v>180</v>
      </c>
      <c r="C190" s="162">
        <f t="shared" si="14"/>
        <v>2029</v>
      </c>
      <c r="D190" s="160">
        <f t="shared" si="16"/>
        <v>47209</v>
      </c>
      <c r="E190" s="161">
        <f t="shared" si="17"/>
        <v>-5.3842086344957352E-9</v>
      </c>
      <c r="F190" s="174">
        <f t="shared" si="18"/>
        <v>-58699.439423629155</v>
      </c>
      <c r="G190" s="163">
        <f t="shared" si="19"/>
        <v>58553.056781674983</v>
      </c>
      <c r="H190" s="163">
        <f t="shared" si="20"/>
        <v>146.38264195417398</v>
      </c>
    </row>
    <row r="191" spans="2:8" ht="18" customHeight="1" x14ac:dyDescent="0.15"/>
  </sheetData>
  <mergeCells count="1">
    <mergeCell ref="B1:H1"/>
  </mergeCells>
  <phoneticPr fontId="38" type="noConversion"/>
  <pageMargins left="0.7" right="0.7" top="0.75" bottom="0.75" header="0.3" footer="0.3"/>
  <pageSetup paperSize="9" orientation="portrait" horizontalDpi="0" verticalDpi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8C48E-1C20-B349-BF6E-7F5FFE093A06}">
  <sheetPr codeName="Foglio57">
    <tabColor theme="4" tint="-0.249977111117893"/>
  </sheetPr>
  <dimension ref="A1:J192"/>
  <sheetViews>
    <sheetView showGridLines="0" zoomScale="140" zoomScaleNormal="140" workbookViewId="0">
      <selection activeCell="B1" sqref="B1:H75"/>
    </sheetView>
  </sheetViews>
  <sheetFormatPr baseColWidth="10" defaultRowHeight="13" x14ac:dyDescent="0.15"/>
  <cols>
    <col min="2" max="2" width="16.6640625" customWidth="1"/>
    <col min="3" max="3" width="15.1640625" customWidth="1"/>
    <col min="5" max="5" width="16" customWidth="1"/>
    <col min="7" max="7" width="13.6640625" customWidth="1"/>
    <col min="8" max="8" width="14.1640625" bestFit="1" customWidth="1"/>
  </cols>
  <sheetData>
    <row r="1" spans="2:10" ht="17" thickBot="1" x14ac:dyDescent="0.25">
      <c r="B1" s="1110" t="s">
        <v>135</v>
      </c>
      <c r="C1" s="1110"/>
      <c r="D1" s="1110"/>
      <c r="E1" s="1110"/>
      <c r="F1" s="1110"/>
      <c r="G1" s="1110"/>
      <c r="H1" s="1110"/>
    </row>
    <row r="2" spans="2:10" ht="16" x14ac:dyDescent="0.2">
      <c r="B2" s="159" t="s">
        <v>118</v>
      </c>
      <c r="C2" s="160">
        <v>42948</v>
      </c>
      <c r="E2" s="161"/>
      <c r="F2" s="162"/>
      <c r="G2" s="159"/>
      <c r="H2" s="159"/>
      <c r="J2" s="160">
        <f>+C2+365*C5+1</f>
        <v>44774</v>
      </c>
    </row>
    <row r="3" spans="2:10" ht="16" x14ac:dyDescent="0.2">
      <c r="B3" s="159" t="s">
        <v>145</v>
      </c>
      <c r="C3" s="161">
        <v>4650000</v>
      </c>
      <c r="D3" s="159"/>
      <c r="E3" s="161"/>
      <c r="F3" s="162"/>
      <c r="G3" s="159"/>
      <c r="H3" s="159"/>
    </row>
    <row r="4" spans="2:10" ht="16" x14ac:dyDescent="0.2">
      <c r="B4" s="159" t="s">
        <v>119</v>
      </c>
      <c r="C4" s="161">
        <f>100%*C3</f>
        <v>4650000</v>
      </c>
      <c r="D4" s="159"/>
      <c r="E4" s="161"/>
      <c r="F4" s="162"/>
      <c r="G4" s="159"/>
      <c r="H4" s="159"/>
    </row>
    <row r="5" spans="2:10" ht="16" x14ac:dyDescent="0.2">
      <c r="B5" s="159" t="s">
        <v>120</v>
      </c>
      <c r="C5" s="164">
        <v>5</v>
      </c>
      <c r="D5" s="159"/>
      <c r="E5" s="161"/>
      <c r="F5" s="162"/>
      <c r="G5" s="159"/>
      <c r="H5" s="159"/>
    </row>
    <row r="6" spans="2:10" ht="16" x14ac:dyDescent="0.2">
      <c r="B6" s="159" t="s">
        <v>121</v>
      </c>
      <c r="C6" s="162">
        <f>C5*12</f>
        <v>60</v>
      </c>
      <c r="D6" s="159"/>
      <c r="E6" s="161"/>
      <c r="F6" s="162"/>
      <c r="G6" s="159"/>
      <c r="H6" s="159"/>
    </row>
    <row r="7" spans="2:10" ht="16" x14ac:dyDescent="0.2">
      <c r="B7" s="165" t="s">
        <v>122</v>
      </c>
      <c r="C7" s="166">
        <v>0.05</v>
      </c>
      <c r="D7" s="167"/>
      <c r="E7" s="161"/>
      <c r="F7" s="162"/>
      <c r="G7" s="159"/>
      <c r="H7" s="159"/>
    </row>
    <row r="8" spans="2:10" ht="16" x14ac:dyDescent="0.2">
      <c r="B8" s="159" t="s">
        <v>59</v>
      </c>
      <c r="C8" s="173">
        <f>PMT($C$7/12,$C$6,$C$4)</f>
        <v>-87751.236444650858</v>
      </c>
      <c r="D8" s="159"/>
      <c r="E8" s="161"/>
      <c r="F8" s="162"/>
      <c r="G8" s="159"/>
      <c r="H8" s="159"/>
    </row>
    <row r="9" spans="2:10" ht="17" thickBot="1" x14ac:dyDescent="0.25">
      <c r="B9" s="159"/>
      <c r="C9" s="159"/>
      <c r="D9" s="159"/>
      <c r="E9" s="161"/>
      <c r="F9" s="162"/>
      <c r="G9" s="159"/>
      <c r="H9" s="159"/>
    </row>
    <row r="10" spans="2:10" ht="17" thickBot="1" x14ac:dyDescent="0.25">
      <c r="B10" s="168" t="s">
        <v>123</v>
      </c>
      <c r="C10" s="168"/>
      <c r="D10" s="168" t="s">
        <v>124</v>
      </c>
      <c r="E10" s="169" t="s">
        <v>60</v>
      </c>
      <c r="F10" s="170" t="s">
        <v>59</v>
      </c>
      <c r="G10" s="170" t="s">
        <v>125</v>
      </c>
      <c r="H10" s="170" t="s">
        <v>126</v>
      </c>
    </row>
    <row r="11" spans="2:10" ht="16" hidden="1" x14ac:dyDescent="0.2">
      <c r="B11" s="162">
        <v>0</v>
      </c>
      <c r="C11" s="162">
        <f>IF(B11="-","-",YEAR(D11))</f>
        <v>2017</v>
      </c>
      <c r="D11" s="160">
        <f>+EOMONTH(C2,-1)+1</f>
        <v>42948</v>
      </c>
      <c r="E11" s="161">
        <f>+C4</f>
        <v>4650000</v>
      </c>
      <c r="F11" s="171"/>
      <c r="G11" s="159"/>
      <c r="H11" s="159"/>
    </row>
    <row r="12" spans="2:10" ht="16" hidden="1" x14ac:dyDescent="0.2">
      <c r="B12" s="162">
        <f>IFERROR(IF((B11+1)&gt;$C$6,"-",B11+1),"-")</f>
        <v>1</v>
      </c>
      <c r="C12" s="162">
        <f t="shared" ref="C12:C75" si="0">IF(B12="-","-",YEAR(D12))</f>
        <v>2017</v>
      </c>
      <c r="D12" s="160">
        <f>IF(B12="-","-",EOMONTH(D11,0)+1)</f>
        <v>42979</v>
      </c>
      <c r="E12" s="172">
        <f>E11-G12</f>
        <v>4581623.7635553489</v>
      </c>
      <c r="F12" s="174">
        <f t="shared" ref="F12:F43" si="1">IF(D12&lt;=$J$2,+$C$8,0)</f>
        <v>-87751.236444650858</v>
      </c>
      <c r="G12" s="163">
        <f>-F12-H12</f>
        <v>68376.236444650858</v>
      </c>
      <c r="H12" s="163">
        <f>IF(F12=0,0,E11*$C$7/12)</f>
        <v>19375</v>
      </c>
    </row>
    <row r="13" spans="2:10" ht="16" hidden="1" x14ac:dyDescent="0.2">
      <c r="B13" s="162">
        <f t="shared" ref="B13:B76" si="2">IFERROR(IF((B12+1)&gt;$C$6,"-",B12+1),"-")</f>
        <v>2</v>
      </c>
      <c r="C13" s="162">
        <f t="shared" si="0"/>
        <v>2017</v>
      </c>
      <c r="D13" s="160">
        <f t="shared" ref="D13:D76" si="3">IF(B13="-","-",EOMONTH(D12,0)+1)</f>
        <v>43009</v>
      </c>
      <c r="E13" s="172">
        <f t="shared" ref="E13:E76" si="4">E12-G13</f>
        <v>4512962.6261255117</v>
      </c>
      <c r="F13" s="174">
        <f t="shared" si="1"/>
        <v>-87751.236444650858</v>
      </c>
      <c r="G13" s="163">
        <f t="shared" ref="G13:G76" si="5">-F13-H13</f>
        <v>68661.137429836905</v>
      </c>
      <c r="H13" s="163">
        <f t="shared" ref="H13:H76" si="6">IF(F13=0,0,E12*$C$7/12)</f>
        <v>19090.099014813954</v>
      </c>
    </row>
    <row r="14" spans="2:10" ht="16" hidden="1" x14ac:dyDescent="0.2">
      <c r="B14" s="162">
        <f t="shared" si="2"/>
        <v>3</v>
      </c>
      <c r="C14" s="162">
        <f t="shared" si="0"/>
        <v>2017</v>
      </c>
      <c r="D14" s="160">
        <f t="shared" si="3"/>
        <v>43040</v>
      </c>
      <c r="E14" s="172">
        <f t="shared" si="4"/>
        <v>4444015.4006230505</v>
      </c>
      <c r="F14" s="174">
        <f t="shared" si="1"/>
        <v>-87751.236444650858</v>
      </c>
      <c r="G14" s="163">
        <f t="shared" si="5"/>
        <v>68947.225502461224</v>
      </c>
      <c r="H14" s="163">
        <f t="shared" si="6"/>
        <v>18804.010942189634</v>
      </c>
    </row>
    <row r="15" spans="2:10" ht="16" hidden="1" x14ac:dyDescent="0.2">
      <c r="B15" s="162">
        <f t="shared" si="2"/>
        <v>4</v>
      </c>
      <c r="C15" s="162">
        <f t="shared" si="0"/>
        <v>2017</v>
      </c>
      <c r="D15" s="160">
        <f t="shared" si="3"/>
        <v>43070</v>
      </c>
      <c r="E15" s="172">
        <f t="shared" si="4"/>
        <v>4374780.8950143289</v>
      </c>
      <c r="F15" s="174">
        <f t="shared" si="1"/>
        <v>-87751.236444650858</v>
      </c>
      <c r="G15" s="163">
        <f t="shared" si="5"/>
        <v>69234.505608721476</v>
      </c>
      <c r="H15" s="163">
        <f t="shared" si="6"/>
        <v>18516.730835929378</v>
      </c>
    </row>
    <row r="16" spans="2:10" ht="16" hidden="1" x14ac:dyDescent="0.2">
      <c r="B16" s="162">
        <f t="shared" si="2"/>
        <v>5</v>
      </c>
      <c r="C16" s="162">
        <f t="shared" si="0"/>
        <v>2018</v>
      </c>
      <c r="D16" s="160">
        <f t="shared" si="3"/>
        <v>43101</v>
      </c>
      <c r="E16" s="172">
        <f t="shared" si="4"/>
        <v>4305257.9122989047</v>
      </c>
      <c r="F16" s="174">
        <f t="shared" si="1"/>
        <v>-87751.236444650858</v>
      </c>
      <c r="G16" s="163">
        <f t="shared" si="5"/>
        <v>69522.982715424485</v>
      </c>
      <c r="H16" s="163">
        <f t="shared" si="6"/>
        <v>18228.25372922637</v>
      </c>
    </row>
    <row r="17" spans="2:8" ht="16" hidden="1" x14ac:dyDescent="0.2">
      <c r="B17" s="162">
        <f t="shared" si="2"/>
        <v>6</v>
      </c>
      <c r="C17" s="162">
        <f t="shared" si="0"/>
        <v>2018</v>
      </c>
      <c r="D17" s="160">
        <f t="shared" si="3"/>
        <v>43132</v>
      </c>
      <c r="E17" s="172">
        <f t="shared" si="4"/>
        <v>4235445.2504888326</v>
      </c>
      <c r="F17" s="174">
        <f t="shared" si="1"/>
        <v>-87751.236444650858</v>
      </c>
      <c r="G17" s="163">
        <f t="shared" si="5"/>
        <v>69812.661810072081</v>
      </c>
      <c r="H17" s="163">
        <f t="shared" si="6"/>
        <v>17938.57463457877</v>
      </c>
    </row>
    <row r="18" spans="2:8" ht="16" hidden="1" x14ac:dyDescent="0.2">
      <c r="B18" s="162">
        <f t="shared" si="2"/>
        <v>7</v>
      </c>
      <c r="C18" s="162">
        <f t="shared" si="0"/>
        <v>2018</v>
      </c>
      <c r="D18" s="160">
        <f t="shared" si="3"/>
        <v>43160</v>
      </c>
      <c r="E18" s="172">
        <f t="shared" si="4"/>
        <v>4165341.7025878853</v>
      </c>
      <c r="F18" s="174">
        <f t="shared" si="1"/>
        <v>-87751.236444650858</v>
      </c>
      <c r="G18" s="163">
        <f t="shared" si="5"/>
        <v>70103.547900947393</v>
      </c>
      <c r="H18" s="163">
        <f t="shared" si="6"/>
        <v>17647.688543703469</v>
      </c>
    </row>
    <row r="19" spans="2:8" ht="16" hidden="1" x14ac:dyDescent="0.2">
      <c r="B19" s="162">
        <f t="shared" si="2"/>
        <v>8</v>
      </c>
      <c r="C19" s="162">
        <f t="shared" si="0"/>
        <v>2018</v>
      </c>
      <c r="D19" s="160">
        <f t="shared" si="3"/>
        <v>43191</v>
      </c>
      <c r="E19" s="161">
        <f t="shared" si="4"/>
        <v>4094946.0565706841</v>
      </c>
      <c r="F19" s="174">
        <f t="shared" si="1"/>
        <v>-87751.236444650858</v>
      </c>
      <c r="G19" s="163">
        <f t="shared" si="5"/>
        <v>70395.646017201332</v>
      </c>
      <c r="H19" s="163">
        <f t="shared" si="6"/>
        <v>17355.590427449522</v>
      </c>
    </row>
    <row r="20" spans="2:8" ht="16" hidden="1" x14ac:dyDescent="0.2">
      <c r="B20" s="162">
        <f t="shared" si="2"/>
        <v>9</v>
      </c>
      <c r="C20" s="162">
        <f t="shared" si="0"/>
        <v>2018</v>
      </c>
      <c r="D20" s="160">
        <f t="shared" si="3"/>
        <v>43221</v>
      </c>
      <c r="E20" s="161">
        <f t="shared" si="4"/>
        <v>4024257.0953617445</v>
      </c>
      <c r="F20" s="174">
        <f t="shared" si="1"/>
        <v>-87751.236444650858</v>
      </c>
      <c r="G20" s="163">
        <f t="shared" si="5"/>
        <v>70688.961208939669</v>
      </c>
      <c r="H20" s="163">
        <f t="shared" si="6"/>
        <v>17062.275235711186</v>
      </c>
    </row>
    <row r="21" spans="2:8" ht="16" hidden="1" x14ac:dyDescent="0.2">
      <c r="B21" s="162">
        <f t="shared" si="2"/>
        <v>10</v>
      </c>
      <c r="C21" s="162">
        <f t="shared" si="0"/>
        <v>2018</v>
      </c>
      <c r="D21" s="160">
        <f t="shared" si="3"/>
        <v>43252</v>
      </c>
      <c r="E21" s="161">
        <f t="shared" si="4"/>
        <v>3953273.596814434</v>
      </c>
      <c r="F21" s="174">
        <f t="shared" si="1"/>
        <v>-87751.236444650858</v>
      </c>
      <c r="G21" s="163">
        <f t="shared" si="5"/>
        <v>70983.498547310257</v>
      </c>
      <c r="H21" s="163">
        <f t="shared" si="6"/>
        <v>16767.737897340605</v>
      </c>
    </row>
    <row r="22" spans="2:8" ht="16" hidden="1" x14ac:dyDescent="0.2">
      <c r="B22" s="162">
        <f t="shared" si="2"/>
        <v>11</v>
      </c>
      <c r="C22" s="162">
        <f t="shared" si="0"/>
        <v>2018</v>
      </c>
      <c r="D22" s="160">
        <f t="shared" si="3"/>
        <v>43282</v>
      </c>
      <c r="E22" s="161">
        <f t="shared" si="4"/>
        <v>3881994.3336898433</v>
      </c>
      <c r="F22" s="174">
        <f t="shared" si="1"/>
        <v>-87751.236444650858</v>
      </c>
      <c r="G22" s="163">
        <f t="shared" si="5"/>
        <v>71279.263124590711</v>
      </c>
      <c r="H22" s="163">
        <f t="shared" si="6"/>
        <v>16471.973320060144</v>
      </c>
    </row>
    <row r="23" spans="2:8" ht="16" hidden="1" x14ac:dyDescent="0.2">
      <c r="B23" s="162">
        <f t="shared" si="2"/>
        <v>12</v>
      </c>
      <c r="C23" s="162">
        <f t="shared" si="0"/>
        <v>2018</v>
      </c>
      <c r="D23" s="160">
        <f t="shared" si="3"/>
        <v>43313</v>
      </c>
      <c r="E23" s="161">
        <f t="shared" si="4"/>
        <v>3810418.073635567</v>
      </c>
      <c r="F23" s="174">
        <f t="shared" si="1"/>
        <v>-87751.236444650858</v>
      </c>
      <c r="G23" s="163">
        <f t="shared" si="5"/>
        <v>71576.260054276514</v>
      </c>
      <c r="H23" s="163">
        <f t="shared" si="6"/>
        <v>16174.97639037435</v>
      </c>
    </row>
    <row r="24" spans="2:8" ht="16" hidden="1" x14ac:dyDescent="0.2">
      <c r="B24" s="162">
        <f t="shared" si="2"/>
        <v>13</v>
      </c>
      <c r="C24" s="162">
        <f t="shared" si="0"/>
        <v>2018</v>
      </c>
      <c r="D24" s="160">
        <f t="shared" si="3"/>
        <v>43344</v>
      </c>
      <c r="E24" s="161">
        <f t="shared" si="4"/>
        <v>3738543.5791643974</v>
      </c>
      <c r="F24" s="174">
        <f t="shared" si="1"/>
        <v>-87751.236444650858</v>
      </c>
      <c r="G24" s="163">
        <f t="shared" si="5"/>
        <v>71874.494471169324</v>
      </c>
      <c r="H24" s="163">
        <f t="shared" si="6"/>
        <v>15876.741973481528</v>
      </c>
    </row>
    <row r="25" spans="2:8" ht="16" hidden="1" x14ac:dyDescent="0.2">
      <c r="B25" s="162">
        <f t="shared" si="2"/>
        <v>14</v>
      </c>
      <c r="C25" s="162">
        <f t="shared" si="0"/>
        <v>2018</v>
      </c>
      <c r="D25" s="160">
        <f t="shared" si="3"/>
        <v>43374</v>
      </c>
      <c r="E25" s="161">
        <f t="shared" si="4"/>
        <v>3666369.6076329318</v>
      </c>
      <c r="F25" s="174">
        <f t="shared" si="1"/>
        <v>-87751.236444650858</v>
      </c>
      <c r="G25" s="163">
        <f t="shared" si="5"/>
        <v>72173.971531465868</v>
      </c>
      <c r="H25" s="163">
        <f t="shared" si="6"/>
        <v>15577.26491318499</v>
      </c>
    </row>
    <row r="26" spans="2:8" ht="16" hidden="1" x14ac:dyDescent="0.2">
      <c r="B26" s="162">
        <f t="shared" si="2"/>
        <v>15</v>
      </c>
      <c r="C26" s="162">
        <f t="shared" si="0"/>
        <v>2018</v>
      </c>
      <c r="D26" s="160">
        <f t="shared" si="3"/>
        <v>43405</v>
      </c>
      <c r="E26" s="161">
        <f t="shared" si="4"/>
        <v>3593894.9112200849</v>
      </c>
      <c r="F26" s="174">
        <f t="shared" si="1"/>
        <v>-87751.236444650858</v>
      </c>
      <c r="G26" s="163">
        <f t="shared" si="5"/>
        <v>72474.69641284697</v>
      </c>
      <c r="H26" s="163">
        <f t="shared" si="6"/>
        <v>15276.540031803883</v>
      </c>
    </row>
    <row r="27" spans="2:8" ht="16" hidden="1" x14ac:dyDescent="0.2">
      <c r="B27" s="162">
        <f t="shared" si="2"/>
        <v>16</v>
      </c>
      <c r="C27" s="162">
        <f t="shared" si="0"/>
        <v>2018</v>
      </c>
      <c r="D27" s="160">
        <f t="shared" si="3"/>
        <v>43435</v>
      </c>
      <c r="E27" s="161">
        <f t="shared" si="4"/>
        <v>3521118.2369055175</v>
      </c>
      <c r="F27" s="174">
        <f t="shared" si="1"/>
        <v>-87751.236444650858</v>
      </c>
      <c r="G27" s="163">
        <f t="shared" si="5"/>
        <v>72776.674314567164</v>
      </c>
      <c r="H27" s="163">
        <f t="shared" si="6"/>
        <v>14974.562130083688</v>
      </c>
    </row>
    <row r="28" spans="2:8" ht="16" hidden="1" x14ac:dyDescent="0.2">
      <c r="B28" s="162">
        <f t="shared" si="2"/>
        <v>17</v>
      </c>
      <c r="C28" s="162">
        <f t="shared" si="0"/>
        <v>2019</v>
      </c>
      <c r="D28" s="160">
        <f t="shared" si="3"/>
        <v>43466</v>
      </c>
      <c r="E28" s="161">
        <f t="shared" si="4"/>
        <v>3448038.326447973</v>
      </c>
      <c r="F28" s="174">
        <f t="shared" si="1"/>
        <v>-87751.236444650858</v>
      </c>
      <c r="G28" s="163">
        <f t="shared" si="5"/>
        <v>73079.910457544538</v>
      </c>
      <c r="H28" s="163">
        <f t="shared" si="6"/>
        <v>14671.325987106326</v>
      </c>
    </row>
    <row r="29" spans="2:8" ht="16" hidden="1" x14ac:dyDescent="0.2">
      <c r="B29" s="162">
        <f t="shared" si="2"/>
        <v>18</v>
      </c>
      <c r="C29" s="162">
        <f t="shared" si="0"/>
        <v>2019</v>
      </c>
      <c r="D29" s="160">
        <f t="shared" si="3"/>
        <v>43497</v>
      </c>
      <c r="E29" s="161">
        <f t="shared" si="4"/>
        <v>3374653.9163635219</v>
      </c>
      <c r="F29" s="174">
        <f t="shared" si="1"/>
        <v>-87751.236444650858</v>
      </c>
      <c r="G29" s="163">
        <f t="shared" si="5"/>
        <v>73384.410084450967</v>
      </c>
      <c r="H29" s="163">
        <f t="shared" si="6"/>
        <v>14366.82636019989</v>
      </c>
    </row>
    <row r="30" spans="2:8" ht="16" hidden="1" x14ac:dyDescent="0.2">
      <c r="B30" s="162">
        <f t="shared" si="2"/>
        <v>19</v>
      </c>
      <c r="C30" s="162">
        <f t="shared" si="0"/>
        <v>2019</v>
      </c>
      <c r="D30" s="160">
        <f t="shared" si="3"/>
        <v>43525</v>
      </c>
      <c r="E30" s="161">
        <f t="shared" si="4"/>
        <v>3300963.7379037193</v>
      </c>
      <c r="F30" s="174">
        <f t="shared" si="1"/>
        <v>-87751.236444650858</v>
      </c>
      <c r="G30" s="163">
        <f t="shared" si="5"/>
        <v>73690.178459802846</v>
      </c>
      <c r="H30" s="163">
        <f t="shared" si="6"/>
        <v>14061.05798484801</v>
      </c>
    </row>
    <row r="31" spans="2:8" ht="16" hidden="1" x14ac:dyDescent="0.2">
      <c r="B31" s="162">
        <f t="shared" si="2"/>
        <v>20</v>
      </c>
      <c r="C31" s="162">
        <f t="shared" si="0"/>
        <v>2019</v>
      </c>
      <c r="D31" s="160">
        <f t="shared" si="3"/>
        <v>43556</v>
      </c>
      <c r="E31" s="161">
        <f t="shared" si="4"/>
        <v>3226966.5170336673</v>
      </c>
      <c r="F31" s="174">
        <f t="shared" si="1"/>
        <v>-87751.236444650858</v>
      </c>
      <c r="G31" s="163">
        <f t="shared" si="5"/>
        <v>73997.220870052028</v>
      </c>
      <c r="H31" s="163">
        <f t="shared" si="6"/>
        <v>13754.01557459883</v>
      </c>
    </row>
    <row r="32" spans="2:8" ht="16" hidden="1" x14ac:dyDescent="0.2">
      <c r="B32" s="162">
        <f t="shared" si="2"/>
        <v>21</v>
      </c>
      <c r="C32" s="162">
        <f t="shared" si="0"/>
        <v>2019</v>
      </c>
      <c r="D32" s="160">
        <f t="shared" si="3"/>
        <v>43586</v>
      </c>
      <c r="E32" s="161">
        <f t="shared" si="4"/>
        <v>3152660.97440999</v>
      </c>
      <c r="F32" s="174">
        <f t="shared" si="1"/>
        <v>-87751.236444650858</v>
      </c>
      <c r="G32" s="163">
        <f t="shared" si="5"/>
        <v>74305.542623677247</v>
      </c>
      <c r="H32" s="163">
        <f t="shared" si="6"/>
        <v>13445.693820973616</v>
      </c>
    </row>
    <row r="33" spans="2:8" ht="16" hidden="1" x14ac:dyDescent="0.2">
      <c r="B33" s="162">
        <f t="shared" si="2"/>
        <v>22</v>
      </c>
      <c r="C33" s="162">
        <f t="shared" si="0"/>
        <v>2019</v>
      </c>
      <c r="D33" s="160">
        <f t="shared" si="3"/>
        <v>43617</v>
      </c>
      <c r="E33" s="161">
        <f t="shared" si="4"/>
        <v>3078045.825358714</v>
      </c>
      <c r="F33" s="174">
        <f t="shared" si="1"/>
        <v>-87751.236444650858</v>
      </c>
      <c r="G33" s="163">
        <f t="shared" si="5"/>
        <v>74615.149051275905</v>
      </c>
      <c r="H33" s="163">
        <f t="shared" si="6"/>
        <v>13136.087393374959</v>
      </c>
    </row>
    <row r="34" spans="2:8" ht="16" hidden="1" x14ac:dyDescent="0.2">
      <c r="B34" s="162">
        <f t="shared" si="2"/>
        <v>23</v>
      </c>
      <c r="C34" s="162">
        <f t="shared" si="0"/>
        <v>2019</v>
      </c>
      <c r="D34" s="160">
        <f t="shared" si="3"/>
        <v>43647</v>
      </c>
      <c r="E34" s="161">
        <f t="shared" si="4"/>
        <v>3003119.7798530576</v>
      </c>
      <c r="F34" s="174">
        <f t="shared" si="1"/>
        <v>-87751.236444650858</v>
      </c>
      <c r="G34" s="163">
        <f t="shared" si="5"/>
        <v>74926.04550565622</v>
      </c>
      <c r="H34" s="163">
        <f t="shared" si="6"/>
        <v>12825.190938994643</v>
      </c>
    </row>
    <row r="35" spans="2:8" ht="16" hidden="1" x14ac:dyDescent="0.2">
      <c r="B35" s="162">
        <f t="shared" si="2"/>
        <v>24</v>
      </c>
      <c r="C35" s="162">
        <f t="shared" si="0"/>
        <v>2019</v>
      </c>
      <c r="D35" s="160">
        <f t="shared" si="3"/>
        <v>43678</v>
      </c>
      <c r="E35" s="161">
        <f t="shared" si="4"/>
        <v>2927881.5424911277</v>
      </c>
      <c r="F35" s="174">
        <f t="shared" si="1"/>
        <v>-87751.236444650858</v>
      </c>
      <c r="G35" s="163">
        <f t="shared" si="5"/>
        <v>75238.237361929787</v>
      </c>
      <c r="H35" s="163">
        <f t="shared" si="6"/>
        <v>12512.999082721073</v>
      </c>
    </row>
    <row r="36" spans="2:8" ht="16" hidden="1" x14ac:dyDescent="0.2">
      <c r="B36" s="162">
        <f t="shared" si="2"/>
        <v>25</v>
      </c>
      <c r="C36" s="162">
        <f t="shared" si="0"/>
        <v>2019</v>
      </c>
      <c r="D36" s="160">
        <f t="shared" si="3"/>
        <v>43709</v>
      </c>
      <c r="E36" s="161">
        <f t="shared" si="4"/>
        <v>2852329.8124735234</v>
      </c>
      <c r="F36" s="174">
        <f t="shared" si="1"/>
        <v>-87751.236444650858</v>
      </c>
      <c r="G36" s="163">
        <f t="shared" si="5"/>
        <v>75551.730017604496</v>
      </c>
      <c r="H36" s="163">
        <f t="shared" si="6"/>
        <v>12199.506427046364</v>
      </c>
    </row>
    <row r="37" spans="2:8" ht="16" hidden="1" x14ac:dyDescent="0.2">
      <c r="B37" s="162">
        <f t="shared" si="2"/>
        <v>26</v>
      </c>
      <c r="C37" s="162">
        <f t="shared" si="0"/>
        <v>2019</v>
      </c>
      <c r="D37" s="160">
        <f t="shared" si="3"/>
        <v>43739</v>
      </c>
      <c r="E37" s="161">
        <f t="shared" si="4"/>
        <v>2776463.2835808457</v>
      </c>
      <c r="F37" s="174">
        <f t="shared" si="1"/>
        <v>-87751.236444650858</v>
      </c>
      <c r="G37" s="163">
        <f t="shared" si="5"/>
        <v>75866.528892677845</v>
      </c>
      <c r="H37" s="163">
        <f t="shared" si="6"/>
        <v>11884.707551973015</v>
      </c>
    </row>
    <row r="38" spans="2:8" ht="16" hidden="1" x14ac:dyDescent="0.2">
      <c r="B38" s="162">
        <f t="shared" si="2"/>
        <v>27</v>
      </c>
      <c r="C38" s="162">
        <f t="shared" si="0"/>
        <v>2019</v>
      </c>
      <c r="D38" s="160">
        <f t="shared" si="3"/>
        <v>43770</v>
      </c>
      <c r="E38" s="161">
        <f t="shared" si="4"/>
        <v>2700280.6441511149</v>
      </c>
      <c r="F38" s="174">
        <f t="shared" si="1"/>
        <v>-87751.236444650858</v>
      </c>
      <c r="G38" s="163">
        <f t="shared" si="5"/>
        <v>76182.639429730669</v>
      </c>
      <c r="H38" s="163">
        <f t="shared" si="6"/>
        <v>11568.597014920191</v>
      </c>
    </row>
    <row r="39" spans="2:8" ht="16" hidden="1" x14ac:dyDescent="0.2">
      <c r="B39" s="162">
        <f t="shared" si="2"/>
        <v>28</v>
      </c>
      <c r="C39" s="162">
        <f t="shared" si="0"/>
        <v>2019</v>
      </c>
      <c r="D39" s="160">
        <f t="shared" si="3"/>
        <v>43800</v>
      </c>
      <c r="E39" s="161">
        <f t="shared" si="4"/>
        <v>2623780.5770570938</v>
      </c>
      <c r="F39" s="174">
        <f t="shared" si="1"/>
        <v>-87751.236444650858</v>
      </c>
      <c r="G39" s="163">
        <f t="shared" si="5"/>
        <v>76500.067094021215</v>
      </c>
      <c r="H39" s="163">
        <f t="shared" si="6"/>
        <v>11251.169350629645</v>
      </c>
    </row>
    <row r="40" spans="2:8" ht="16" hidden="1" x14ac:dyDescent="0.2">
      <c r="B40" s="162">
        <f t="shared" si="2"/>
        <v>29</v>
      </c>
      <c r="C40" s="162">
        <f t="shared" si="0"/>
        <v>2020</v>
      </c>
      <c r="D40" s="160">
        <f t="shared" si="3"/>
        <v>43831</v>
      </c>
      <c r="E40" s="161">
        <f t="shared" si="4"/>
        <v>2546961.759683514</v>
      </c>
      <c r="F40" s="174">
        <f t="shared" si="1"/>
        <v>-87751.236444650858</v>
      </c>
      <c r="G40" s="163">
        <f t="shared" si="5"/>
        <v>76818.81737357963</v>
      </c>
      <c r="H40" s="163">
        <f t="shared" si="6"/>
        <v>10932.419071071226</v>
      </c>
    </row>
    <row r="41" spans="2:8" ht="16" hidden="1" x14ac:dyDescent="0.2">
      <c r="B41" s="162">
        <f t="shared" si="2"/>
        <v>30</v>
      </c>
      <c r="C41" s="162">
        <f t="shared" si="0"/>
        <v>2020</v>
      </c>
      <c r="D41" s="160">
        <f t="shared" si="3"/>
        <v>43862</v>
      </c>
      <c r="E41" s="161">
        <f t="shared" si="4"/>
        <v>2469822.8639042112</v>
      </c>
      <c r="F41" s="174">
        <f t="shared" si="1"/>
        <v>-87751.236444650858</v>
      </c>
      <c r="G41" s="163">
        <f t="shared" si="5"/>
        <v>77138.895779302882</v>
      </c>
      <c r="H41" s="163">
        <f t="shared" si="6"/>
        <v>10612.340665347976</v>
      </c>
    </row>
    <row r="42" spans="2:8" ht="16" hidden="1" x14ac:dyDescent="0.2">
      <c r="B42" s="162">
        <f t="shared" si="2"/>
        <v>31</v>
      </c>
      <c r="C42" s="162">
        <f t="shared" si="0"/>
        <v>2020</v>
      </c>
      <c r="D42" s="160">
        <f t="shared" si="3"/>
        <v>43891</v>
      </c>
      <c r="E42" s="161">
        <f t="shared" si="4"/>
        <v>2392362.5560591612</v>
      </c>
      <c r="F42" s="174">
        <f t="shared" si="1"/>
        <v>-87751.236444650858</v>
      </c>
      <c r="G42" s="163">
        <f t="shared" si="5"/>
        <v>77460.307845049974</v>
      </c>
      <c r="H42" s="163">
        <f t="shared" si="6"/>
        <v>10290.92859960088</v>
      </c>
    </row>
    <row r="43" spans="2:8" ht="16" hidden="1" x14ac:dyDescent="0.2">
      <c r="B43" s="162">
        <f t="shared" si="2"/>
        <v>32</v>
      </c>
      <c r="C43" s="162">
        <f t="shared" si="0"/>
        <v>2020</v>
      </c>
      <c r="D43" s="160">
        <f t="shared" si="3"/>
        <v>43922</v>
      </c>
      <c r="E43" s="161">
        <f t="shared" si="4"/>
        <v>2314579.4969314234</v>
      </c>
      <c r="F43" s="174">
        <f t="shared" si="1"/>
        <v>-87751.236444650858</v>
      </c>
      <c r="G43" s="163">
        <f t="shared" si="5"/>
        <v>77783.059127737681</v>
      </c>
      <c r="H43" s="163">
        <f t="shared" si="6"/>
        <v>9968.177316913172</v>
      </c>
    </row>
    <row r="44" spans="2:8" ht="16" hidden="1" x14ac:dyDescent="0.2">
      <c r="B44" s="162">
        <f t="shared" si="2"/>
        <v>33</v>
      </c>
      <c r="C44" s="162">
        <f t="shared" si="0"/>
        <v>2020</v>
      </c>
      <c r="D44" s="160">
        <f t="shared" si="3"/>
        <v>43952</v>
      </c>
      <c r="E44" s="161">
        <f t="shared" si="4"/>
        <v>2236472.3417239869</v>
      </c>
      <c r="F44" s="174">
        <f t="shared" ref="F44:F75" si="7">IF(D44&lt;=$J$2,+$C$8,0)</f>
        <v>-87751.236444650858</v>
      </c>
      <c r="G44" s="163">
        <f t="shared" si="5"/>
        <v>78107.15520743659</v>
      </c>
      <c r="H44" s="163">
        <f t="shared" si="6"/>
        <v>9644.0812372142645</v>
      </c>
    </row>
    <row r="45" spans="2:8" ht="16" hidden="1" x14ac:dyDescent="0.2">
      <c r="B45" s="162">
        <f t="shared" si="2"/>
        <v>34</v>
      </c>
      <c r="C45" s="162">
        <f t="shared" si="0"/>
        <v>2020</v>
      </c>
      <c r="D45" s="160">
        <f t="shared" si="3"/>
        <v>43983</v>
      </c>
      <c r="E45" s="161">
        <f t="shared" si="4"/>
        <v>2158039.7400365192</v>
      </c>
      <c r="F45" s="174">
        <f t="shared" si="7"/>
        <v>-87751.236444650858</v>
      </c>
      <c r="G45" s="163">
        <f t="shared" si="5"/>
        <v>78432.601687467584</v>
      </c>
      <c r="H45" s="163">
        <f t="shared" si="6"/>
        <v>9318.6347571832794</v>
      </c>
    </row>
    <row r="46" spans="2:8" ht="16" hidden="1" x14ac:dyDescent="0.2">
      <c r="B46" s="162">
        <f t="shared" si="2"/>
        <v>35</v>
      </c>
      <c r="C46" s="162">
        <f t="shared" si="0"/>
        <v>2020</v>
      </c>
      <c r="D46" s="160">
        <f t="shared" si="3"/>
        <v>44013</v>
      </c>
      <c r="E46" s="161">
        <f t="shared" si="4"/>
        <v>2079280.3358420206</v>
      </c>
      <c r="F46" s="174">
        <f t="shared" si="7"/>
        <v>-87751.236444650858</v>
      </c>
      <c r="G46" s="163">
        <f t="shared" si="5"/>
        <v>78759.404194498697</v>
      </c>
      <c r="H46" s="163">
        <f t="shared" si="6"/>
        <v>8991.8322501521634</v>
      </c>
    </row>
    <row r="47" spans="2:8" ht="16" hidden="1" x14ac:dyDescent="0.2">
      <c r="B47" s="162">
        <f t="shared" si="2"/>
        <v>36</v>
      </c>
      <c r="C47" s="162">
        <f t="shared" si="0"/>
        <v>2020</v>
      </c>
      <c r="D47" s="160">
        <f t="shared" si="3"/>
        <v>44044</v>
      </c>
      <c r="E47" s="161">
        <f t="shared" si="4"/>
        <v>2000192.7674633781</v>
      </c>
      <c r="F47" s="174">
        <f t="shared" si="7"/>
        <v>-87751.236444650858</v>
      </c>
      <c r="G47" s="163">
        <f t="shared" si="5"/>
        <v>79087.568378642434</v>
      </c>
      <c r="H47" s="163">
        <f t="shared" si="6"/>
        <v>8663.6680660084185</v>
      </c>
    </row>
    <row r="48" spans="2:8" ht="16" hidden="1" x14ac:dyDescent="0.2">
      <c r="B48" s="162">
        <f t="shared" si="2"/>
        <v>37</v>
      </c>
      <c r="C48" s="162">
        <f t="shared" si="0"/>
        <v>2020</v>
      </c>
      <c r="D48" s="160">
        <f t="shared" si="3"/>
        <v>44075</v>
      </c>
      <c r="E48" s="161">
        <f t="shared" si="4"/>
        <v>1920775.6675498248</v>
      </c>
      <c r="F48" s="174">
        <f t="shared" si="7"/>
        <v>-87751.236444650858</v>
      </c>
      <c r="G48" s="163">
        <f t="shared" si="5"/>
        <v>79417.099913553451</v>
      </c>
      <c r="H48" s="163">
        <f t="shared" si="6"/>
        <v>8334.1365310974088</v>
      </c>
    </row>
    <row r="49" spans="1:8" ht="16" hidden="1" x14ac:dyDescent="0.2">
      <c r="B49" s="162">
        <f t="shared" si="2"/>
        <v>38</v>
      </c>
      <c r="C49" s="162">
        <f t="shared" si="0"/>
        <v>2020</v>
      </c>
      <c r="D49" s="160">
        <f t="shared" si="3"/>
        <v>44105</v>
      </c>
      <c r="E49" s="161">
        <f t="shared" si="4"/>
        <v>1841027.6630532981</v>
      </c>
      <c r="F49" s="174">
        <f t="shared" si="7"/>
        <v>-87751.236444650858</v>
      </c>
      <c r="G49" s="163">
        <f t="shared" si="5"/>
        <v>79748.004496526584</v>
      </c>
      <c r="H49" s="163">
        <f t="shared" si="6"/>
        <v>8003.2319481242703</v>
      </c>
    </row>
    <row r="50" spans="1:8" ht="16" hidden="1" x14ac:dyDescent="0.2">
      <c r="B50" s="162">
        <f t="shared" si="2"/>
        <v>39</v>
      </c>
      <c r="C50" s="162">
        <f t="shared" si="0"/>
        <v>2020</v>
      </c>
      <c r="D50" s="160">
        <f t="shared" si="3"/>
        <v>44136</v>
      </c>
      <c r="E50" s="161">
        <f t="shared" si="4"/>
        <v>1760947.3752047026</v>
      </c>
      <c r="F50" s="174">
        <f t="shared" si="7"/>
        <v>-87751.236444650858</v>
      </c>
      <c r="G50" s="163">
        <f t="shared" si="5"/>
        <v>80080.287848595442</v>
      </c>
      <c r="H50" s="163">
        <f t="shared" si="6"/>
        <v>7670.9485960554093</v>
      </c>
    </row>
    <row r="51" spans="1:8" ht="16" hidden="1" x14ac:dyDescent="0.2">
      <c r="B51" s="162">
        <f t="shared" si="2"/>
        <v>40</v>
      </c>
      <c r="C51" s="162">
        <f t="shared" si="0"/>
        <v>2020</v>
      </c>
      <c r="D51" s="160">
        <f t="shared" si="3"/>
        <v>44166</v>
      </c>
      <c r="E51" s="161">
        <f t="shared" si="4"/>
        <v>1680533.4194900712</v>
      </c>
      <c r="F51" s="174">
        <f t="shared" si="7"/>
        <v>-87751.236444650858</v>
      </c>
      <c r="G51" s="163">
        <f t="shared" si="5"/>
        <v>80413.955714631258</v>
      </c>
      <c r="H51" s="163">
        <f t="shared" si="6"/>
        <v>7337.2807300195955</v>
      </c>
    </row>
    <row r="52" spans="1:8" ht="16" hidden="1" x14ac:dyDescent="0.2">
      <c r="B52" s="162">
        <f t="shared" si="2"/>
        <v>41</v>
      </c>
      <c r="C52" s="162">
        <f t="shared" si="0"/>
        <v>2021</v>
      </c>
      <c r="D52" s="160">
        <f t="shared" si="3"/>
        <v>44197</v>
      </c>
      <c r="E52" s="161">
        <f t="shared" si="4"/>
        <v>1599784.405626629</v>
      </c>
      <c r="F52" s="174">
        <f t="shared" si="7"/>
        <v>-87751.236444650858</v>
      </c>
      <c r="G52" s="163">
        <f t="shared" si="5"/>
        <v>80749.013863442233</v>
      </c>
      <c r="H52" s="163">
        <f t="shared" si="6"/>
        <v>7002.2225812086299</v>
      </c>
    </row>
    <row r="53" spans="1:8" ht="16" hidden="1" x14ac:dyDescent="0.2">
      <c r="B53" s="162">
        <f t="shared" si="2"/>
        <v>42</v>
      </c>
      <c r="C53" s="162">
        <f t="shared" si="0"/>
        <v>2021</v>
      </c>
      <c r="D53" s="160">
        <f t="shared" si="3"/>
        <v>44228</v>
      </c>
      <c r="E53" s="161">
        <f t="shared" si="4"/>
        <v>1518698.9375387558</v>
      </c>
      <c r="F53" s="174">
        <f t="shared" si="7"/>
        <v>-87751.236444650858</v>
      </c>
      <c r="G53" s="163">
        <f t="shared" si="5"/>
        <v>81085.468087873232</v>
      </c>
      <c r="H53" s="163">
        <f t="shared" si="6"/>
        <v>6665.7683567776212</v>
      </c>
    </row>
    <row r="54" spans="1:8" ht="16" hidden="1" x14ac:dyDescent="0.2">
      <c r="B54" s="162">
        <f t="shared" si="2"/>
        <v>43</v>
      </c>
      <c r="C54" s="162">
        <f t="shared" si="0"/>
        <v>2021</v>
      </c>
      <c r="D54" s="160">
        <f t="shared" si="3"/>
        <v>44256</v>
      </c>
      <c r="E54" s="161">
        <f t="shared" si="4"/>
        <v>1437275.6133338497</v>
      </c>
      <c r="F54" s="174">
        <f t="shared" si="7"/>
        <v>-87751.236444650858</v>
      </c>
      <c r="G54" s="163">
        <f t="shared" si="5"/>
        <v>81423.324204906035</v>
      </c>
      <c r="H54" s="163">
        <f t="shared" si="6"/>
        <v>6327.9122397448164</v>
      </c>
    </row>
    <row r="55" spans="1:8" ht="16" hidden="1" x14ac:dyDescent="0.2">
      <c r="B55" s="162">
        <f t="shared" si="2"/>
        <v>44</v>
      </c>
      <c r="C55" s="162">
        <f t="shared" si="0"/>
        <v>2021</v>
      </c>
      <c r="D55" s="160">
        <f t="shared" si="3"/>
        <v>44287</v>
      </c>
      <c r="E55" s="161">
        <f t="shared" si="4"/>
        <v>1355513.0252780898</v>
      </c>
      <c r="F55" s="174">
        <f t="shared" si="7"/>
        <v>-87751.236444650858</v>
      </c>
      <c r="G55" s="163">
        <f t="shared" si="5"/>
        <v>81762.588055759814</v>
      </c>
      <c r="H55" s="163">
        <f t="shared" si="6"/>
        <v>5988.6483888910407</v>
      </c>
    </row>
    <row r="56" spans="1:8" ht="16" hidden="1" x14ac:dyDescent="0.2">
      <c r="B56" s="162">
        <f t="shared" si="2"/>
        <v>45</v>
      </c>
      <c r="C56" s="162">
        <f t="shared" si="0"/>
        <v>2021</v>
      </c>
      <c r="D56" s="160">
        <f t="shared" si="3"/>
        <v>44317</v>
      </c>
      <c r="E56" s="161">
        <f t="shared" si="4"/>
        <v>1273409.7597720977</v>
      </c>
      <c r="F56" s="174">
        <f t="shared" si="7"/>
        <v>-87751.236444650858</v>
      </c>
      <c r="G56" s="163">
        <f t="shared" si="5"/>
        <v>82103.265505992153</v>
      </c>
      <c r="H56" s="163">
        <f t="shared" si="6"/>
        <v>5647.9709386587083</v>
      </c>
    </row>
    <row r="57" spans="1:8" ht="16" hidden="1" x14ac:dyDescent="0.2">
      <c r="B57" s="162">
        <f t="shared" si="2"/>
        <v>46</v>
      </c>
      <c r="C57" s="162">
        <f t="shared" si="0"/>
        <v>2021</v>
      </c>
      <c r="D57" s="160">
        <f t="shared" si="3"/>
        <v>44348</v>
      </c>
      <c r="E57" s="161">
        <f t="shared" si="4"/>
        <v>1190964.3973264974</v>
      </c>
      <c r="F57" s="174">
        <f t="shared" si="7"/>
        <v>-87751.236444650858</v>
      </c>
      <c r="G57" s="163">
        <f t="shared" si="5"/>
        <v>82445.362445600447</v>
      </c>
      <c r="H57" s="163">
        <f t="shared" si="6"/>
        <v>5305.8739990504073</v>
      </c>
    </row>
    <row r="58" spans="1:8" ht="16" hidden="1" x14ac:dyDescent="0.2">
      <c r="B58" s="162">
        <f t="shared" si="2"/>
        <v>47</v>
      </c>
      <c r="C58" s="162">
        <f t="shared" si="0"/>
        <v>2021</v>
      </c>
      <c r="D58" s="160">
        <f t="shared" si="3"/>
        <v>44378</v>
      </c>
      <c r="E58" s="161">
        <f t="shared" si="4"/>
        <v>1108175.5125373737</v>
      </c>
      <c r="F58" s="174">
        <f t="shared" si="7"/>
        <v>-87751.236444650858</v>
      </c>
      <c r="G58" s="163">
        <f t="shared" si="5"/>
        <v>82788.884789123782</v>
      </c>
      <c r="H58" s="163">
        <f t="shared" si="6"/>
        <v>4962.3516555270726</v>
      </c>
    </row>
    <row r="59" spans="1:8" ht="16" hidden="1" x14ac:dyDescent="0.2">
      <c r="B59" s="162">
        <f t="shared" si="2"/>
        <v>48</v>
      </c>
      <c r="C59" s="162">
        <f t="shared" si="0"/>
        <v>2021</v>
      </c>
      <c r="D59" s="160">
        <f t="shared" si="3"/>
        <v>44409</v>
      </c>
      <c r="E59" s="161">
        <f t="shared" si="4"/>
        <v>1025041.6740616285</v>
      </c>
      <c r="F59" s="174">
        <f t="shared" si="7"/>
        <v>-87751.236444650858</v>
      </c>
      <c r="G59" s="163">
        <f t="shared" si="5"/>
        <v>83133.838475745128</v>
      </c>
      <c r="H59" s="163">
        <f t="shared" si="6"/>
        <v>4617.3979689057242</v>
      </c>
    </row>
    <row r="60" spans="1:8" ht="16" hidden="1" x14ac:dyDescent="0.2">
      <c r="B60" s="162">
        <f t="shared" si="2"/>
        <v>49</v>
      </c>
      <c r="C60" s="162">
        <f t="shared" si="0"/>
        <v>2021</v>
      </c>
      <c r="D60" s="160">
        <f t="shared" si="3"/>
        <v>44440</v>
      </c>
      <c r="E60" s="161">
        <f t="shared" si="4"/>
        <v>941561.44459223445</v>
      </c>
      <c r="F60" s="174">
        <f t="shared" si="7"/>
        <v>-87751.236444650858</v>
      </c>
      <c r="G60" s="163">
        <f t="shared" si="5"/>
        <v>83480.229469394078</v>
      </c>
      <c r="H60" s="163">
        <f t="shared" si="6"/>
        <v>4271.0069752567861</v>
      </c>
    </row>
    <row r="61" spans="1:8" ht="16" hidden="1" x14ac:dyDescent="0.2">
      <c r="B61" s="162">
        <f t="shared" si="2"/>
        <v>50</v>
      </c>
      <c r="C61" s="162">
        <f t="shared" si="0"/>
        <v>2021</v>
      </c>
      <c r="D61" s="160">
        <f t="shared" si="3"/>
        <v>44470</v>
      </c>
      <c r="E61" s="161">
        <f t="shared" si="4"/>
        <v>857733.38083338458</v>
      </c>
      <c r="F61" s="174">
        <f t="shared" si="7"/>
        <v>-87751.236444650858</v>
      </c>
      <c r="G61" s="163">
        <f t="shared" si="5"/>
        <v>83828.063758849879</v>
      </c>
      <c r="H61" s="163">
        <f t="shared" si="6"/>
        <v>3923.172685800977</v>
      </c>
    </row>
    <row r="62" spans="1:8" ht="16" hidden="1" x14ac:dyDescent="0.2">
      <c r="B62" s="162">
        <f t="shared" si="2"/>
        <v>51</v>
      </c>
      <c r="C62" s="162">
        <f t="shared" si="0"/>
        <v>2021</v>
      </c>
      <c r="D62" s="160">
        <f t="shared" si="3"/>
        <v>44501</v>
      </c>
      <c r="E62" s="161">
        <f t="shared" si="4"/>
        <v>773556.03347553953</v>
      </c>
      <c r="F62" s="174">
        <f t="shared" si="7"/>
        <v>-87751.236444650858</v>
      </c>
      <c r="G62" s="163">
        <f t="shared" si="5"/>
        <v>84177.347357845094</v>
      </c>
      <c r="H62" s="163">
        <f t="shared" si="6"/>
        <v>3573.8890868057692</v>
      </c>
    </row>
    <row r="63" spans="1:8" ht="17" hidden="1" thickBot="1" x14ac:dyDescent="0.25">
      <c r="B63" s="162">
        <f t="shared" si="2"/>
        <v>52</v>
      </c>
      <c r="C63" s="162">
        <f t="shared" si="0"/>
        <v>2021</v>
      </c>
      <c r="D63" s="160">
        <f t="shared" si="3"/>
        <v>44531</v>
      </c>
      <c r="E63" s="161">
        <f t="shared" si="4"/>
        <v>689027.94717037003</v>
      </c>
      <c r="F63" s="174">
        <f t="shared" si="7"/>
        <v>-87751.236444650858</v>
      </c>
      <c r="G63" s="163">
        <f t="shared" si="5"/>
        <v>84528.086305169447</v>
      </c>
      <c r="H63" s="163">
        <f t="shared" si="6"/>
        <v>3223.150139481415</v>
      </c>
    </row>
    <row r="64" spans="1:8" ht="16" x14ac:dyDescent="0.2">
      <c r="A64" t="s">
        <v>11</v>
      </c>
      <c r="B64" s="894">
        <f t="shared" si="2"/>
        <v>53</v>
      </c>
      <c r="C64" s="895">
        <f t="shared" si="0"/>
        <v>2022</v>
      </c>
      <c r="D64" s="896">
        <f t="shared" si="3"/>
        <v>44562</v>
      </c>
      <c r="E64" s="897">
        <f t="shared" si="4"/>
        <v>604147.66050559573</v>
      </c>
      <c r="F64" s="898">
        <f t="shared" si="7"/>
        <v>-87751.236444650858</v>
      </c>
      <c r="G64" s="899">
        <f t="shared" si="5"/>
        <v>84880.286664774321</v>
      </c>
      <c r="H64" s="900">
        <f t="shared" si="6"/>
        <v>2870.9497798765419</v>
      </c>
    </row>
    <row r="65" spans="1:8" ht="16" x14ac:dyDescent="0.2">
      <c r="A65" t="s">
        <v>12</v>
      </c>
      <c r="B65" s="901">
        <f t="shared" si="2"/>
        <v>54</v>
      </c>
      <c r="C65" s="902">
        <f t="shared" si="0"/>
        <v>2022</v>
      </c>
      <c r="D65" s="903">
        <f t="shared" si="3"/>
        <v>44593</v>
      </c>
      <c r="E65" s="904">
        <f t="shared" si="4"/>
        <v>518913.70597971819</v>
      </c>
      <c r="F65" s="905">
        <f t="shared" si="7"/>
        <v>-87751.236444650858</v>
      </c>
      <c r="G65" s="906">
        <f t="shared" si="5"/>
        <v>85233.954525877547</v>
      </c>
      <c r="H65" s="907">
        <f t="shared" si="6"/>
        <v>2517.2819187733157</v>
      </c>
    </row>
    <row r="66" spans="1:8" ht="16" x14ac:dyDescent="0.2">
      <c r="A66" t="s">
        <v>13</v>
      </c>
      <c r="B66" s="901">
        <f t="shared" si="2"/>
        <v>55</v>
      </c>
      <c r="C66" s="902">
        <f t="shared" si="0"/>
        <v>2022</v>
      </c>
      <c r="D66" s="903">
        <f t="shared" si="3"/>
        <v>44621</v>
      </c>
      <c r="E66" s="904">
        <f t="shared" si="4"/>
        <v>433324.60997664952</v>
      </c>
      <c r="F66" s="905">
        <f t="shared" si="7"/>
        <v>-87751.236444650858</v>
      </c>
      <c r="G66" s="906">
        <f t="shared" si="5"/>
        <v>85589.096003068698</v>
      </c>
      <c r="H66" s="907">
        <f t="shared" si="6"/>
        <v>2162.1404415821594</v>
      </c>
    </row>
    <row r="67" spans="1:8" ht="16" x14ac:dyDescent="0.2">
      <c r="A67" t="s">
        <v>14</v>
      </c>
      <c r="B67" s="901">
        <f t="shared" si="2"/>
        <v>56</v>
      </c>
      <c r="C67" s="902">
        <f t="shared" si="0"/>
        <v>2022</v>
      </c>
      <c r="D67" s="903">
        <f t="shared" si="3"/>
        <v>44652</v>
      </c>
      <c r="E67" s="904">
        <f t="shared" si="4"/>
        <v>347378.89274023473</v>
      </c>
      <c r="F67" s="905">
        <f t="shared" si="7"/>
        <v>-87751.236444650858</v>
      </c>
      <c r="G67" s="906">
        <f t="shared" si="5"/>
        <v>85945.717236414814</v>
      </c>
      <c r="H67" s="907">
        <f t="shared" si="6"/>
        <v>1805.5192082360397</v>
      </c>
    </row>
    <row r="68" spans="1:8" ht="16" x14ac:dyDescent="0.2">
      <c r="A68" t="s">
        <v>15</v>
      </c>
      <c r="B68" s="901">
        <f t="shared" si="2"/>
        <v>57</v>
      </c>
      <c r="C68" s="902">
        <f t="shared" si="0"/>
        <v>2022</v>
      </c>
      <c r="D68" s="903">
        <f t="shared" si="3"/>
        <v>44682</v>
      </c>
      <c r="E68" s="904">
        <f t="shared" si="4"/>
        <v>261075.06834866817</v>
      </c>
      <c r="F68" s="905">
        <f t="shared" si="7"/>
        <v>-87751.236444650858</v>
      </c>
      <c r="G68" s="906">
        <f t="shared" si="5"/>
        <v>86303.824391566552</v>
      </c>
      <c r="H68" s="907">
        <f t="shared" si="6"/>
        <v>1447.4120530843113</v>
      </c>
    </row>
    <row r="69" spans="1:8" ht="16" x14ac:dyDescent="0.2">
      <c r="A69" t="s">
        <v>16</v>
      </c>
      <c r="B69" s="901">
        <f t="shared" si="2"/>
        <v>58</v>
      </c>
      <c r="C69" s="902">
        <f t="shared" si="0"/>
        <v>2022</v>
      </c>
      <c r="D69" s="903">
        <f t="shared" si="3"/>
        <v>44713</v>
      </c>
      <c r="E69" s="904">
        <f t="shared" si="4"/>
        <v>174411.64468880341</v>
      </c>
      <c r="F69" s="905">
        <f t="shared" si="7"/>
        <v>-87751.236444650858</v>
      </c>
      <c r="G69" s="906">
        <f t="shared" si="5"/>
        <v>86663.42365986474</v>
      </c>
      <c r="H69" s="907">
        <f t="shared" si="6"/>
        <v>1087.8127847861174</v>
      </c>
    </row>
    <row r="70" spans="1:8" ht="16" x14ac:dyDescent="0.2">
      <c r="A70" t="s">
        <v>17</v>
      </c>
      <c r="B70" s="901">
        <f t="shared" si="2"/>
        <v>59</v>
      </c>
      <c r="C70" s="902">
        <f t="shared" si="0"/>
        <v>2022</v>
      </c>
      <c r="D70" s="903">
        <f t="shared" si="3"/>
        <v>44743</v>
      </c>
      <c r="E70" s="904">
        <f t="shared" si="4"/>
        <v>87387.123430355903</v>
      </c>
      <c r="F70" s="905">
        <f t="shared" si="7"/>
        <v>-87751.236444650858</v>
      </c>
      <c r="G70" s="906">
        <f t="shared" si="5"/>
        <v>87024.521258447508</v>
      </c>
      <c r="H70" s="907">
        <f t="shared" si="6"/>
        <v>726.71518620334757</v>
      </c>
    </row>
    <row r="71" spans="1:8" ht="16" x14ac:dyDescent="0.2">
      <c r="A71" t="s">
        <v>18</v>
      </c>
      <c r="B71" s="901">
        <f t="shared" si="2"/>
        <v>60</v>
      </c>
      <c r="C71" s="902">
        <f t="shared" si="0"/>
        <v>2022</v>
      </c>
      <c r="D71" s="903">
        <f t="shared" si="3"/>
        <v>44774</v>
      </c>
      <c r="E71" s="904">
        <f t="shared" si="4"/>
        <v>-1.8044374883174896E-9</v>
      </c>
      <c r="F71" s="905">
        <f t="shared" si="7"/>
        <v>-87751.236444650858</v>
      </c>
      <c r="G71" s="906">
        <f t="shared" si="5"/>
        <v>87387.123430357708</v>
      </c>
      <c r="H71" s="907">
        <f t="shared" si="6"/>
        <v>364.11301429314966</v>
      </c>
    </row>
    <row r="72" spans="1:8" ht="16" x14ac:dyDescent="0.2">
      <c r="A72" t="s">
        <v>19</v>
      </c>
      <c r="B72" s="901" t="str">
        <f t="shared" si="2"/>
        <v>-</v>
      </c>
      <c r="C72" s="902" t="str">
        <f t="shared" si="0"/>
        <v>-</v>
      </c>
      <c r="D72" s="903" t="str">
        <f t="shared" si="3"/>
        <v>-</v>
      </c>
      <c r="E72" s="904">
        <f t="shared" si="4"/>
        <v>-1.8044374883174896E-9</v>
      </c>
      <c r="F72" s="905">
        <f t="shared" si="7"/>
        <v>0</v>
      </c>
      <c r="G72" s="906">
        <f t="shared" si="5"/>
        <v>0</v>
      </c>
      <c r="H72" s="907">
        <f t="shared" si="6"/>
        <v>0</v>
      </c>
    </row>
    <row r="73" spans="1:8" ht="16" x14ac:dyDescent="0.2">
      <c r="A73" t="s">
        <v>20</v>
      </c>
      <c r="B73" s="901" t="str">
        <f t="shared" si="2"/>
        <v>-</v>
      </c>
      <c r="C73" s="902" t="str">
        <f t="shared" si="0"/>
        <v>-</v>
      </c>
      <c r="D73" s="903" t="str">
        <f t="shared" si="3"/>
        <v>-</v>
      </c>
      <c r="E73" s="904">
        <f t="shared" si="4"/>
        <v>-1.8044374883174896E-9</v>
      </c>
      <c r="F73" s="905">
        <f t="shared" si="7"/>
        <v>0</v>
      </c>
      <c r="G73" s="906">
        <f t="shared" si="5"/>
        <v>0</v>
      </c>
      <c r="H73" s="907">
        <f t="shared" si="6"/>
        <v>0</v>
      </c>
    </row>
    <row r="74" spans="1:8" ht="16" x14ac:dyDescent="0.2">
      <c r="A74" t="s">
        <v>21</v>
      </c>
      <c r="B74" s="901" t="str">
        <f t="shared" si="2"/>
        <v>-</v>
      </c>
      <c r="C74" s="902" t="str">
        <f t="shared" si="0"/>
        <v>-</v>
      </c>
      <c r="D74" s="903" t="str">
        <f t="shared" si="3"/>
        <v>-</v>
      </c>
      <c r="E74" s="904">
        <f t="shared" si="4"/>
        <v>-1.8044374883174896E-9</v>
      </c>
      <c r="F74" s="905">
        <f t="shared" si="7"/>
        <v>0</v>
      </c>
      <c r="G74" s="906">
        <f t="shared" si="5"/>
        <v>0</v>
      </c>
      <c r="H74" s="907">
        <f t="shared" si="6"/>
        <v>0</v>
      </c>
    </row>
    <row r="75" spans="1:8" ht="17" thickBot="1" x14ac:dyDescent="0.25">
      <c r="A75" t="s">
        <v>22</v>
      </c>
      <c r="B75" s="908" t="str">
        <f t="shared" si="2"/>
        <v>-</v>
      </c>
      <c r="C75" s="909" t="str">
        <f t="shared" si="0"/>
        <v>-</v>
      </c>
      <c r="D75" s="910" t="str">
        <f t="shared" si="3"/>
        <v>-</v>
      </c>
      <c r="E75" s="911">
        <f t="shared" si="4"/>
        <v>-1.8044374883174896E-9</v>
      </c>
      <c r="F75" s="912">
        <f t="shared" si="7"/>
        <v>0</v>
      </c>
      <c r="G75" s="913">
        <f t="shared" si="5"/>
        <v>0</v>
      </c>
      <c r="H75" s="914">
        <f t="shared" si="6"/>
        <v>0</v>
      </c>
    </row>
    <row r="76" spans="1:8" ht="16" hidden="1" x14ac:dyDescent="0.2">
      <c r="B76" s="162" t="str">
        <f t="shared" si="2"/>
        <v>-</v>
      </c>
      <c r="C76" s="162" t="str">
        <f t="shared" ref="C76:C139" si="8">IF(B76="-","-",YEAR(D76))</f>
        <v>-</v>
      </c>
      <c r="D76" s="160" t="str">
        <f t="shared" si="3"/>
        <v>-</v>
      </c>
      <c r="E76" s="161">
        <f t="shared" si="4"/>
        <v>-1.8044374883174896E-9</v>
      </c>
      <c r="F76" s="174">
        <f t="shared" ref="F76:F107" si="9">IF(D76&lt;=$J$2,+$C$8,0)</f>
        <v>0</v>
      </c>
      <c r="G76" s="163">
        <f t="shared" si="5"/>
        <v>0</v>
      </c>
      <c r="H76" s="163">
        <f t="shared" si="6"/>
        <v>0</v>
      </c>
    </row>
    <row r="77" spans="1:8" ht="16" hidden="1" x14ac:dyDescent="0.2">
      <c r="B77" s="162" t="str">
        <f t="shared" ref="B77:B140" si="10">IFERROR(IF((B76+1)&gt;$C$6,"-",B76+1),"-")</f>
        <v>-</v>
      </c>
      <c r="C77" s="162" t="str">
        <f t="shared" si="8"/>
        <v>-</v>
      </c>
      <c r="D77" s="160" t="str">
        <f t="shared" ref="D77:D140" si="11">IF(B77="-","-",EOMONTH(D76,0)+1)</f>
        <v>-</v>
      </c>
      <c r="E77" s="161">
        <f t="shared" ref="E77:E140" si="12">E76-G77</f>
        <v>-1.8044374883174896E-9</v>
      </c>
      <c r="F77" s="174">
        <f t="shared" si="9"/>
        <v>0</v>
      </c>
      <c r="G77" s="163">
        <f t="shared" ref="G77:G140" si="13">-F77-H77</f>
        <v>0</v>
      </c>
      <c r="H77" s="163">
        <f t="shared" ref="H77:H140" si="14">IF(F77=0,0,E76*$C$7/12)</f>
        <v>0</v>
      </c>
    </row>
    <row r="78" spans="1:8" ht="16" hidden="1" x14ac:dyDescent="0.2">
      <c r="B78" s="162" t="str">
        <f t="shared" si="10"/>
        <v>-</v>
      </c>
      <c r="C78" s="162" t="str">
        <f t="shared" si="8"/>
        <v>-</v>
      </c>
      <c r="D78" s="160" t="str">
        <f t="shared" si="11"/>
        <v>-</v>
      </c>
      <c r="E78" s="161">
        <f t="shared" si="12"/>
        <v>-1.8044374883174896E-9</v>
      </c>
      <c r="F78" s="174">
        <f t="shared" si="9"/>
        <v>0</v>
      </c>
      <c r="G78" s="163">
        <f t="shared" si="13"/>
        <v>0</v>
      </c>
      <c r="H78" s="163">
        <f t="shared" si="14"/>
        <v>0</v>
      </c>
    </row>
    <row r="79" spans="1:8" ht="16" hidden="1" x14ac:dyDescent="0.2">
      <c r="B79" s="162" t="str">
        <f t="shared" si="10"/>
        <v>-</v>
      </c>
      <c r="C79" s="162" t="str">
        <f t="shared" si="8"/>
        <v>-</v>
      </c>
      <c r="D79" s="160" t="str">
        <f t="shared" si="11"/>
        <v>-</v>
      </c>
      <c r="E79" s="161">
        <f t="shared" si="12"/>
        <v>-1.8044374883174896E-9</v>
      </c>
      <c r="F79" s="174">
        <f t="shared" si="9"/>
        <v>0</v>
      </c>
      <c r="G79" s="163">
        <f t="shared" si="13"/>
        <v>0</v>
      </c>
      <c r="H79" s="163">
        <f t="shared" si="14"/>
        <v>0</v>
      </c>
    </row>
    <row r="80" spans="1:8" ht="16" hidden="1" x14ac:dyDescent="0.2">
      <c r="B80" s="162" t="str">
        <f t="shared" si="10"/>
        <v>-</v>
      </c>
      <c r="C80" s="162" t="str">
        <f t="shared" si="8"/>
        <v>-</v>
      </c>
      <c r="D80" s="160" t="str">
        <f t="shared" si="11"/>
        <v>-</v>
      </c>
      <c r="E80" s="161">
        <f t="shared" si="12"/>
        <v>-1.8044374883174896E-9</v>
      </c>
      <c r="F80" s="174">
        <f t="shared" si="9"/>
        <v>0</v>
      </c>
      <c r="G80" s="163">
        <f t="shared" si="13"/>
        <v>0</v>
      </c>
      <c r="H80" s="163">
        <f t="shared" si="14"/>
        <v>0</v>
      </c>
    </row>
    <row r="81" spans="2:8" ht="16" hidden="1" x14ac:dyDescent="0.2">
      <c r="B81" s="162" t="str">
        <f t="shared" si="10"/>
        <v>-</v>
      </c>
      <c r="C81" s="162" t="str">
        <f t="shared" si="8"/>
        <v>-</v>
      </c>
      <c r="D81" s="160" t="str">
        <f t="shared" si="11"/>
        <v>-</v>
      </c>
      <c r="E81" s="161">
        <f t="shared" si="12"/>
        <v>-1.8044374883174896E-9</v>
      </c>
      <c r="F81" s="174">
        <f t="shared" si="9"/>
        <v>0</v>
      </c>
      <c r="G81" s="163">
        <f t="shared" si="13"/>
        <v>0</v>
      </c>
      <c r="H81" s="163">
        <f t="shared" si="14"/>
        <v>0</v>
      </c>
    </row>
    <row r="82" spans="2:8" ht="16" hidden="1" x14ac:dyDescent="0.2">
      <c r="B82" s="162" t="str">
        <f t="shared" si="10"/>
        <v>-</v>
      </c>
      <c r="C82" s="162" t="str">
        <f t="shared" si="8"/>
        <v>-</v>
      </c>
      <c r="D82" s="160" t="str">
        <f t="shared" si="11"/>
        <v>-</v>
      </c>
      <c r="E82" s="161">
        <f t="shared" si="12"/>
        <v>-1.8044374883174896E-9</v>
      </c>
      <c r="F82" s="174">
        <f t="shared" si="9"/>
        <v>0</v>
      </c>
      <c r="G82" s="163">
        <f t="shared" si="13"/>
        <v>0</v>
      </c>
      <c r="H82" s="163">
        <f t="shared" si="14"/>
        <v>0</v>
      </c>
    </row>
    <row r="83" spans="2:8" ht="16" hidden="1" x14ac:dyDescent="0.2">
      <c r="B83" s="162" t="str">
        <f t="shared" si="10"/>
        <v>-</v>
      </c>
      <c r="C83" s="162" t="str">
        <f t="shared" si="8"/>
        <v>-</v>
      </c>
      <c r="D83" s="160" t="str">
        <f t="shared" si="11"/>
        <v>-</v>
      </c>
      <c r="E83" s="161">
        <f t="shared" si="12"/>
        <v>-1.8044374883174896E-9</v>
      </c>
      <c r="F83" s="174">
        <f t="shared" si="9"/>
        <v>0</v>
      </c>
      <c r="G83" s="163">
        <f t="shared" si="13"/>
        <v>0</v>
      </c>
      <c r="H83" s="163">
        <f t="shared" si="14"/>
        <v>0</v>
      </c>
    </row>
    <row r="84" spans="2:8" ht="16" hidden="1" x14ac:dyDescent="0.2">
      <c r="B84" s="162" t="str">
        <f t="shared" si="10"/>
        <v>-</v>
      </c>
      <c r="C84" s="162" t="str">
        <f t="shared" si="8"/>
        <v>-</v>
      </c>
      <c r="D84" s="160" t="str">
        <f t="shared" si="11"/>
        <v>-</v>
      </c>
      <c r="E84" s="161">
        <f t="shared" si="12"/>
        <v>-1.8044374883174896E-9</v>
      </c>
      <c r="F84" s="174">
        <f t="shared" si="9"/>
        <v>0</v>
      </c>
      <c r="G84" s="163">
        <f t="shared" si="13"/>
        <v>0</v>
      </c>
      <c r="H84" s="163">
        <f t="shared" si="14"/>
        <v>0</v>
      </c>
    </row>
    <row r="85" spans="2:8" ht="16" hidden="1" x14ac:dyDescent="0.2">
      <c r="B85" s="162" t="str">
        <f t="shared" si="10"/>
        <v>-</v>
      </c>
      <c r="C85" s="162" t="str">
        <f t="shared" si="8"/>
        <v>-</v>
      </c>
      <c r="D85" s="160" t="str">
        <f t="shared" si="11"/>
        <v>-</v>
      </c>
      <c r="E85" s="161">
        <f t="shared" si="12"/>
        <v>-1.8044374883174896E-9</v>
      </c>
      <c r="F85" s="174">
        <f t="shared" si="9"/>
        <v>0</v>
      </c>
      <c r="G85" s="163">
        <f t="shared" si="13"/>
        <v>0</v>
      </c>
      <c r="H85" s="163">
        <f t="shared" si="14"/>
        <v>0</v>
      </c>
    </row>
    <row r="86" spans="2:8" ht="16" hidden="1" x14ac:dyDescent="0.2">
      <c r="B86" s="162" t="str">
        <f t="shared" si="10"/>
        <v>-</v>
      </c>
      <c r="C86" s="162" t="str">
        <f t="shared" si="8"/>
        <v>-</v>
      </c>
      <c r="D86" s="160" t="str">
        <f t="shared" si="11"/>
        <v>-</v>
      </c>
      <c r="E86" s="161">
        <f t="shared" si="12"/>
        <v>-1.8044374883174896E-9</v>
      </c>
      <c r="F86" s="174">
        <f t="shared" si="9"/>
        <v>0</v>
      </c>
      <c r="G86" s="163">
        <f t="shared" si="13"/>
        <v>0</v>
      </c>
      <c r="H86" s="163">
        <f t="shared" si="14"/>
        <v>0</v>
      </c>
    </row>
    <row r="87" spans="2:8" ht="16" hidden="1" x14ac:dyDescent="0.2">
      <c r="B87" s="162" t="str">
        <f t="shared" si="10"/>
        <v>-</v>
      </c>
      <c r="C87" s="162" t="str">
        <f t="shared" si="8"/>
        <v>-</v>
      </c>
      <c r="D87" s="160" t="str">
        <f t="shared" si="11"/>
        <v>-</v>
      </c>
      <c r="E87" s="161">
        <f t="shared" si="12"/>
        <v>-1.8044374883174896E-9</v>
      </c>
      <c r="F87" s="174">
        <f t="shared" si="9"/>
        <v>0</v>
      </c>
      <c r="G87" s="163">
        <f t="shared" si="13"/>
        <v>0</v>
      </c>
      <c r="H87" s="163">
        <f t="shared" si="14"/>
        <v>0</v>
      </c>
    </row>
    <row r="88" spans="2:8" ht="16" hidden="1" x14ac:dyDescent="0.2">
      <c r="B88" s="162" t="str">
        <f t="shared" si="10"/>
        <v>-</v>
      </c>
      <c r="C88" s="162" t="str">
        <f t="shared" si="8"/>
        <v>-</v>
      </c>
      <c r="D88" s="160" t="str">
        <f t="shared" si="11"/>
        <v>-</v>
      </c>
      <c r="E88" s="161">
        <f t="shared" si="12"/>
        <v>-1.8044374883174896E-9</v>
      </c>
      <c r="F88" s="174">
        <f t="shared" si="9"/>
        <v>0</v>
      </c>
      <c r="G88" s="163">
        <f t="shared" si="13"/>
        <v>0</v>
      </c>
      <c r="H88" s="163">
        <f t="shared" si="14"/>
        <v>0</v>
      </c>
    </row>
    <row r="89" spans="2:8" ht="16" hidden="1" x14ac:dyDescent="0.2">
      <c r="B89" s="162" t="str">
        <f t="shared" si="10"/>
        <v>-</v>
      </c>
      <c r="C89" s="162" t="str">
        <f t="shared" si="8"/>
        <v>-</v>
      </c>
      <c r="D89" s="160" t="str">
        <f t="shared" si="11"/>
        <v>-</v>
      </c>
      <c r="E89" s="161">
        <f t="shared" si="12"/>
        <v>-1.8044374883174896E-9</v>
      </c>
      <c r="F89" s="174">
        <f t="shared" si="9"/>
        <v>0</v>
      </c>
      <c r="G89" s="163">
        <f t="shared" si="13"/>
        <v>0</v>
      </c>
      <c r="H89" s="163">
        <f t="shared" si="14"/>
        <v>0</v>
      </c>
    </row>
    <row r="90" spans="2:8" ht="16" hidden="1" x14ac:dyDescent="0.2">
      <c r="B90" s="162" t="str">
        <f t="shared" si="10"/>
        <v>-</v>
      </c>
      <c r="C90" s="162" t="str">
        <f t="shared" si="8"/>
        <v>-</v>
      </c>
      <c r="D90" s="160" t="str">
        <f t="shared" si="11"/>
        <v>-</v>
      </c>
      <c r="E90" s="161">
        <f t="shared" si="12"/>
        <v>-1.8044374883174896E-9</v>
      </c>
      <c r="F90" s="174">
        <f t="shared" si="9"/>
        <v>0</v>
      </c>
      <c r="G90" s="163">
        <f t="shared" si="13"/>
        <v>0</v>
      </c>
      <c r="H90" s="163">
        <f t="shared" si="14"/>
        <v>0</v>
      </c>
    </row>
    <row r="91" spans="2:8" ht="16" hidden="1" x14ac:dyDescent="0.2">
      <c r="B91" s="162" t="str">
        <f t="shared" si="10"/>
        <v>-</v>
      </c>
      <c r="C91" s="162" t="str">
        <f t="shared" si="8"/>
        <v>-</v>
      </c>
      <c r="D91" s="160" t="str">
        <f t="shared" si="11"/>
        <v>-</v>
      </c>
      <c r="E91" s="161">
        <f t="shared" si="12"/>
        <v>-1.8044374883174896E-9</v>
      </c>
      <c r="F91" s="174">
        <f t="shared" si="9"/>
        <v>0</v>
      </c>
      <c r="G91" s="163">
        <f t="shared" si="13"/>
        <v>0</v>
      </c>
      <c r="H91" s="163">
        <f t="shared" si="14"/>
        <v>0</v>
      </c>
    </row>
    <row r="92" spans="2:8" ht="16" hidden="1" x14ac:dyDescent="0.2">
      <c r="B92" s="162" t="str">
        <f t="shared" si="10"/>
        <v>-</v>
      </c>
      <c r="C92" s="162" t="str">
        <f t="shared" si="8"/>
        <v>-</v>
      </c>
      <c r="D92" s="160" t="str">
        <f t="shared" si="11"/>
        <v>-</v>
      </c>
      <c r="E92" s="161">
        <f t="shared" si="12"/>
        <v>-1.8044374883174896E-9</v>
      </c>
      <c r="F92" s="174">
        <f t="shared" si="9"/>
        <v>0</v>
      </c>
      <c r="G92" s="163">
        <f t="shared" si="13"/>
        <v>0</v>
      </c>
      <c r="H92" s="163">
        <f t="shared" si="14"/>
        <v>0</v>
      </c>
    </row>
    <row r="93" spans="2:8" ht="16" hidden="1" x14ac:dyDescent="0.2">
      <c r="B93" s="162" t="str">
        <f t="shared" si="10"/>
        <v>-</v>
      </c>
      <c r="C93" s="162" t="str">
        <f t="shared" si="8"/>
        <v>-</v>
      </c>
      <c r="D93" s="160" t="str">
        <f t="shared" si="11"/>
        <v>-</v>
      </c>
      <c r="E93" s="161">
        <f t="shared" si="12"/>
        <v>-1.8044374883174896E-9</v>
      </c>
      <c r="F93" s="174">
        <f t="shared" si="9"/>
        <v>0</v>
      </c>
      <c r="G93" s="163">
        <f t="shared" si="13"/>
        <v>0</v>
      </c>
      <c r="H93" s="163">
        <f t="shared" si="14"/>
        <v>0</v>
      </c>
    </row>
    <row r="94" spans="2:8" ht="16" hidden="1" x14ac:dyDescent="0.2">
      <c r="B94" s="162" t="str">
        <f t="shared" si="10"/>
        <v>-</v>
      </c>
      <c r="C94" s="162" t="str">
        <f t="shared" si="8"/>
        <v>-</v>
      </c>
      <c r="D94" s="160" t="str">
        <f t="shared" si="11"/>
        <v>-</v>
      </c>
      <c r="E94" s="161">
        <f t="shared" si="12"/>
        <v>-1.8044374883174896E-9</v>
      </c>
      <c r="F94" s="174">
        <f t="shared" si="9"/>
        <v>0</v>
      </c>
      <c r="G94" s="163">
        <f t="shared" si="13"/>
        <v>0</v>
      </c>
      <c r="H94" s="163">
        <f t="shared" si="14"/>
        <v>0</v>
      </c>
    </row>
    <row r="95" spans="2:8" ht="16" hidden="1" x14ac:dyDescent="0.2">
      <c r="B95" s="162" t="str">
        <f t="shared" si="10"/>
        <v>-</v>
      </c>
      <c r="C95" s="162" t="str">
        <f t="shared" si="8"/>
        <v>-</v>
      </c>
      <c r="D95" s="160" t="str">
        <f t="shared" si="11"/>
        <v>-</v>
      </c>
      <c r="E95" s="161">
        <f t="shared" si="12"/>
        <v>-1.8044374883174896E-9</v>
      </c>
      <c r="F95" s="174">
        <f t="shared" si="9"/>
        <v>0</v>
      </c>
      <c r="G95" s="163">
        <f t="shared" si="13"/>
        <v>0</v>
      </c>
      <c r="H95" s="163">
        <f t="shared" si="14"/>
        <v>0</v>
      </c>
    </row>
    <row r="96" spans="2:8" ht="16" hidden="1" x14ac:dyDescent="0.2">
      <c r="B96" s="162" t="str">
        <f t="shared" si="10"/>
        <v>-</v>
      </c>
      <c r="C96" s="162" t="str">
        <f t="shared" si="8"/>
        <v>-</v>
      </c>
      <c r="D96" s="160" t="str">
        <f t="shared" si="11"/>
        <v>-</v>
      </c>
      <c r="E96" s="161">
        <f t="shared" si="12"/>
        <v>-1.8044374883174896E-9</v>
      </c>
      <c r="F96" s="174">
        <f t="shared" si="9"/>
        <v>0</v>
      </c>
      <c r="G96" s="163">
        <f t="shared" si="13"/>
        <v>0</v>
      </c>
      <c r="H96" s="163">
        <f t="shared" si="14"/>
        <v>0</v>
      </c>
    </row>
    <row r="97" spans="2:8" ht="16" hidden="1" x14ac:dyDescent="0.2">
      <c r="B97" s="162" t="str">
        <f t="shared" si="10"/>
        <v>-</v>
      </c>
      <c r="C97" s="162" t="str">
        <f t="shared" si="8"/>
        <v>-</v>
      </c>
      <c r="D97" s="160" t="str">
        <f t="shared" si="11"/>
        <v>-</v>
      </c>
      <c r="E97" s="161">
        <f t="shared" si="12"/>
        <v>-1.8044374883174896E-9</v>
      </c>
      <c r="F97" s="174">
        <f t="shared" si="9"/>
        <v>0</v>
      </c>
      <c r="G97" s="163">
        <f t="shared" si="13"/>
        <v>0</v>
      </c>
      <c r="H97" s="163">
        <f t="shared" si="14"/>
        <v>0</v>
      </c>
    </row>
    <row r="98" spans="2:8" ht="16" hidden="1" x14ac:dyDescent="0.2">
      <c r="B98" s="162" t="str">
        <f t="shared" si="10"/>
        <v>-</v>
      </c>
      <c r="C98" s="162" t="str">
        <f t="shared" si="8"/>
        <v>-</v>
      </c>
      <c r="D98" s="160" t="str">
        <f t="shared" si="11"/>
        <v>-</v>
      </c>
      <c r="E98" s="161">
        <f t="shared" si="12"/>
        <v>-1.8044374883174896E-9</v>
      </c>
      <c r="F98" s="174">
        <f t="shared" si="9"/>
        <v>0</v>
      </c>
      <c r="G98" s="163">
        <f t="shared" si="13"/>
        <v>0</v>
      </c>
      <c r="H98" s="163">
        <f t="shared" si="14"/>
        <v>0</v>
      </c>
    </row>
    <row r="99" spans="2:8" ht="16" hidden="1" x14ac:dyDescent="0.2">
      <c r="B99" s="162" t="str">
        <f t="shared" si="10"/>
        <v>-</v>
      </c>
      <c r="C99" s="162" t="str">
        <f t="shared" si="8"/>
        <v>-</v>
      </c>
      <c r="D99" s="160" t="str">
        <f t="shared" si="11"/>
        <v>-</v>
      </c>
      <c r="E99" s="161">
        <f t="shared" si="12"/>
        <v>-1.8044374883174896E-9</v>
      </c>
      <c r="F99" s="174">
        <f t="shared" si="9"/>
        <v>0</v>
      </c>
      <c r="G99" s="163">
        <f t="shared" si="13"/>
        <v>0</v>
      </c>
      <c r="H99" s="163">
        <f t="shared" si="14"/>
        <v>0</v>
      </c>
    </row>
    <row r="100" spans="2:8" ht="16" hidden="1" x14ac:dyDescent="0.2">
      <c r="B100" s="162" t="str">
        <f t="shared" si="10"/>
        <v>-</v>
      </c>
      <c r="C100" s="162" t="str">
        <f t="shared" si="8"/>
        <v>-</v>
      </c>
      <c r="D100" s="160" t="str">
        <f t="shared" si="11"/>
        <v>-</v>
      </c>
      <c r="E100" s="161">
        <f t="shared" si="12"/>
        <v>-1.8044374883174896E-9</v>
      </c>
      <c r="F100" s="174">
        <f t="shared" si="9"/>
        <v>0</v>
      </c>
      <c r="G100" s="163">
        <f t="shared" si="13"/>
        <v>0</v>
      </c>
      <c r="H100" s="163">
        <f t="shared" si="14"/>
        <v>0</v>
      </c>
    </row>
    <row r="101" spans="2:8" ht="16" hidden="1" x14ac:dyDescent="0.2">
      <c r="B101" s="162" t="str">
        <f t="shared" si="10"/>
        <v>-</v>
      </c>
      <c r="C101" s="162" t="str">
        <f t="shared" si="8"/>
        <v>-</v>
      </c>
      <c r="D101" s="160" t="str">
        <f t="shared" si="11"/>
        <v>-</v>
      </c>
      <c r="E101" s="161">
        <f t="shared" si="12"/>
        <v>-1.8044374883174896E-9</v>
      </c>
      <c r="F101" s="174">
        <f t="shared" si="9"/>
        <v>0</v>
      </c>
      <c r="G101" s="163">
        <f t="shared" si="13"/>
        <v>0</v>
      </c>
      <c r="H101" s="163">
        <f t="shared" si="14"/>
        <v>0</v>
      </c>
    </row>
    <row r="102" spans="2:8" ht="16" hidden="1" x14ac:dyDescent="0.2">
      <c r="B102" s="162" t="str">
        <f t="shared" si="10"/>
        <v>-</v>
      </c>
      <c r="C102" s="162" t="str">
        <f t="shared" si="8"/>
        <v>-</v>
      </c>
      <c r="D102" s="160" t="str">
        <f t="shared" si="11"/>
        <v>-</v>
      </c>
      <c r="E102" s="161">
        <f t="shared" si="12"/>
        <v>-1.8044374883174896E-9</v>
      </c>
      <c r="F102" s="174">
        <f t="shared" si="9"/>
        <v>0</v>
      </c>
      <c r="G102" s="163">
        <f t="shared" si="13"/>
        <v>0</v>
      </c>
      <c r="H102" s="163">
        <f t="shared" si="14"/>
        <v>0</v>
      </c>
    </row>
    <row r="103" spans="2:8" ht="16" hidden="1" x14ac:dyDescent="0.2">
      <c r="B103" s="162" t="str">
        <f t="shared" si="10"/>
        <v>-</v>
      </c>
      <c r="C103" s="162" t="str">
        <f t="shared" si="8"/>
        <v>-</v>
      </c>
      <c r="D103" s="160" t="str">
        <f t="shared" si="11"/>
        <v>-</v>
      </c>
      <c r="E103" s="161">
        <f t="shared" si="12"/>
        <v>-1.8044374883174896E-9</v>
      </c>
      <c r="F103" s="174">
        <f t="shared" si="9"/>
        <v>0</v>
      </c>
      <c r="G103" s="163">
        <f t="shared" si="13"/>
        <v>0</v>
      </c>
      <c r="H103" s="163">
        <f t="shared" si="14"/>
        <v>0</v>
      </c>
    </row>
    <row r="104" spans="2:8" ht="16" hidden="1" x14ac:dyDescent="0.2">
      <c r="B104" s="162" t="str">
        <f t="shared" si="10"/>
        <v>-</v>
      </c>
      <c r="C104" s="162" t="str">
        <f t="shared" si="8"/>
        <v>-</v>
      </c>
      <c r="D104" s="160" t="str">
        <f t="shared" si="11"/>
        <v>-</v>
      </c>
      <c r="E104" s="161">
        <f t="shared" si="12"/>
        <v>-1.8044374883174896E-9</v>
      </c>
      <c r="F104" s="174">
        <f t="shared" si="9"/>
        <v>0</v>
      </c>
      <c r="G104" s="163">
        <f t="shared" si="13"/>
        <v>0</v>
      </c>
      <c r="H104" s="163">
        <f t="shared" si="14"/>
        <v>0</v>
      </c>
    </row>
    <row r="105" spans="2:8" ht="16" hidden="1" x14ac:dyDescent="0.2">
      <c r="B105" s="162" t="str">
        <f t="shared" si="10"/>
        <v>-</v>
      </c>
      <c r="C105" s="162" t="str">
        <f t="shared" si="8"/>
        <v>-</v>
      </c>
      <c r="D105" s="160" t="str">
        <f t="shared" si="11"/>
        <v>-</v>
      </c>
      <c r="E105" s="161">
        <f t="shared" si="12"/>
        <v>-1.8044374883174896E-9</v>
      </c>
      <c r="F105" s="174">
        <f t="shared" si="9"/>
        <v>0</v>
      </c>
      <c r="G105" s="163">
        <f t="shared" si="13"/>
        <v>0</v>
      </c>
      <c r="H105" s="163">
        <f t="shared" si="14"/>
        <v>0</v>
      </c>
    </row>
    <row r="106" spans="2:8" ht="16" hidden="1" x14ac:dyDescent="0.2">
      <c r="B106" s="162" t="str">
        <f t="shared" si="10"/>
        <v>-</v>
      </c>
      <c r="C106" s="162" t="str">
        <f t="shared" si="8"/>
        <v>-</v>
      </c>
      <c r="D106" s="160" t="str">
        <f t="shared" si="11"/>
        <v>-</v>
      </c>
      <c r="E106" s="161">
        <f t="shared" si="12"/>
        <v>-1.8044374883174896E-9</v>
      </c>
      <c r="F106" s="174">
        <f t="shared" si="9"/>
        <v>0</v>
      </c>
      <c r="G106" s="163">
        <f t="shared" si="13"/>
        <v>0</v>
      </c>
      <c r="H106" s="163">
        <f t="shared" si="14"/>
        <v>0</v>
      </c>
    </row>
    <row r="107" spans="2:8" ht="16" hidden="1" x14ac:dyDescent="0.2">
      <c r="B107" s="162" t="str">
        <f t="shared" si="10"/>
        <v>-</v>
      </c>
      <c r="C107" s="162" t="str">
        <f t="shared" si="8"/>
        <v>-</v>
      </c>
      <c r="D107" s="160" t="str">
        <f t="shared" si="11"/>
        <v>-</v>
      </c>
      <c r="E107" s="161">
        <f t="shared" si="12"/>
        <v>-1.8044374883174896E-9</v>
      </c>
      <c r="F107" s="174">
        <f t="shared" si="9"/>
        <v>0</v>
      </c>
      <c r="G107" s="163">
        <f t="shared" si="13"/>
        <v>0</v>
      </c>
      <c r="H107" s="163">
        <f t="shared" si="14"/>
        <v>0</v>
      </c>
    </row>
    <row r="108" spans="2:8" ht="16" hidden="1" x14ac:dyDescent="0.2">
      <c r="B108" s="162" t="str">
        <f t="shared" si="10"/>
        <v>-</v>
      </c>
      <c r="C108" s="162" t="str">
        <f t="shared" si="8"/>
        <v>-</v>
      </c>
      <c r="D108" s="160" t="str">
        <f t="shared" si="11"/>
        <v>-</v>
      </c>
      <c r="E108" s="161">
        <f t="shared" si="12"/>
        <v>-1.8044374883174896E-9</v>
      </c>
      <c r="F108" s="174">
        <f t="shared" ref="F108:F139" si="15">IF(D108&lt;=$J$2,+$C$8,0)</f>
        <v>0</v>
      </c>
      <c r="G108" s="163">
        <f t="shared" si="13"/>
        <v>0</v>
      </c>
      <c r="H108" s="163">
        <f t="shared" si="14"/>
        <v>0</v>
      </c>
    </row>
    <row r="109" spans="2:8" ht="16" hidden="1" x14ac:dyDescent="0.2">
      <c r="B109" s="162" t="str">
        <f t="shared" si="10"/>
        <v>-</v>
      </c>
      <c r="C109" s="162" t="str">
        <f t="shared" si="8"/>
        <v>-</v>
      </c>
      <c r="D109" s="160" t="str">
        <f t="shared" si="11"/>
        <v>-</v>
      </c>
      <c r="E109" s="161">
        <f t="shared" si="12"/>
        <v>-1.8044374883174896E-9</v>
      </c>
      <c r="F109" s="174">
        <f t="shared" si="15"/>
        <v>0</v>
      </c>
      <c r="G109" s="163">
        <f t="shared" si="13"/>
        <v>0</v>
      </c>
      <c r="H109" s="163">
        <f t="shared" si="14"/>
        <v>0</v>
      </c>
    </row>
    <row r="110" spans="2:8" ht="16" hidden="1" x14ac:dyDescent="0.2">
      <c r="B110" s="162" t="str">
        <f t="shared" si="10"/>
        <v>-</v>
      </c>
      <c r="C110" s="162" t="str">
        <f t="shared" si="8"/>
        <v>-</v>
      </c>
      <c r="D110" s="160" t="str">
        <f t="shared" si="11"/>
        <v>-</v>
      </c>
      <c r="E110" s="161">
        <f t="shared" si="12"/>
        <v>-1.8044374883174896E-9</v>
      </c>
      <c r="F110" s="174">
        <f t="shared" si="15"/>
        <v>0</v>
      </c>
      <c r="G110" s="163">
        <f t="shared" si="13"/>
        <v>0</v>
      </c>
      <c r="H110" s="163">
        <f t="shared" si="14"/>
        <v>0</v>
      </c>
    </row>
    <row r="111" spans="2:8" ht="16" hidden="1" x14ac:dyDescent="0.2">
      <c r="B111" s="162" t="str">
        <f t="shared" si="10"/>
        <v>-</v>
      </c>
      <c r="C111" s="162" t="str">
        <f t="shared" si="8"/>
        <v>-</v>
      </c>
      <c r="D111" s="160" t="str">
        <f t="shared" si="11"/>
        <v>-</v>
      </c>
      <c r="E111" s="161">
        <f t="shared" si="12"/>
        <v>-1.8044374883174896E-9</v>
      </c>
      <c r="F111" s="174">
        <f t="shared" si="15"/>
        <v>0</v>
      </c>
      <c r="G111" s="163">
        <f t="shared" si="13"/>
        <v>0</v>
      </c>
      <c r="H111" s="163">
        <f t="shared" si="14"/>
        <v>0</v>
      </c>
    </row>
    <row r="112" spans="2:8" ht="16" hidden="1" x14ac:dyDescent="0.2">
      <c r="B112" s="162" t="str">
        <f t="shared" si="10"/>
        <v>-</v>
      </c>
      <c r="C112" s="162" t="str">
        <f t="shared" si="8"/>
        <v>-</v>
      </c>
      <c r="D112" s="160" t="str">
        <f t="shared" si="11"/>
        <v>-</v>
      </c>
      <c r="E112" s="161">
        <f t="shared" si="12"/>
        <v>-1.8044374883174896E-9</v>
      </c>
      <c r="F112" s="174">
        <f t="shared" si="15"/>
        <v>0</v>
      </c>
      <c r="G112" s="163">
        <f t="shared" si="13"/>
        <v>0</v>
      </c>
      <c r="H112" s="163">
        <f t="shared" si="14"/>
        <v>0</v>
      </c>
    </row>
    <row r="113" spans="2:8" ht="16" hidden="1" x14ac:dyDescent="0.2">
      <c r="B113" s="162" t="str">
        <f t="shared" si="10"/>
        <v>-</v>
      </c>
      <c r="C113" s="162" t="str">
        <f t="shared" si="8"/>
        <v>-</v>
      </c>
      <c r="D113" s="160" t="str">
        <f t="shared" si="11"/>
        <v>-</v>
      </c>
      <c r="E113" s="161">
        <f t="shared" si="12"/>
        <v>-1.8044374883174896E-9</v>
      </c>
      <c r="F113" s="174">
        <f t="shared" si="15"/>
        <v>0</v>
      </c>
      <c r="G113" s="163">
        <f t="shared" si="13"/>
        <v>0</v>
      </c>
      <c r="H113" s="163">
        <f t="shared" si="14"/>
        <v>0</v>
      </c>
    </row>
    <row r="114" spans="2:8" ht="16" hidden="1" x14ac:dyDescent="0.2">
      <c r="B114" s="162" t="str">
        <f t="shared" si="10"/>
        <v>-</v>
      </c>
      <c r="C114" s="162" t="str">
        <f t="shared" si="8"/>
        <v>-</v>
      </c>
      <c r="D114" s="160" t="str">
        <f t="shared" si="11"/>
        <v>-</v>
      </c>
      <c r="E114" s="161">
        <f t="shared" si="12"/>
        <v>-1.8044374883174896E-9</v>
      </c>
      <c r="F114" s="174">
        <f t="shared" si="15"/>
        <v>0</v>
      </c>
      <c r="G114" s="163">
        <f t="shared" si="13"/>
        <v>0</v>
      </c>
      <c r="H114" s="163">
        <f t="shared" si="14"/>
        <v>0</v>
      </c>
    </row>
    <row r="115" spans="2:8" ht="16" hidden="1" x14ac:dyDescent="0.2">
      <c r="B115" s="162" t="str">
        <f t="shared" si="10"/>
        <v>-</v>
      </c>
      <c r="C115" s="162" t="str">
        <f t="shared" si="8"/>
        <v>-</v>
      </c>
      <c r="D115" s="160" t="str">
        <f t="shared" si="11"/>
        <v>-</v>
      </c>
      <c r="E115" s="161">
        <f t="shared" si="12"/>
        <v>-1.8044374883174896E-9</v>
      </c>
      <c r="F115" s="174">
        <f t="shared" si="15"/>
        <v>0</v>
      </c>
      <c r="G115" s="163">
        <f t="shared" si="13"/>
        <v>0</v>
      </c>
      <c r="H115" s="163">
        <f t="shared" si="14"/>
        <v>0</v>
      </c>
    </row>
    <row r="116" spans="2:8" ht="16" hidden="1" x14ac:dyDescent="0.2">
      <c r="B116" s="162" t="str">
        <f t="shared" si="10"/>
        <v>-</v>
      </c>
      <c r="C116" s="162" t="str">
        <f t="shared" si="8"/>
        <v>-</v>
      </c>
      <c r="D116" s="160" t="str">
        <f t="shared" si="11"/>
        <v>-</v>
      </c>
      <c r="E116" s="161">
        <f t="shared" si="12"/>
        <v>-1.8044374883174896E-9</v>
      </c>
      <c r="F116" s="174">
        <f t="shared" si="15"/>
        <v>0</v>
      </c>
      <c r="G116" s="163">
        <f t="shared" si="13"/>
        <v>0</v>
      </c>
      <c r="H116" s="163">
        <f t="shared" si="14"/>
        <v>0</v>
      </c>
    </row>
    <row r="117" spans="2:8" ht="16" hidden="1" x14ac:dyDescent="0.2">
      <c r="B117" s="162" t="str">
        <f t="shared" si="10"/>
        <v>-</v>
      </c>
      <c r="C117" s="162" t="str">
        <f t="shared" si="8"/>
        <v>-</v>
      </c>
      <c r="D117" s="160" t="str">
        <f t="shared" si="11"/>
        <v>-</v>
      </c>
      <c r="E117" s="161">
        <f t="shared" si="12"/>
        <v>-1.8044374883174896E-9</v>
      </c>
      <c r="F117" s="174">
        <f t="shared" si="15"/>
        <v>0</v>
      </c>
      <c r="G117" s="163">
        <f t="shared" si="13"/>
        <v>0</v>
      </c>
      <c r="H117" s="163">
        <f t="shared" si="14"/>
        <v>0</v>
      </c>
    </row>
    <row r="118" spans="2:8" ht="16" hidden="1" x14ac:dyDescent="0.2">
      <c r="B118" s="162" t="str">
        <f t="shared" si="10"/>
        <v>-</v>
      </c>
      <c r="C118" s="162" t="str">
        <f t="shared" si="8"/>
        <v>-</v>
      </c>
      <c r="D118" s="160" t="str">
        <f t="shared" si="11"/>
        <v>-</v>
      </c>
      <c r="E118" s="161">
        <f t="shared" si="12"/>
        <v>-1.8044374883174896E-9</v>
      </c>
      <c r="F118" s="174">
        <f t="shared" si="15"/>
        <v>0</v>
      </c>
      <c r="G118" s="163">
        <f t="shared" si="13"/>
        <v>0</v>
      </c>
      <c r="H118" s="163">
        <f t="shared" si="14"/>
        <v>0</v>
      </c>
    </row>
    <row r="119" spans="2:8" ht="16" hidden="1" x14ac:dyDescent="0.2">
      <c r="B119" s="162" t="str">
        <f t="shared" si="10"/>
        <v>-</v>
      </c>
      <c r="C119" s="162" t="str">
        <f t="shared" si="8"/>
        <v>-</v>
      </c>
      <c r="D119" s="160" t="str">
        <f t="shared" si="11"/>
        <v>-</v>
      </c>
      <c r="E119" s="161">
        <f t="shared" si="12"/>
        <v>-1.8044374883174896E-9</v>
      </c>
      <c r="F119" s="174">
        <f t="shared" si="15"/>
        <v>0</v>
      </c>
      <c r="G119" s="163">
        <f t="shared" si="13"/>
        <v>0</v>
      </c>
      <c r="H119" s="163">
        <f t="shared" si="14"/>
        <v>0</v>
      </c>
    </row>
    <row r="120" spans="2:8" ht="16" hidden="1" x14ac:dyDescent="0.2">
      <c r="B120" s="162" t="str">
        <f t="shared" si="10"/>
        <v>-</v>
      </c>
      <c r="C120" s="162" t="str">
        <f t="shared" si="8"/>
        <v>-</v>
      </c>
      <c r="D120" s="160" t="str">
        <f t="shared" si="11"/>
        <v>-</v>
      </c>
      <c r="E120" s="161">
        <f t="shared" si="12"/>
        <v>-1.8044374883174896E-9</v>
      </c>
      <c r="F120" s="174">
        <f t="shared" si="15"/>
        <v>0</v>
      </c>
      <c r="G120" s="163">
        <f t="shared" si="13"/>
        <v>0</v>
      </c>
      <c r="H120" s="163">
        <f t="shared" si="14"/>
        <v>0</v>
      </c>
    </row>
    <row r="121" spans="2:8" ht="16" hidden="1" x14ac:dyDescent="0.2">
      <c r="B121" s="162" t="str">
        <f t="shared" si="10"/>
        <v>-</v>
      </c>
      <c r="C121" s="162" t="str">
        <f t="shared" si="8"/>
        <v>-</v>
      </c>
      <c r="D121" s="160" t="str">
        <f t="shared" si="11"/>
        <v>-</v>
      </c>
      <c r="E121" s="161">
        <f t="shared" si="12"/>
        <v>-1.8044374883174896E-9</v>
      </c>
      <c r="F121" s="174">
        <f t="shared" si="15"/>
        <v>0</v>
      </c>
      <c r="G121" s="163">
        <f t="shared" si="13"/>
        <v>0</v>
      </c>
      <c r="H121" s="163">
        <f t="shared" si="14"/>
        <v>0</v>
      </c>
    </row>
    <row r="122" spans="2:8" ht="16" hidden="1" x14ac:dyDescent="0.2">
      <c r="B122" s="162" t="str">
        <f t="shared" si="10"/>
        <v>-</v>
      </c>
      <c r="C122" s="162" t="str">
        <f t="shared" si="8"/>
        <v>-</v>
      </c>
      <c r="D122" s="160" t="str">
        <f t="shared" si="11"/>
        <v>-</v>
      </c>
      <c r="E122" s="161">
        <f t="shared" si="12"/>
        <v>-1.8044374883174896E-9</v>
      </c>
      <c r="F122" s="174">
        <f t="shared" si="15"/>
        <v>0</v>
      </c>
      <c r="G122" s="163">
        <f t="shared" si="13"/>
        <v>0</v>
      </c>
      <c r="H122" s="163">
        <f t="shared" si="14"/>
        <v>0</v>
      </c>
    </row>
    <row r="123" spans="2:8" ht="16" hidden="1" x14ac:dyDescent="0.2">
      <c r="B123" s="162" t="str">
        <f t="shared" si="10"/>
        <v>-</v>
      </c>
      <c r="C123" s="162" t="str">
        <f t="shared" si="8"/>
        <v>-</v>
      </c>
      <c r="D123" s="160" t="str">
        <f t="shared" si="11"/>
        <v>-</v>
      </c>
      <c r="E123" s="161">
        <f t="shared" si="12"/>
        <v>-1.8044374883174896E-9</v>
      </c>
      <c r="F123" s="174">
        <f t="shared" si="15"/>
        <v>0</v>
      </c>
      <c r="G123" s="163">
        <f t="shared" si="13"/>
        <v>0</v>
      </c>
      <c r="H123" s="163">
        <f t="shared" si="14"/>
        <v>0</v>
      </c>
    </row>
    <row r="124" spans="2:8" ht="16" hidden="1" x14ac:dyDescent="0.2">
      <c r="B124" s="162" t="str">
        <f t="shared" si="10"/>
        <v>-</v>
      </c>
      <c r="C124" s="162" t="str">
        <f t="shared" si="8"/>
        <v>-</v>
      </c>
      <c r="D124" s="160" t="str">
        <f t="shared" si="11"/>
        <v>-</v>
      </c>
      <c r="E124" s="161">
        <f t="shared" si="12"/>
        <v>-1.8044374883174896E-9</v>
      </c>
      <c r="F124" s="174">
        <f t="shared" si="15"/>
        <v>0</v>
      </c>
      <c r="G124" s="163">
        <f t="shared" si="13"/>
        <v>0</v>
      </c>
      <c r="H124" s="163">
        <f t="shared" si="14"/>
        <v>0</v>
      </c>
    </row>
    <row r="125" spans="2:8" ht="16" hidden="1" x14ac:dyDescent="0.2">
      <c r="B125" s="162" t="str">
        <f t="shared" si="10"/>
        <v>-</v>
      </c>
      <c r="C125" s="162" t="str">
        <f t="shared" si="8"/>
        <v>-</v>
      </c>
      <c r="D125" s="160" t="str">
        <f t="shared" si="11"/>
        <v>-</v>
      </c>
      <c r="E125" s="161">
        <f t="shared" si="12"/>
        <v>-1.8044374883174896E-9</v>
      </c>
      <c r="F125" s="174">
        <f t="shared" si="15"/>
        <v>0</v>
      </c>
      <c r="G125" s="163">
        <f t="shared" si="13"/>
        <v>0</v>
      </c>
      <c r="H125" s="163">
        <f t="shared" si="14"/>
        <v>0</v>
      </c>
    </row>
    <row r="126" spans="2:8" ht="16" hidden="1" x14ac:dyDescent="0.2">
      <c r="B126" s="162" t="str">
        <f t="shared" si="10"/>
        <v>-</v>
      </c>
      <c r="C126" s="162" t="str">
        <f t="shared" si="8"/>
        <v>-</v>
      </c>
      <c r="D126" s="160" t="str">
        <f t="shared" si="11"/>
        <v>-</v>
      </c>
      <c r="E126" s="161">
        <f t="shared" si="12"/>
        <v>-1.8044374883174896E-9</v>
      </c>
      <c r="F126" s="174">
        <f t="shared" si="15"/>
        <v>0</v>
      </c>
      <c r="G126" s="163">
        <f t="shared" si="13"/>
        <v>0</v>
      </c>
      <c r="H126" s="163">
        <f t="shared" si="14"/>
        <v>0</v>
      </c>
    </row>
    <row r="127" spans="2:8" ht="16" hidden="1" x14ac:dyDescent="0.2">
      <c r="B127" s="162" t="str">
        <f t="shared" si="10"/>
        <v>-</v>
      </c>
      <c r="C127" s="162" t="str">
        <f t="shared" si="8"/>
        <v>-</v>
      </c>
      <c r="D127" s="160" t="str">
        <f t="shared" si="11"/>
        <v>-</v>
      </c>
      <c r="E127" s="161">
        <f t="shared" si="12"/>
        <v>-1.8044374883174896E-9</v>
      </c>
      <c r="F127" s="174">
        <f t="shared" si="15"/>
        <v>0</v>
      </c>
      <c r="G127" s="163">
        <f t="shared" si="13"/>
        <v>0</v>
      </c>
      <c r="H127" s="163">
        <f t="shared" si="14"/>
        <v>0</v>
      </c>
    </row>
    <row r="128" spans="2:8" ht="16" hidden="1" x14ac:dyDescent="0.2">
      <c r="B128" s="162" t="str">
        <f t="shared" si="10"/>
        <v>-</v>
      </c>
      <c r="C128" s="162" t="str">
        <f t="shared" si="8"/>
        <v>-</v>
      </c>
      <c r="D128" s="160" t="str">
        <f t="shared" si="11"/>
        <v>-</v>
      </c>
      <c r="E128" s="161">
        <f t="shared" si="12"/>
        <v>-1.8044374883174896E-9</v>
      </c>
      <c r="F128" s="174">
        <f t="shared" si="15"/>
        <v>0</v>
      </c>
      <c r="G128" s="163">
        <f t="shared" si="13"/>
        <v>0</v>
      </c>
      <c r="H128" s="163">
        <f t="shared" si="14"/>
        <v>0</v>
      </c>
    </row>
    <row r="129" spans="2:8" ht="16" hidden="1" x14ac:dyDescent="0.2">
      <c r="B129" s="162" t="str">
        <f t="shared" si="10"/>
        <v>-</v>
      </c>
      <c r="C129" s="162" t="str">
        <f t="shared" si="8"/>
        <v>-</v>
      </c>
      <c r="D129" s="160" t="str">
        <f t="shared" si="11"/>
        <v>-</v>
      </c>
      <c r="E129" s="161">
        <f t="shared" si="12"/>
        <v>-1.8044374883174896E-9</v>
      </c>
      <c r="F129" s="174">
        <f t="shared" si="15"/>
        <v>0</v>
      </c>
      <c r="G129" s="163">
        <f t="shared" si="13"/>
        <v>0</v>
      </c>
      <c r="H129" s="163">
        <f t="shared" si="14"/>
        <v>0</v>
      </c>
    </row>
    <row r="130" spans="2:8" ht="16" hidden="1" x14ac:dyDescent="0.2">
      <c r="B130" s="162" t="str">
        <f t="shared" si="10"/>
        <v>-</v>
      </c>
      <c r="C130" s="162" t="str">
        <f t="shared" si="8"/>
        <v>-</v>
      </c>
      <c r="D130" s="160" t="str">
        <f t="shared" si="11"/>
        <v>-</v>
      </c>
      <c r="E130" s="161">
        <f t="shared" si="12"/>
        <v>-1.8044374883174896E-9</v>
      </c>
      <c r="F130" s="174">
        <f t="shared" si="15"/>
        <v>0</v>
      </c>
      <c r="G130" s="163">
        <f t="shared" si="13"/>
        <v>0</v>
      </c>
      <c r="H130" s="163">
        <f t="shared" si="14"/>
        <v>0</v>
      </c>
    </row>
    <row r="131" spans="2:8" ht="16" hidden="1" x14ac:dyDescent="0.2">
      <c r="B131" s="162" t="str">
        <f t="shared" si="10"/>
        <v>-</v>
      </c>
      <c r="C131" s="162" t="str">
        <f t="shared" si="8"/>
        <v>-</v>
      </c>
      <c r="D131" s="160" t="str">
        <f t="shared" si="11"/>
        <v>-</v>
      </c>
      <c r="E131" s="161">
        <f t="shared" si="12"/>
        <v>-1.8044374883174896E-9</v>
      </c>
      <c r="F131" s="174">
        <f t="shared" si="15"/>
        <v>0</v>
      </c>
      <c r="G131" s="163">
        <f t="shared" si="13"/>
        <v>0</v>
      </c>
      <c r="H131" s="163">
        <f t="shared" si="14"/>
        <v>0</v>
      </c>
    </row>
    <row r="132" spans="2:8" ht="16" hidden="1" x14ac:dyDescent="0.2">
      <c r="B132" s="162" t="str">
        <f t="shared" si="10"/>
        <v>-</v>
      </c>
      <c r="C132" s="162" t="str">
        <f t="shared" si="8"/>
        <v>-</v>
      </c>
      <c r="D132" s="160" t="str">
        <f t="shared" si="11"/>
        <v>-</v>
      </c>
      <c r="E132" s="161">
        <f t="shared" si="12"/>
        <v>-1.8044374883174896E-9</v>
      </c>
      <c r="F132" s="174">
        <f t="shared" si="15"/>
        <v>0</v>
      </c>
      <c r="G132" s="163">
        <f t="shared" si="13"/>
        <v>0</v>
      </c>
      <c r="H132" s="163">
        <f t="shared" si="14"/>
        <v>0</v>
      </c>
    </row>
    <row r="133" spans="2:8" ht="16" hidden="1" x14ac:dyDescent="0.2">
      <c r="B133" s="162" t="str">
        <f t="shared" si="10"/>
        <v>-</v>
      </c>
      <c r="C133" s="162" t="str">
        <f t="shared" si="8"/>
        <v>-</v>
      </c>
      <c r="D133" s="160" t="str">
        <f t="shared" si="11"/>
        <v>-</v>
      </c>
      <c r="E133" s="161">
        <f t="shared" si="12"/>
        <v>-1.8044374883174896E-9</v>
      </c>
      <c r="F133" s="174">
        <f t="shared" si="15"/>
        <v>0</v>
      </c>
      <c r="G133" s="163">
        <f t="shared" si="13"/>
        <v>0</v>
      </c>
      <c r="H133" s="163">
        <f t="shared" si="14"/>
        <v>0</v>
      </c>
    </row>
    <row r="134" spans="2:8" ht="16" hidden="1" x14ac:dyDescent="0.2">
      <c r="B134" s="162" t="str">
        <f t="shared" si="10"/>
        <v>-</v>
      </c>
      <c r="C134" s="162" t="str">
        <f t="shared" si="8"/>
        <v>-</v>
      </c>
      <c r="D134" s="160" t="str">
        <f t="shared" si="11"/>
        <v>-</v>
      </c>
      <c r="E134" s="161">
        <f t="shared" si="12"/>
        <v>-1.8044374883174896E-9</v>
      </c>
      <c r="F134" s="174">
        <f t="shared" si="15"/>
        <v>0</v>
      </c>
      <c r="G134" s="163">
        <f t="shared" si="13"/>
        <v>0</v>
      </c>
      <c r="H134" s="163">
        <f t="shared" si="14"/>
        <v>0</v>
      </c>
    </row>
    <row r="135" spans="2:8" ht="16" hidden="1" x14ac:dyDescent="0.2">
      <c r="B135" s="162" t="str">
        <f t="shared" si="10"/>
        <v>-</v>
      </c>
      <c r="C135" s="162" t="str">
        <f t="shared" si="8"/>
        <v>-</v>
      </c>
      <c r="D135" s="160" t="str">
        <f t="shared" si="11"/>
        <v>-</v>
      </c>
      <c r="E135" s="161">
        <f t="shared" si="12"/>
        <v>-1.8044374883174896E-9</v>
      </c>
      <c r="F135" s="174">
        <f t="shared" si="15"/>
        <v>0</v>
      </c>
      <c r="G135" s="163">
        <f t="shared" si="13"/>
        <v>0</v>
      </c>
      <c r="H135" s="163">
        <f t="shared" si="14"/>
        <v>0</v>
      </c>
    </row>
    <row r="136" spans="2:8" ht="16" hidden="1" x14ac:dyDescent="0.2">
      <c r="B136" s="162" t="str">
        <f t="shared" si="10"/>
        <v>-</v>
      </c>
      <c r="C136" s="162" t="str">
        <f t="shared" si="8"/>
        <v>-</v>
      </c>
      <c r="D136" s="160" t="str">
        <f t="shared" si="11"/>
        <v>-</v>
      </c>
      <c r="E136" s="161">
        <f t="shared" si="12"/>
        <v>-1.8044374883174896E-9</v>
      </c>
      <c r="F136" s="174">
        <f t="shared" si="15"/>
        <v>0</v>
      </c>
      <c r="G136" s="163">
        <f t="shared" si="13"/>
        <v>0</v>
      </c>
      <c r="H136" s="163">
        <f t="shared" si="14"/>
        <v>0</v>
      </c>
    </row>
    <row r="137" spans="2:8" ht="16" hidden="1" x14ac:dyDescent="0.2">
      <c r="B137" s="162" t="str">
        <f t="shared" si="10"/>
        <v>-</v>
      </c>
      <c r="C137" s="162" t="str">
        <f t="shared" si="8"/>
        <v>-</v>
      </c>
      <c r="D137" s="160" t="str">
        <f t="shared" si="11"/>
        <v>-</v>
      </c>
      <c r="E137" s="161">
        <f t="shared" si="12"/>
        <v>-1.8044374883174896E-9</v>
      </c>
      <c r="F137" s="174">
        <f t="shared" si="15"/>
        <v>0</v>
      </c>
      <c r="G137" s="163">
        <f t="shared" si="13"/>
        <v>0</v>
      </c>
      <c r="H137" s="163">
        <f t="shared" si="14"/>
        <v>0</v>
      </c>
    </row>
    <row r="138" spans="2:8" ht="16" hidden="1" x14ac:dyDescent="0.2">
      <c r="B138" s="162" t="str">
        <f t="shared" si="10"/>
        <v>-</v>
      </c>
      <c r="C138" s="162" t="str">
        <f t="shared" si="8"/>
        <v>-</v>
      </c>
      <c r="D138" s="160" t="str">
        <f t="shared" si="11"/>
        <v>-</v>
      </c>
      <c r="E138" s="161">
        <f t="shared" si="12"/>
        <v>-1.8044374883174896E-9</v>
      </c>
      <c r="F138" s="174">
        <f t="shared" si="15"/>
        <v>0</v>
      </c>
      <c r="G138" s="163">
        <f t="shared" si="13"/>
        <v>0</v>
      </c>
      <c r="H138" s="163">
        <f t="shared" si="14"/>
        <v>0</v>
      </c>
    </row>
    <row r="139" spans="2:8" ht="16" hidden="1" x14ac:dyDescent="0.2">
      <c r="B139" s="162" t="str">
        <f t="shared" si="10"/>
        <v>-</v>
      </c>
      <c r="C139" s="162" t="str">
        <f t="shared" si="8"/>
        <v>-</v>
      </c>
      <c r="D139" s="160" t="str">
        <f t="shared" si="11"/>
        <v>-</v>
      </c>
      <c r="E139" s="161">
        <f t="shared" si="12"/>
        <v>-1.8044374883174896E-9</v>
      </c>
      <c r="F139" s="174">
        <f t="shared" si="15"/>
        <v>0</v>
      </c>
      <c r="G139" s="163">
        <f t="shared" si="13"/>
        <v>0</v>
      </c>
      <c r="H139" s="163">
        <f t="shared" si="14"/>
        <v>0</v>
      </c>
    </row>
    <row r="140" spans="2:8" ht="16" hidden="1" x14ac:dyDescent="0.2">
      <c r="B140" s="162" t="str">
        <f t="shared" si="10"/>
        <v>-</v>
      </c>
      <c r="C140" s="162" t="str">
        <f t="shared" ref="C140:C191" si="16">IF(B140="-","-",YEAR(D140))</f>
        <v>-</v>
      </c>
      <c r="D140" s="160" t="str">
        <f t="shared" si="11"/>
        <v>-</v>
      </c>
      <c r="E140" s="161">
        <f t="shared" si="12"/>
        <v>-1.8044374883174896E-9</v>
      </c>
      <c r="F140" s="174">
        <f t="shared" ref="F140:F171" si="17">IF(D140&lt;=$J$2,+$C$8,0)</f>
        <v>0</v>
      </c>
      <c r="G140" s="163">
        <f t="shared" si="13"/>
        <v>0</v>
      </c>
      <c r="H140" s="163">
        <f t="shared" si="14"/>
        <v>0</v>
      </c>
    </row>
    <row r="141" spans="2:8" ht="16" hidden="1" x14ac:dyDescent="0.2">
      <c r="B141" s="162" t="str">
        <f t="shared" ref="B141:B191" si="18">IFERROR(IF((B140+1)&gt;$C$6,"-",B140+1),"-")</f>
        <v>-</v>
      </c>
      <c r="C141" s="162" t="str">
        <f t="shared" si="16"/>
        <v>-</v>
      </c>
      <c r="D141" s="160" t="str">
        <f t="shared" ref="D141:D191" si="19">IF(B141="-","-",EOMONTH(D140,0)+1)</f>
        <v>-</v>
      </c>
      <c r="E141" s="161">
        <f t="shared" ref="E141:E191" si="20">E140-G141</f>
        <v>-1.8044374883174896E-9</v>
      </c>
      <c r="F141" s="174">
        <f t="shared" si="17"/>
        <v>0</v>
      </c>
      <c r="G141" s="163">
        <f t="shared" ref="G141:G191" si="21">-F141-H141</f>
        <v>0</v>
      </c>
      <c r="H141" s="163">
        <f t="shared" ref="H141:H191" si="22">IF(F141=0,0,E140*$C$7/12)</f>
        <v>0</v>
      </c>
    </row>
    <row r="142" spans="2:8" ht="16" hidden="1" x14ac:dyDescent="0.2">
      <c r="B142" s="162" t="str">
        <f t="shared" si="18"/>
        <v>-</v>
      </c>
      <c r="C142" s="162" t="str">
        <f t="shared" si="16"/>
        <v>-</v>
      </c>
      <c r="D142" s="160" t="str">
        <f t="shared" si="19"/>
        <v>-</v>
      </c>
      <c r="E142" s="161">
        <f t="shared" si="20"/>
        <v>-1.8044374883174896E-9</v>
      </c>
      <c r="F142" s="174">
        <f t="shared" si="17"/>
        <v>0</v>
      </c>
      <c r="G142" s="163">
        <f t="shared" si="21"/>
        <v>0</v>
      </c>
      <c r="H142" s="163">
        <f t="shared" si="22"/>
        <v>0</v>
      </c>
    </row>
    <row r="143" spans="2:8" ht="16" hidden="1" x14ac:dyDescent="0.2">
      <c r="B143" s="162" t="str">
        <f t="shared" si="18"/>
        <v>-</v>
      </c>
      <c r="C143" s="162" t="str">
        <f t="shared" si="16"/>
        <v>-</v>
      </c>
      <c r="D143" s="160" t="str">
        <f t="shared" si="19"/>
        <v>-</v>
      </c>
      <c r="E143" s="161">
        <f t="shared" si="20"/>
        <v>-1.8044374883174896E-9</v>
      </c>
      <c r="F143" s="174">
        <f t="shared" si="17"/>
        <v>0</v>
      </c>
      <c r="G143" s="163">
        <f t="shared" si="21"/>
        <v>0</v>
      </c>
      <c r="H143" s="163">
        <f t="shared" si="22"/>
        <v>0</v>
      </c>
    </row>
    <row r="144" spans="2:8" ht="16" hidden="1" x14ac:dyDescent="0.2">
      <c r="B144" s="162" t="str">
        <f t="shared" si="18"/>
        <v>-</v>
      </c>
      <c r="C144" s="162" t="str">
        <f t="shared" si="16"/>
        <v>-</v>
      </c>
      <c r="D144" s="160" t="str">
        <f t="shared" si="19"/>
        <v>-</v>
      </c>
      <c r="E144" s="161">
        <f t="shared" si="20"/>
        <v>-1.8044374883174896E-9</v>
      </c>
      <c r="F144" s="174">
        <f t="shared" si="17"/>
        <v>0</v>
      </c>
      <c r="G144" s="163">
        <f t="shared" si="21"/>
        <v>0</v>
      </c>
      <c r="H144" s="163">
        <f t="shared" si="22"/>
        <v>0</v>
      </c>
    </row>
    <row r="145" spans="2:8" ht="16" hidden="1" x14ac:dyDescent="0.2">
      <c r="B145" s="162" t="str">
        <f t="shared" si="18"/>
        <v>-</v>
      </c>
      <c r="C145" s="162" t="str">
        <f t="shared" si="16"/>
        <v>-</v>
      </c>
      <c r="D145" s="160" t="str">
        <f t="shared" si="19"/>
        <v>-</v>
      </c>
      <c r="E145" s="161">
        <f t="shared" si="20"/>
        <v>-1.8044374883174896E-9</v>
      </c>
      <c r="F145" s="174">
        <f t="shared" si="17"/>
        <v>0</v>
      </c>
      <c r="G145" s="163">
        <f t="shared" si="21"/>
        <v>0</v>
      </c>
      <c r="H145" s="163">
        <f t="shared" si="22"/>
        <v>0</v>
      </c>
    </row>
    <row r="146" spans="2:8" ht="16" hidden="1" x14ac:dyDescent="0.2">
      <c r="B146" s="162" t="str">
        <f t="shared" si="18"/>
        <v>-</v>
      </c>
      <c r="C146" s="162" t="str">
        <f t="shared" si="16"/>
        <v>-</v>
      </c>
      <c r="D146" s="160" t="str">
        <f t="shared" si="19"/>
        <v>-</v>
      </c>
      <c r="E146" s="161">
        <f t="shared" si="20"/>
        <v>-1.8044374883174896E-9</v>
      </c>
      <c r="F146" s="174">
        <f t="shared" si="17"/>
        <v>0</v>
      </c>
      <c r="G146" s="163">
        <f t="shared" si="21"/>
        <v>0</v>
      </c>
      <c r="H146" s="163">
        <f t="shared" si="22"/>
        <v>0</v>
      </c>
    </row>
    <row r="147" spans="2:8" ht="16" hidden="1" x14ac:dyDescent="0.2">
      <c r="B147" s="162" t="str">
        <f t="shared" si="18"/>
        <v>-</v>
      </c>
      <c r="C147" s="162" t="str">
        <f t="shared" si="16"/>
        <v>-</v>
      </c>
      <c r="D147" s="160" t="str">
        <f t="shared" si="19"/>
        <v>-</v>
      </c>
      <c r="E147" s="161">
        <f t="shared" si="20"/>
        <v>-1.8044374883174896E-9</v>
      </c>
      <c r="F147" s="174">
        <f t="shared" si="17"/>
        <v>0</v>
      </c>
      <c r="G147" s="163">
        <f t="shared" si="21"/>
        <v>0</v>
      </c>
      <c r="H147" s="163">
        <f t="shared" si="22"/>
        <v>0</v>
      </c>
    </row>
    <row r="148" spans="2:8" ht="16" hidden="1" x14ac:dyDescent="0.2">
      <c r="B148" s="162" t="str">
        <f t="shared" si="18"/>
        <v>-</v>
      </c>
      <c r="C148" s="162" t="str">
        <f t="shared" si="16"/>
        <v>-</v>
      </c>
      <c r="D148" s="160" t="str">
        <f t="shared" si="19"/>
        <v>-</v>
      </c>
      <c r="E148" s="161">
        <f t="shared" si="20"/>
        <v>-1.8044374883174896E-9</v>
      </c>
      <c r="F148" s="174">
        <f t="shared" si="17"/>
        <v>0</v>
      </c>
      <c r="G148" s="163">
        <f t="shared" si="21"/>
        <v>0</v>
      </c>
      <c r="H148" s="163">
        <f t="shared" si="22"/>
        <v>0</v>
      </c>
    </row>
    <row r="149" spans="2:8" ht="16" hidden="1" x14ac:dyDescent="0.2">
      <c r="B149" s="162" t="str">
        <f t="shared" si="18"/>
        <v>-</v>
      </c>
      <c r="C149" s="162" t="str">
        <f t="shared" si="16"/>
        <v>-</v>
      </c>
      <c r="D149" s="160" t="str">
        <f t="shared" si="19"/>
        <v>-</v>
      </c>
      <c r="E149" s="161">
        <f t="shared" si="20"/>
        <v>-1.8044374883174896E-9</v>
      </c>
      <c r="F149" s="174">
        <f t="shared" si="17"/>
        <v>0</v>
      </c>
      <c r="G149" s="163">
        <f t="shared" si="21"/>
        <v>0</v>
      </c>
      <c r="H149" s="163">
        <f t="shared" si="22"/>
        <v>0</v>
      </c>
    </row>
    <row r="150" spans="2:8" ht="16" hidden="1" x14ac:dyDescent="0.2">
      <c r="B150" s="162" t="str">
        <f t="shared" si="18"/>
        <v>-</v>
      </c>
      <c r="C150" s="162" t="str">
        <f t="shared" si="16"/>
        <v>-</v>
      </c>
      <c r="D150" s="160" t="str">
        <f t="shared" si="19"/>
        <v>-</v>
      </c>
      <c r="E150" s="161">
        <f t="shared" si="20"/>
        <v>-1.8044374883174896E-9</v>
      </c>
      <c r="F150" s="174">
        <f t="shared" si="17"/>
        <v>0</v>
      </c>
      <c r="G150" s="163">
        <f t="shared" si="21"/>
        <v>0</v>
      </c>
      <c r="H150" s="163">
        <f t="shared" si="22"/>
        <v>0</v>
      </c>
    </row>
    <row r="151" spans="2:8" ht="16" hidden="1" x14ac:dyDescent="0.2">
      <c r="B151" s="162" t="str">
        <f t="shared" si="18"/>
        <v>-</v>
      </c>
      <c r="C151" s="162" t="str">
        <f t="shared" si="16"/>
        <v>-</v>
      </c>
      <c r="D151" s="160" t="str">
        <f t="shared" si="19"/>
        <v>-</v>
      </c>
      <c r="E151" s="161">
        <f t="shared" si="20"/>
        <v>-1.8044374883174896E-9</v>
      </c>
      <c r="F151" s="174">
        <f t="shared" si="17"/>
        <v>0</v>
      </c>
      <c r="G151" s="163">
        <f t="shared" si="21"/>
        <v>0</v>
      </c>
      <c r="H151" s="163">
        <f t="shared" si="22"/>
        <v>0</v>
      </c>
    </row>
    <row r="152" spans="2:8" ht="16" hidden="1" x14ac:dyDescent="0.2">
      <c r="B152" s="162" t="str">
        <f t="shared" si="18"/>
        <v>-</v>
      </c>
      <c r="C152" s="162" t="str">
        <f t="shared" si="16"/>
        <v>-</v>
      </c>
      <c r="D152" s="160" t="str">
        <f t="shared" si="19"/>
        <v>-</v>
      </c>
      <c r="E152" s="161">
        <f t="shared" si="20"/>
        <v>-1.8044374883174896E-9</v>
      </c>
      <c r="F152" s="174">
        <f t="shared" si="17"/>
        <v>0</v>
      </c>
      <c r="G152" s="163">
        <f t="shared" si="21"/>
        <v>0</v>
      </c>
      <c r="H152" s="163">
        <f t="shared" si="22"/>
        <v>0</v>
      </c>
    </row>
    <row r="153" spans="2:8" ht="16" hidden="1" collapsed="1" x14ac:dyDescent="0.2">
      <c r="B153" s="162" t="str">
        <f t="shared" si="18"/>
        <v>-</v>
      </c>
      <c r="C153" s="162" t="str">
        <f t="shared" si="16"/>
        <v>-</v>
      </c>
      <c r="D153" s="160" t="str">
        <f t="shared" si="19"/>
        <v>-</v>
      </c>
      <c r="E153" s="161">
        <f t="shared" si="20"/>
        <v>-1.8044374883174896E-9</v>
      </c>
      <c r="F153" s="174">
        <f t="shared" si="17"/>
        <v>0</v>
      </c>
      <c r="G153" s="163">
        <f t="shared" si="21"/>
        <v>0</v>
      </c>
      <c r="H153" s="163">
        <f t="shared" si="22"/>
        <v>0</v>
      </c>
    </row>
    <row r="154" spans="2:8" ht="16" hidden="1" x14ac:dyDescent="0.2">
      <c r="B154" s="162" t="str">
        <f t="shared" si="18"/>
        <v>-</v>
      </c>
      <c r="C154" s="162" t="str">
        <f t="shared" si="16"/>
        <v>-</v>
      </c>
      <c r="D154" s="160" t="str">
        <f t="shared" si="19"/>
        <v>-</v>
      </c>
      <c r="E154" s="161">
        <f t="shared" si="20"/>
        <v>-1.8044374883174896E-9</v>
      </c>
      <c r="F154" s="174">
        <f t="shared" si="17"/>
        <v>0</v>
      </c>
      <c r="G154" s="163">
        <f t="shared" si="21"/>
        <v>0</v>
      </c>
      <c r="H154" s="163">
        <f t="shared" si="22"/>
        <v>0</v>
      </c>
    </row>
    <row r="155" spans="2:8" ht="16" hidden="1" x14ac:dyDescent="0.2">
      <c r="B155" s="162" t="str">
        <f t="shared" si="18"/>
        <v>-</v>
      </c>
      <c r="C155" s="162" t="str">
        <f t="shared" si="16"/>
        <v>-</v>
      </c>
      <c r="D155" s="160" t="str">
        <f t="shared" si="19"/>
        <v>-</v>
      </c>
      <c r="E155" s="161">
        <f t="shared" si="20"/>
        <v>-1.8044374883174896E-9</v>
      </c>
      <c r="F155" s="174">
        <f t="shared" si="17"/>
        <v>0</v>
      </c>
      <c r="G155" s="163">
        <f t="shared" si="21"/>
        <v>0</v>
      </c>
      <c r="H155" s="163">
        <f t="shared" si="22"/>
        <v>0</v>
      </c>
    </row>
    <row r="156" spans="2:8" ht="16" hidden="1" x14ac:dyDescent="0.2">
      <c r="B156" s="162" t="str">
        <f t="shared" si="18"/>
        <v>-</v>
      </c>
      <c r="C156" s="162" t="str">
        <f t="shared" si="16"/>
        <v>-</v>
      </c>
      <c r="D156" s="160" t="str">
        <f t="shared" si="19"/>
        <v>-</v>
      </c>
      <c r="E156" s="161">
        <f t="shared" si="20"/>
        <v>-1.8044374883174896E-9</v>
      </c>
      <c r="F156" s="174">
        <f t="shared" si="17"/>
        <v>0</v>
      </c>
      <c r="G156" s="163">
        <f t="shared" si="21"/>
        <v>0</v>
      </c>
      <c r="H156" s="163">
        <f t="shared" si="22"/>
        <v>0</v>
      </c>
    </row>
    <row r="157" spans="2:8" ht="16" hidden="1" x14ac:dyDescent="0.2">
      <c r="B157" s="162" t="str">
        <f t="shared" si="18"/>
        <v>-</v>
      </c>
      <c r="C157" s="162" t="str">
        <f t="shared" si="16"/>
        <v>-</v>
      </c>
      <c r="D157" s="160" t="str">
        <f t="shared" si="19"/>
        <v>-</v>
      </c>
      <c r="E157" s="161">
        <f t="shared" si="20"/>
        <v>-1.8044374883174896E-9</v>
      </c>
      <c r="F157" s="174">
        <f t="shared" si="17"/>
        <v>0</v>
      </c>
      <c r="G157" s="163">
        <f t="shared" si="21"/>
        <v>0</v>
      </c>
      <c r="H157" s="163">
        <f t="shared" si="22"/>
        <v>0</v>
      </c>
    </row>
    <row r="158" spans="2:8" ht="16" hidden="1" x14ac:dyDescent="0.2">
      <c r="B158" s="162" t="str">
        <f t="shared" si="18"/>
        <v>-</v>
      </c>
      <c r="C158" s="162" t="str">
        <f t="shared" si="16"/>
        <v>-</v>
      </c>
      <c r="D158" s="160" t="str">
        <f t="shared" si="19"/>
        <v>-</v>
      </c>
      <c r="E158" s="161">
        <f t="shared" si="20"/>
        <v>-1.8044374883174896E-9</v>
      </c>
      <c r="F158" s="174">
        <f t="shared" si="17"/>
        <v>0</v>
      </c>
      <c r="G158" s="163">
        <f t="shared" si="21"/>
        <v>0</v>
      </c>
      <c r="H158" s="163">
        <f t="shared" si="22"/>
        <v>0</v>
      </c>
    </row>
    <row r="159" spans="2:8" ht="16" hidden="1" x14ac:dyDescent="0.2">
      <c r="B159" s="162" t="str">
        <f t="shared" si="18"/>
        <v>-</v>
      </c>
      <c r="C159" s="162" t="str">
        <f t="shared" si="16"/>
        <v>-</v>
      </c>
      <c r="D159" s="160" t="str">
        <f t="shared" si="19"/>
        <v>-</v>
      </c>
      <c r="E159" s="161">
        <f t="shared" si="20"/>
        <v>-1.8044374883174896E-9</v>
      </c>
      <c r="F159" s="174">
        <f t="shared" si="17"/>
        <v>0</v>
      </c>
      <c r="G159" s="163">
        <f t="shared" si="21"/>
        <v>0</v>
      </c>
      <c r="H159" s="163">
        <f t="shared" si="22"/>
        <v>0</v>
      </c>
    </row>
    <row r="160" spans="2:8" ht="16" hidden="1" x14ac:dyDescent="0.2">
      <c r="B160" s="162" t="str">
        <f t="shared" si="18"/>
        <v>-</v>
      </c>
      <c r="C160" s="162" t="str">
        <f t="shared" si="16"/>
        <v>-</v>
      </c>
      <c r="D160" s="160" t="str">
        <f t="shared" si="19"/>
        <v>-</v>
      </c>
      <c r="E160" s="161">
        <f t="shared" si="20"/>
        <v>-1.8044374883174896E-9</v>
      </c>
      <c r="F160" s="174">
        <f t="shared" si="17"/>
        <v>0</v>
      </c>
      <c r="G160" s="163">
        <f t="shared" si="21"/>
        <v>0</v>
      </c>
      <c r="H160" s="163">
        <f t="shared" si="22"/>
        <v>0</v>
      </c>
    </row>
    <row r="161" spans="2:8" ht="16" hidden="1" x14ac:dyDescent="0.2">
      <c r="B161" s="162" t="str">
        <f t="shared" si="18"/>
        <v>-</v>
      </c>
      <c r="C161" s="162" t="str">
        <f t="shared" si="16"/>
        <v>-</v>
      </c>
      <c r="D161" s="160" t="str">
        <f t="shared" si="19"/>
        <v>-</v>
      </c>
      <c r="E161" s="161">
        <f t="shared" si="20"/>
        <v>-1.8044374883174896E-9</v>
      </c>
      <c r="F161" s="174">
        <f t="shared" si="17"/>
        <v>0</v>
      </c>
      <c r="G161" s="163">
        <f t="shared" si="21"/>
        <v>0</v>
      </c>
      <c r="H161" s="163">
        <f t="shared" si="22"/>
        <v>0</v>
      </c>
    </row>
    <row r="162" spans="2:8" ht="16" hidden="1" x14ac:dyDescent="0.2">
      <c r="B162" s="162" t="str">
        <f t="shared" si="18"/>
        <v>-</v>
      </c>
      <c r="C162" s="162" t="str">
        <f t="shared" si="16"/>
        <v>-</v>
      </c>
      <c r="D162" s="160" t="str">
        <f t="shared" si="19"/>
        <v>-</v>
      </c>
      <c r="E162" s="161">
        <f t="shared" si="20"/>
        <v>-1.8044374883174896E-9</v>
      </c>
      <c r="F162" s="174">
        <f t="shared" si="17"/>
        <v>0</v>
      </c>
      <c r="G162" s="163">
        <f t="shared" si="21"/>
        <v>0</v>
      </c>
      <c r="H162" s="163">
        <f t="shared" si="22"/>
        <v>0</v>
      </c>
    </row>
    <row r="163" spans="2:8" ht="16" hidden="1" x14ac:dyDescent="0.2">
      <c r="B163" s="162" t="str">
        <f t="shared" si="18"/>
        <v>-</v>
      </c>
      <c r="C163" s="162" t="str">
        <f t="shared" si="16"/>
        <v>-</v>
      </c>
      <c r="D163" s="160" t="str">
        <f t="shared" si="19"/>
        <v>-</v>
      </c>
      <c r="E163" s="161">
        <f t="shared" si="20"/>
        <v>-1.8044374883174896E-9</v>
      </c>
      <c r="F163" s="174">
        <f t="shared" si="17"/>
        <v>0</v>
      </c>
      <c r="G163" s="163">
        <f t="shared" si="21"/>
        <v>0</v>
      </c>
      <c r="H163" s="163">
        <f t="shared" si="22"/>
        <v>0</v>
      </c>
    </row>
    <row r="164" spans="2:8" ht="16" hidden="1" x14ac:dyDescent="0.2">
      <c r="B164" s="162" t="str">
        <f t="shared" si="18"/>
        <v>-</v>
      </c>
      <c r="C164" s="162" t="str">
        <f t="shared" si="16"/>
        <v>-</v>
      </c>
      <c r="D164" s="160" t="str">
        <f t="shared" si="19"/>
        <v>-</v>
      </c>
      <c r="E164" s="161">
        <f t="shared" si="20"/>
        <v>-1.8044374883174896E-9</v>
      </c>
      <c r="F164" s="174">
        <f t="shared" si="17"/>
        <v>0</v>
      </c>
      <c r="G164" s="163">
        <f t="shared" si="21"/>
        <v>0</v>
      </c>
      <c r="H164" s="163">
        <f t="shared" si="22"/>
        <v>0</v>
      </c>
    </row>
    <row r="165" spans="2:8" ht="16" hidden="1" x14ac:dyDescent="0.2">
      <c r="B165" s="162" t="str">
        <f t="shared" si="18"/>
        <v>-</v>
      </c>
      <c r="C165" s="162" t="str">
        <f t="shared" si="16"/>
        <v>-</v>
      </c>
      <c r="D165" s="160" t="str">
        <f t="shared" si="19"/>
        <v>-</v>
      </c>
      <c r="E165" s="161">
        <f t="shared" si="20"/>
        <v>-1.8044374883174896E-9</v>
      </c>
      <c r="F165" s="174">
        <f t="shared" si="17"/>
        <v>0</v>
      </c>
      <c r="G165" s="163">
        <f t="shared" si="21"/>
        <v>0</v>
      </c>
      <c r="H165" s="163">
        <f t="shared" si="22"/>
        <v>0</v>
      </c>
    </row>
    <row r="166" spans="2:8" ht="16" hidden="1" x14ac:dyDescent="0.2">
      <c r="B166" s="162" t="str">
        <f t="shared" si="18"/>
        <v>-</v>
      </c>
      <c r="C166" s="162" t="str">
        <f t="shared" si="16"/>
        <v>-</v>
      </c>
      <c r="D166" s="160" t="str">
        <f t="shared" si="19"/>
        <v>-</v>
      </c>
      <c r="E166" s="161">
        <f t="shared" si="20"/>
        <v>-1.8044374883174896E-9</v>
      </c>
      <c r="F166" s="174">
        <f t="shared" si="17"/>
        <v>0</v>
      </c>
      <c r="G166" s="163">
        <f t="shared" si="21"/>
        <v>0</v>
      </c>
      <c r="H166" s="163">
        <f t="shared" si="22"/>
        <v>0</v>
      </c>
    </row>
    <row r="167" spans="2:8" ht="16" hidden="1" x14ac:dyDescent="0.2">
      <c r="B167" s="162" t="str">
        <f t="shared" si="18"/>
        <v>-</v>
      </c>
      <c r="C167" s="162" t="str">
        <f t="shared" si="16"/>
        <v>-</v>
      </c>
      <c r="D167" s="160" t="str">
        <f t="shared" si="19"/>
        <v>-</v>
      </c>
      <c r="E167" s="161">
        <f t="shared" si="20"/>
        <v>-1.8044374883174896E-9</v>
      </c>
      <c r="F167" s="174">
        <f t="shared" si="17"/>
        <v>0</v>
      </c>
      <c r="G167" s="163">
        <f t="shared" si="21"/>
        <v>0</v>
      </c>
      <c r="H167" s="163">
        <f t="shared" si="22"/>
        <v>0</v>
      </c>
    </row>
    <row r="168" spans="2:8" ht="16" hidden="1" x14ac:dyDescent="0.2">
      <c r="B168" s="162" t="str">
        <f t="shared" si="18"/>
        <v>-</v>
      </c>
      <c r="C168" s="162" t="str">
        <f t="shared" si="16"/>
        <v>-</v>
      </c>
      <c r="D168" s="160" t="str">
        <f t="shared" si="19"/>
        <v>-</v>
      </c>
      <c r="E168" s="161">
        <f t="shared" si="20"/>
        <v>-1.8044374883174896E-9</v>
      </c>
      <c r="F168" s="174">
        <f t="shared" si="17"/>
        <v>0</v>
      </c>
      <c r="G168" s="163">
        <f t="shared" si="21"/>
        <v>0</v>
      </c>
      <c r="H168" s="163">
        <f t="shared" si="22"/>
        <v>0</v>
      </c>
    </row>
    <row r="169" spans="2:8" ht="16" hidden="1" x14ac:dyDescent="0.2">
      <c r="B169" s="162" t="str">
        <f t="shared" si="18"/>
        <v>-</v>
      </c>
      <c r="C169" s="162" t="str">
        <f t="shared" si="16"/>
        <v>-</v>
      </c>
      <c r="D169" s="160" t="str">
        <f t="shared" si="19"/>
        <v>-</v>
      </c>
      <c r="E169" s="161">
        <f t="shared" si="20"/>
        <v>-1.8044374883174896E-9</v>
      </c>
      <c r="F169" s="174">
        <f t="shared" si="17"/>
        <v>0</v>
      </c>
      <c r="G169" s="163">
        <f t="shared" si="21"/>
        <v>0</v>
      </c>
      <c r="H169" s="163">
        <f t="shared" si="22"/>
        <v>0</v>
      </c>
    </row>
    <row r="170" spans="2:8" ht="16" hidden="1" x14ac:dyDescent="0.2">
      <c r="B170" s="162" t="str">
        <f t="shared" si="18"/>
        <v>-</v>
      </c>
      <c r="C170" s="162" t="str">
        <f t="shared" si="16"/>
        <v>-</v>
      </c>
      <c r="D170" s="160" t="str">
        <f t="shared" si="19"/>
        <v>-</v>
      </c>
      <c r="E170" s="161">
        <f t="shared" si="20"/>
        <v>-1.8044374883174896E-9</v>
      </c>
      <c r="F170" s="174">
        <f t="shared" si="17"/>
        <v>0</v>
      </c>
      <c r="G170" s="163">
        <f t="shared" si="21"/>
        <v>0</v>
      </c>
      <c r="H170" s="163">
        <f t="shared" si="22"/>
        <v>0</v>
      </c>
    </row>
    <row r="171" spans="2:8" ht="16" hidden="1" x14ac:dyDescent="0.2">
      <c r="B171" s="162" t="str">
        <f t="shared" si="18"/>
        <v>-</v>
      </c>
      <c r="C171" s="162" t="str">
        <f t="shared" si="16"/>
        <v>-</v>
      </c>
      <c r="D171" s="160" t="str">
        <f t="shared" si="19"/>
        <v>-</v>
      </c>
      <c r="E171" s="161">
        <f t="shared" si="20"/>
        <v>-1.8044374883174896E-9</v>
      </c>
      <c r="F171" s="174">
        <f t="shared" si="17"/>
        <v>0</v>
      </c>
      <c r="G171" s="163">
        <f t="shared" si="21"/>
        <v>0</v>
      </c>
      <c r="H171" s="163">
        <f t="shared" si="22"/>
        <v>0</v>
      </c>
    </row>
    <row r="172" spans="2:8" ht="16" hidden="1" x14ac:dyDescent="0.2">
      <c r="B172" s="162" t="str">
        <f t="shared" si="18"/>
        <v>-</v>
      </c>
      <c r="C172" s="162" t="str">
        <f t="shared" si="16"/>
        <v>-</v>
      </c>
      <c r="D172" s="160" t="str">
        <f t="shared" si="19"/>
        <v>-</v>
      </c>
      <c r="E172" s="161">
        <f t="shared" si="20"/>
        <v>-1.8044374883174896E-9</v>
      </c>
      <c r="F172" s="174">
        <f t="shared" ref="F172:F191" si="23">IF(D172&lt;=$J$2,+$C$8,0)</f>
        <v>0</v>
      </c>
      <c r="G172" s="163">
        <f t="shared" si="21"/>
        <v>0</v>
      </c>
      <c r="H172" s="163">
        <f t="shared" si="22"/>
        <v>0</v>
      </c>
    </row>
    <row r="173" spans="2:8" ht="16" hidden="1" x14ac:dyDescent="0.2">
      <c r="B173" s="162" t="str">
        <f t="shared" si="18"/>
        <v>-</v>
      </c>
      <c r="C173" s="162" t="str">
        <f t="shared" si="16"/>
        <v>-</v>
      </c>
      <c r="D173" s="160" t="str">
        <f t="shared" si="19"/>
        <v>-</v>
      </c>
      <c r="E173" s="161">
        <f t="shared" si="20"/>
        <v>-1.8044374883174896E-9</v>
      </c>
      <c r="F173" s="174">
        <f t="shared" si="23"/>
        <v>0</v>
      </c>
      <c r="G173" s="163">
        <f t="shared" si="21"/>
        <v>0</v>
      </c>
      <c r="H173" s="163">
        <f t="shared" si="22"/>
        <v>0</v>
      </c>
    </row>
    <row r="174" spans="2:8" ht="16" hidden="1" x14ac:dyDescent="0.2">
      <c r="B174" s="162" t="str">
        <f t="shared" si="18"/>
        <v>-</v>
      </c>
      <c r="C174" s="162" t="str">
        <f t="shared" si="16"/>
        <v>-</v>
      </c>
      <c r="D174" s="160" t="str">
        <f t="shared" si="19"/>
        <v>-</v>
      </c>
      <c r="E174" s="161">
        <f t="shared" si="20"/>
        <v>-1.8044374883174896E-9</v>
      </c>
      <c r="F174" s="174">
        <f t="shared" si="23"/>
        <v>0</v>
      </c>
      <c r="G174" s="163">
        <f t="shared" si="21"/>
        <v>0</v>
      </c>
      <c r="H174" s="163">
        <f t="shared" si="22"/>
        <v>0</v>
      </c>
    </row>
    <row r="175" spans="2:8" ht="16" hidden="1" x14ac:dyDescent="0.2">
      <c r="B175" s="162" t="str">
        <f t="shared" si="18"/>
        <v>-</v>
      </c>
      <c r="C175" s="162" t="str">
        <f t="shared" si="16"/>
        <v>-</v>
      </c>
      <c r="D175" s="160" t="str">
        <f t="shared" si="19"/>
        <v>-</v>
      </c>
      <c r="E175" s="161">
        <f t="shared" si="20"/>
        <v>-1.8044374883174896E-9</v>
      </c>
      <c r="F175" s="174">
        <f t="shared" si="23"/>
        <v>0</v>
      </c>
      <c r="G175" s="163">
        <f t="shared" si="21"/>
        <v>0</v>
      </c>
      <c r="H175" s="163">
        <f t="shared" si="22"/>
        <v>0</v>
      </c>
    </row>
    <row r="176" spans="2:8" ht="16" hidden="1" x14ac:dyDescent="0.2">
      <c r="B176" s="162" t="str">
        <f t="shared" si="18"/>
        <v>-</v>
      </c>
      <c r="C176" s="162" t="str">
        <f t="shared" si="16"/>
        <v>-</v>
      </c>
      <c r="D176" s="160" t="str">
        <f t="shared" si="19"/>
        <v>-</v>
      </c>
      <c r="E176" s="161">
        <f t="shared" si="20"/>
        <v>-1.8044374883174896E-9</v>
      </c>
      <c r="F176" s="174">
        <f t="shared" si="23"/>
        <v>0</v>
      </c>
      <c r="G176" s="163">
        <f t="shared" si="21"/>
        <v>0</v>
      </c>
      <c r="H176" s="163">
        <f t="shared" si="22"/>
        <v>0</v>
      </c>
    </row>
    <row r="177" spans="2:8" ht="16" hidden="1" x14ac:dyDescent="0.2">
      <c r="B177" s="162" t="str">
        <f t="shared" si="18"/>
        <v>-</v>
      </c>
      <c r="C177" s="162" t="str">
        <f t="shared" si="16"/>
        <v>-</v>
      </c>
      <c r="D177" s="160" t="str">
        <f t="shared" si="19"/>
        <v>-</v>
      </c>
      <c r="E177" s="161">
        <f t="shared" si="20"/>
        <v>-1.8044374883174896E-9</v>
      </c>
      <c r="F177" s="174">
        <f t="shared" si="23"/>
        <v>0</v>
      </c>
      <c r="G177" s="163">
        <f t="shared" si="21"/>
        <v>0</v>
      </c>
      <c r="H177" s="163">
        <f t="shared" si="22"/>
        <v>0</v>
      </c>
    </row>
    <row r="178" spans="2:8" ht="16" hidden="1" x14ac:dyDescent="0.2">
      <c r="B178" s="162" t="str">
        <f t="shared" si="18"/>
        <v>-</v>
      </c>
      <c r="C178" s="162" t="str">
        <f t="shared" si="16"/>
        <v>-</v>
      </c>
      <c r="D178" s="160" t="str">
        <f t="shared" si="19"/>
        <v>-</v>
      </c>
      <c r="E178" s="161">
        <f t="shared" si="20"/>
        <v>-1.8044374883174896E-9</v>
      </c>
      <c r="F178" s="174">
        <f t="shared" si="23"/>
        <v>0</v>
      </c>
      <c r="G178" s="163">
        <f t="shared" si="21"/>
        <v>0</v>
      </c>
      <c r="H178" s="163">
        <f t="shared" si="22"/>
        <v>0</v>
      </c>
    </row>
    <row r="179" spans="2:8" ht="16" hidden="1" x14ac:dyDescent="0.2">
      <c r="B179" s="162" t="str">
        <f t="shared" si="18"/>
        <v>-</v>
      </c>
      <c r="C179" s="162" t="str">
        <f t="shared" si="16"/>
        <v>-</v>
      </c>
      <c r="D179" s="160" t="str">
        <f t="shared" si="19"/>
        <v>-</v>
      </c>
      <c r="E179" s="161">
        <f t="shared" si="20"/>
        <v>-1.8044374883174896E-9</v>
      </c>
      <c r="F179" s="174">
        <f t="shared" si="23"/>
        <v>0</v>
      </c>
      <c r="G179" s="163">
        <f t="shared" si="21"/>
        <v>0</v>
      </c>
      <c r="H179" s="163">
        <f t="shared" si="22"/>
        <v>0</v>
      </c>
    </row>
    <row r="180" spans="2:8" ht="16" hidden="1" x14ac:dyDescent="0.2">
      <c r="B180" s="162" t="str">
        <f t="shared" si="18"/>
        <v>-</v>
      </c>
      <c r="C180" s="162" t="str">
        <f t="shared" si="16"/>
        <v>-</v>
      </c>
      <c r="D180" s="160" t="str">
        <f t="shared" si="19"/>
        <v>-</v>
      </c>
      <c r="E180" s="161">
        <f t="shared" si="20"/>
        <v>-1.8044374883174896E-9</v>
      </c>
      <c r="F180" s="174">
        <f t="shared" si="23"/>
        <v>0</v>
      </c>
      <c r="G180" s="163">
        <f t="shared" si="21"/>
        <v>0</v>
      </c>
      <c r="H180" s="163">
        <f t="shared" si="22"/>
        <v>0</v>
      </c>
    </row>
    <row r="181" spans="2:8" ht="16" hidden="1" x14ac:dyDescent="0.2">
      <c r="B181" s="162" t="str">
        <f t="shared" si="18"/>
        <v>-</v>
      </c>
      <c r="C181" s="162" t="str">
        <f t="shared" si="16"/>
        <v>-</v>
      </c>
      <c r="D181" s="160" t="str">
        <f t="shared" si="19"/>
        <v>-</v>
      </c>
      <c r="E181" s="161">
        <f t="shared" si="20"/>
        <v>-1.8044374883174896E-9</v>
      </c>
      <c r="F181" s="174">
        <f t="shared" si="23"/>
        <v>0</v>
      </c>
      <c r="G181" s="163">
        <f t="shared" si="21"/>
        <v>0</v>
      </c>
      <c r="H181" s="163">
        <f t="shared" si="22"/>
        <v>0</v>
      </c>
    </row>
    <row r="182" spans="2:8" ht="16" hidden="1" x14ac:dyDescent="0.2">
      <c r="B182" s="162" t="str">
        <f t="shared" si="18"/>
        <v>-</v>
      </c>
      <c r="C182" s="162" t="str">
        <f t="shared" si="16"/>
        <v>-</v>
      </c>
      <c r="D182" s="160" t="str">
        <f t="shared" si="19"/>
        <v>-</v>
      </c>
      <c r="E182" s="161">
        <f t="shared" si="20"/>
        <v>-1.8044374883174896E-9</v>
      </c>
      <c r="F182" s="174">
        <f t="shared" si="23"/>
        <v>0</v>
      </c>
      <c r="G182" s="163">
        <f t="shared" si="21"/>
        <v>0</v>
      </c>
      <c r="H182" s="163">
        <f t="shared" si="22"/>
        <v>0</v>
      </c>
    </row>
    <row r="183" spans="2:8" ht="16" hidden="1" x14ac:dyDescent="0.2">
      <c r="B183" s="162" t="str">
        <f t="shared" si="18"/>
        <v>-</v>
      </c>
      <c r="C183" s="162" t="str">
        <f t="shared" si="16"/>
        <v>-</v>
      </c>
      <c r="D183" s="160" t="str">
        <f t="shared" si="19"/>
        <v>-</v>
      </c>
      <c r="E183" s="161">
        <f t="shared" si="20"/>
        <v>-1.8044374883174896E-9</v>
      </c>
      <c r="F183" s="174">
        <f t="shared" si="23"/>
        <v>0</v>
      </c>
      <c r="G183" s="163">
        <f t="shared" si="21"/>
        <v>0</v>
      </c>
      <c r="H183" s="163">
        <f t="shared" si="22"/>
        <v>0</v>
      </c>
    </row>
    <row r="184" spans="2:8" ht="16" hidden="1" x14ac:dyDescent="0.2">
      <c r="B184" s="162" t="str">
        <f t="shared" si="18"/>
        <v>-</v>
      </c>
      <c r="C184" s="162" t="str">
        <f t="shared" si="16"/>
        <v>-</v>
      </c>
      <c r="D184" s="160" t="str">
        <f t="shared" si="19"/>
        <v>-</v>
      </c>
      <c r="E184" s="161">
        <f t="shared" si="20"/>
        <v>-1.8044374883174896E-9</v>
      </c>
      <c r="F184" s="174">
        <f t="shared" si="23"/>
        <v>0</v>
      </c>
      <c r="G184" s="163">
        <f t="shared" si="21"/>
        <v>0</v>
      </c>
      <c r="H184" s="163">
        <f t="shared" si="22"/>
        <v>0</v>
      </c>
    </row>
    <row r="185" spans="2:8" ht="16" hidden="1" x14ac:dyDescent="0.2">
      <c r="B185" s="162" t="str">
        <f t="shared" si="18"/>
        <v>-</v>
      </c>
      <c r="C185" s="162" t="str">
        <f t="shared" si="16"/>
        <v>-</v>
      </c>
      <c r="D185" s="160" t="str">
        <f t="shared" si="19"/>
        <v>-</v>
      </c>
      <c r="E185" s="161">
        <f t="shared" si="20"/>
        <v>-1.8044374883174896E-9</v>
      </c>
      <c r="F185" s="174">
        <f t="shared" si="23"/>
        <v>0</v>
      </c>
      <c r="G185" s="163">
        <f t="shared" si="21"/>
        <v>0</v>
      </c>
      <c r="H185" s="163">
        <f t="shared" si="22"/>
        <v>0</v>
      </c>
    </row>
    <row r="186" spans="2:8" ht="16" hidden="1" x14ac:dyDescent="0.2">
      <c r="B186" s="162" t="str">
        <f t="shared" si="18"/>
        <v>-</v>
      </c>
      <c r="C186" s="162" t="str">
        <f t="shared" si="16"/>
        <v>-</v>
      </c>
      <c r="D186" s="160" t="str">
        <f t="shared" si="19"/>
        <v>-</v>
      </c>
      <c r="E186" s="161">
        <f t="shared" si="20"/>
        <v>-1.8044374883174896E-9</v>
      </c>
      <c r="F186" s="174">
        <f t="shared" si="23"/>
        <v>0</v>
      </c>
      <c r="G186" s="163">
        <f t="shared" si="21"/>
        <v>0</v>
      </c>
      <c r="H186" s="163">
        <f t="shared" si="22"/>
        <v>0</v>
      </c>
    </row>
    <row r="187" spans="2:8" ht="16" hidden="1" x14ac:dyDescent="0.2">
      <c r="B187" s="162" t="str">
        <f t="shared" si="18"/>
        <v>-</v>
      </c>
      <c r="C187" s="162" t="str">
        <f t="shared" si="16"/>
        <v>-</v>
      </c>
      <c r="D187" s="160" t="str">
        <f t="shared" si="19"/>
        <v>-</v>
      </c>
      <c r="E187" s="161">
        <f t="shared" si="20"/>
        <v>-1.8044374883174896E-9</v>
      </c>
      <c r="F187" s="174">
        <f t="shared" si="23"/>
        <v>0</v>
      </c>
      <c r="G187" s="163">
        <f t="shared" si="21"/>
        <v>0</v>
      </c>
      <c r="H187" s="163">
        <f t="shared" si="22"/>
        <v>0</v>
      </c>
    </row>
    <row r="188" spans="2:8" ht="16" hidden="1" x14ac:dyDescent="0.2">
      <c r="B188" s="162" t="str">
        <f t="shared" si="18"/>
        <v>-</v>
      </c>
      <c r="C188" s="162" t="str">
        <f t="shared" si="16"/>
        <v>-</v>
      </c>
      <c r="D188" s="160" t="str">
        <f t="shared" si="19"/>
        <v>-</v>
      </c>
      <c r="E188" s="161">
        <f t="shared" si="20"/>
        <v>-1.8044374883174896E-9</v>
      </c>
      <c r="F188" s="174">
        <f t="shared" si="23"/>
        <v>0</v>
      </c>
      <c r="G188" s="163">
        <f t="shared" si="21"/>
        <v>0</v>
      </c>
      <c r="H188" s="163">
        <f t="shared" si="22"/>
        <v>0</v>
      </c>
    </row>
    <row r="189" spans="2:8" ht="16" hidden="1" x14ac:dyDescent="0.2">
      <c r="B189" s="162" t="str">
        <f t="shared" si="18"/>
        <v>-</v>
      </c>
      <c r="C189" s="162" t="str">
        <f t="shared" si="16"/>
        <v>-</v>
      </c>
      <c r="D189" s="160" t="str">
        <f t="shared" si="19"/>
        <v>-</v>
      </c>
      <c r="E189" s="161">
        <f t="shared" si="20"/>
        <v>-1.8044374883174896E-9</v>
      </c>
      <c r="F189" s="174">
        <f t="shared" si="23"/>
        <v>0</v>
      </c>
      <c r="G189" s="163">
        <f t="shared" si="21"/>
        <v>0</v>
      </c>
      <c r="H189" s="163">
        <f t="shared" si="22"/>
        <v>0</v>
      </c>
    </row>
    <row r="190" spans="2:8" ht="16" hidden="1" x14ac:dyDescent="0.2">
      <c r="B190" s="162" t="str">
        <f t="shared" si="18"/>
        <v>-</v>
      </c>
      <c r="C190" s="162" t="str">
        <f t="shared" si="16"/>
        <v>-</v>
      </c>
      <c r="D190" s="160" t="str">
        <f t="shared" si="19"/>
        <v>-</v>
      </c>
      <c r="E190" s="161">
        <f t="shared" si="20"/>
        <v>-1.8044374883174896E-9</v>
      </c>
      <c r="F190" s="174">
        <f t="shared" si="23"/>
        <v>0</v>
      </c>
      <c r="G190" s="163">
        <f t="shared" si="21"/>
        <v>0</v>
      </c>
      <c r="H190" s="163">
        <f t="shared" si="22"/>
        <v>0</v>
      </c>
    </row>
    <row r="191" spans="2:8" ht="16" hidden="1" x14ac:dyDescent="0.2">
      <c r="B191" s="162" t="str">
        <f t="shared" si="18"/>
        <v>-</v>
      </c>
      <c r="C191" s="162" t="str">
        <f t="shared" si="16"/>
        <v>-</v>
      </c>
      <c r="D191" s="160" t="str">
        <f t="shared" si="19"/>
        <v>-</v>
      </c>
      <c r="E191" s="161">
        <f t="shared" si="20"/>
        <v>-1.8044374883174896E-9</v>
      </c>
      <c r="F191" s="174">
        <f t="shared" si="23"/>
        <v>0</v>
      </c>
      <c r="G191" s="163">
        <f t="shared" si="21"/>
        <v>0</v>
      </c>
      <c r="H191" s="163">
        <f t="shared" si="22"/>
        <v>0</v>
      </c>
    </row>
    <row r="192" spans="2:8" collapsed="1" x14ac:dyDescent="0.15"/>
  </sheetData>
  <mergeCells count="1">
    <mergeCell ref="B1:H1"/>
  </mergeCells>
  <pageMargins left="0.7" right="0.7" top="0.75" bottom="0.75" header="0.3" footer="0.3"/>
  <pageSetup paperSize="9" orientation="portrait" horizontalDpi="0" verticalDpi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59"/>
  <dimension ref="B1:O38"/>
  <sheetViews>
    <sheetView topLeftCell="A15" zoomScale="165" zoomScaleNormal="150" workbookViewId="0">
      <selection activeCell="D38" sqref="D38"/>
    </sheetView>
  </sheetViews>
  <sheetFormatPr baseColWidth="10" defaultColWidth="9.1640625" defaultRowHeight="16" x14ac:dyDescent="0.2"/>
  <cols>
    <col min="1" max="1" width="9.1640625" style="3"/>
    <col min="2" max="2" width="24.83203125" style="3" bestFit="1" customWidth="1"/>
    <col min="3" max="3" width="14.1640625" style="3" customWidth="1"/>
    <col min="4" max="4" width="12.6640625" style="3" bestFit="1" customWidth="1"/>
    <col min="5" max="5" width="12.6640625" style="3" customWidth="1"/>
    <col min="6" max="14" width="12.6640625" style="3" bestFit="1" customWidth="1"/>
    <col min="15" max="15" width="12.83203125" style="3" customWidth="1"/>
    <col min="16" max="16384" width="9.1640625" style="3"/>
  </cols>
  <sheetData>
    <row r="1" spans="2:15" x14ac:dyDescent="0.2">
      <c r="C1" s="175"/>
    </row>
    <row r="2" spans="2:15" x14ac:dyDescent="0.2">
      <c r="B2" s="3" t="s">
        <v>1286</v>
      </c>
      <c r="C2" s="176"/>
      <c r="J2" s="177"/>
    </row>
    <row r="3" spans="2:15" x14ac:dyDescent="0.2">
      <c r="C3" s="176"/>
      <c r="J3" s="177"/>
    </row>
    <row r="4" spans="2:15" ht="17" thickBot="1" x14ac:dyDescent="0.25">
      <c r="C4" s="176"/>
      <c r="J4" s="177"/>
    </row>
    <row r="5" spans="2:15" x14ac:dyDescent="0.2">
      <c r="B5" s="13"/>
      <c r="C5" s="1056" t="s">
        <v>196</v>
      </c>
      <c r="D5" s="1044"/>
      <c r="E5" s="1044"/>
      <c r="F5" s="1044"/>
      <c r="G5" s="1044"/>
      <c r="H5" s="1044"/>
      <c r="I5" s="1044"/>
      <c r="J5" s="1044"/>
      <c r="K5" s="1044"/>
      <c r="L5" s="1044"/>
      <c r="M5" s="1044"/>
      <c r="N5" s="1045"/>
      <c r="O5" s="1111" t="s">
        <v>52</v>
      </c>
    </row>
    <row r="6" spans="2:15" ht="17" thickBot="1" x14ac:dyDescent="0.25">
      <c r="B6" s="146"/>
      <c r="C6" s="419" t="s">
        <v>211</v>
      </c>
      <c r="D6" s="420" t="s">
        <v>212</v>
      </c>
      <c r="E6" s="420" t="s">
        <v>213</v>
      </c>
      <c r="F6" s="420" t="s">
        <v>214</v>
      </c>
      <c r="G6" s="420" t="s">
        <v>215</v>
      </c>
      <c r="H6" s="420" t="s">
        <v>216</v>
      </c>
      <c r="I6" s="420" t="s">
        <v>217</v>
      </c>
      <c r="J6" s="420" t="s">
        <v>218</v>
      </c>
      <c r="K6" s="420" t="s">
        <v>219</v>
      </c>
      <c r="L6" s="420" t="s">
        <v>220</v>
      </c>
      <c r="M6" s="420" t="s">
        <v>221</v>
      </c>
      <c r="N6" s="293" t="s">
        <v>222</v>
      </c>
      <c r="O6" s="1112"/>
    </row>
    <row r="7" spans="2:15" x14ac:dyDescent="0.2">
      <c r="B7" s="285"/>
      <c r="N7" s="152"/>
      <c r="O7" s="916"/>
    </row>
    <row r="8" spans="2:15" x14ac:dyDescent="0.2">
      <c r="B8" s="922" t="s">
        <v>1288</v>
      </c>
      <c r="N8" s="152"/>
      <c r="O8" s="916"/>
    </row>
    <row r="9" spans="2:15" x14ac:dyDescent="0.2">
      <c r="B9" s="438"/>
      <c r="N9" s="152"/>
      <c r="O9" s="916"/>
    </row>
    <row r="10" spans="2:15" x14ac:dyDescent="0.2">
      <c r="B10" s="438" t="s">
        <v>132</v>
      </c>
      <c r="C10" s="176">
        <f>SUMIF('All. 15'!$A:$A,'37. Budget dei fin. diretti'!C$6,'All. 15'!$G:$G)</f>
        <v>47120.338328301761</v>
      </c>
      <c r="D10" s="176">
        <f>SUMIF('All. 15'!$A:$A,'37. Budget dei fin. diretti'!D$6,'All. 15'!$G:$G)</f>
        <v>47238.139174122516</v>
      </c>
      <c r="E10" s="176">
        <f>SUMIF('All. 15'!$A:$A,'37. Budget dei fin. diretti'!E$6,'All. 15'!$G:$G)</f>
        <v>47356.234522057821</v>
      </c>
      <c r="F10" s="176">
        <f>SUMIF('All. 15'!$A:$A,'37. Budget dei fin. diretti'!F$6,'All. 15'!$G:$G)</f>
        <v>47474.625108362961</v>
      </c>
      <c r="G10" s="176">
        <f>SUMIF('All. 15'!$A:$A,'37. Budget dei fin. diretti'!G$6,'All. 15'!$G:$G)</f>
        <v>47593.311671133873</v>
      </c>
      <c r="H10" s="176">
        <f>SUMIF('All. 15'!$A:$A,'37. Budget dei fin. diretti'!H$6,'All. 15'!$G:$G)</f>
        <v>47712.294950311705</v>
      </c>
      <c r="I10" s="176">
        <f>SUMIF('All. 15'!$A:$A,'37. Budget dei fin. diretti'!I$6,'All. 15'!$G:$G)</f>
        <v>47831.575687687488</v>
      </c>
      <c r="J10" s="176">
        <f>SUMIF('All. 15'!$A:$A,'37. Budget dei fin. diretti'!J$6,'All. 15'!$G:$G)</f>
        <v>47951.154626906704</v>
      </c>
      <c r="K10" s="176">
        <f>SUMIF('All. 15'!$A:$A,'37. Budget dei fin. diretti'!K$6,'All. 15'!$G:$G)</f>
        <v>48071.032513473976</v>
      </c>
      <c r="L10" s="176">
        <f>SUMIF('All. 15'!$A:$A,'37. Budget dei fin. diretti'!L$6,'All. 15'!$G:$G)</f>
        <v>48191.210094757655</v>
      </c>
      <c r="M10" s="176">
        <f>SUMIF('All. 15'!$A:$A,'37. Budget dei fin. diretti'!M$6,'All. 15'!$G:$G)</f>
        <v>48311.688119994549</v>
      </c>
      <c r="N10" s="915">
        <f>SUMIF('All. 15'!$A:$A,'37. Budget dei fin. diretti'!N$6,'All. 15'!$G:$G)</f>
        <v>48432.467340294541</v>
      </c>
      <c r="O10" s="917">
        <f>SUM(C10:N10)</f>
        <v>573284.07213740551</v>
      </c>
    </row>
    <row r="11" spans="2:15" x14ac:dyDescent="0.2">
      <c r="B11" s="438" t="s">
        <v>136</v>
      </c>
      <c r="C11" s="176">
        <f>SUMIF('All. 16'!$A:$A,'37. Budget dei fin. diretti'!C$6,'All. 16'!$G:$G)</f>
        <v>84880.286664774321</v>
      </c>
      <c r="D11" s="176">
        <f>SUMIF('All. 16'!$A:$A,'37. Budget dei fin. diretti'!D$6,'All. 16'!$G:$G)</f>
        <v>85233.954525877547</v>
      </c>
      <c r="E11" s="176">
        <f>SUMIF('All. 16'!$A:$A,'37. Budget dei fin. diretti'!E$6,'All. 16'!$G:$G)</f>
        <v>85589.096003068698</v>
      </c>
      <c r="F11" s="176">
        <f>SUMIF('All. 16'!$A:$A,'37. Budget dei fin. diretti'!F$6,'All. 16'!$G:$G)</f>
        <v>85945.717236414814</v>
      </c>
      <c r="G11" s="176">
        <f>SUMIF('All. 16'!$A:$A,'37. Budget dei fin. diretti'!G$6,'All. 16'!$G:$G)</f>
        <v>86303.824391566552</v>
      </c>
      <c r="H11" s="176">
        <f>SUMIF('All. 16'!$A:$A,'37. Budget dei fin. diretti'!H$6,'All. 16'!$G:$G)</f>
        <v>86663.42365986474</v>
      </c>
      <c r="I11" s="176">
        <f>SUMIF('All. 16'!$A:$A,'37. Budget dei fin. diretti'!I$6,'All. 16'!$G:$G)</f>
        <v>87024.521258447508</v>
      </c>
      <c r="J11" s="176">
        <f>SUMIF('All. 16'!$A:$A,'37. Budget dei fin. diretti'!J$6,'All. 16'!$G:$G)</f>
        <v>87387.123430357708</v>
      </c>
      <c r="K11" s="176">
        <f>SUMIF('All. 16'!$A:$A,'37. Budget dei fin. diretti'!K$6,'All. 16'!$G:$G)</f>
        <v>0</v>
      </c>
      <c r="L11" s="176">
        <f>SUMIF('All. 16'!$A:$A,'37. Budget dei fin. diretti'!L$6,'All. 16'!$G:$G)</f>
        <v>0</v>
      </c>
      <c r="M11" s="176">
        <f>SUMIF('All. 16'!$A:$A,'37. Budget dei fin. diretti'!M$6,'All. 16'!$G:$G)</f>
        <v>0</v>
      </c>
      <c r="N11" s="915">
        <f>SUMIF('All. 16'!$A:$A,'37. Budget dei fin. diretti'!N$6,'All. 16'!$G:$G)</f>
        <v>0</v>
      </c>
      <c r="O11" s="917">
        <f>SUM(C11:N11)</f>
        <v>689027.94717037189</v>
      </c>
    </row>
    <row r="12" spans="2:15" s="12" customFormat="1" x14ac:dyDescent="0.2">
      <c r="B12" s="435" t="s">
        <v>139</v>
      </c>
      <c r="C12" s="919">
        <f t="shared" ref="C12:N12" si="0">SUM(C10:C11)</f>
        <v>132000.62499307608</v>
      </c>
      <c r="D12" s="919">
        <f t="shared" si="0"/>
        <v>132472.09370000006</v>
      </c>
      <c r="E12" s="919">
        <f t="shared" si="0"/>
        <v>132945.33052512651</v>
      </c>
      <c r="F12" s="919">
        <f t="shared" si="0"/>
        <v>133420.34234477777</v>
      </c>
      <c r="G12" s="919">
        <f t="shared" si="0"/>
        <v>133897.13606270042</v>
      </c>
      <c r="H12" s="919">
        <f t="shared" si="0"/>
        <v>134375.71861017644</v>
      </c>
      <c r="I12" s="919">
        <f t="shared" si="0"/>
        <v>134856.09694613499</v>
      </c>
      <c r="J12" s="919">
        <f t="shared" si="0"/>
        <v>135338.2780572644</v>
      </c>
      <c r="K12" s="919">
        <f t="shared" si="0"/>
        <v>48071.032513473976</v>
      </c>
      <c r="L12" s="919">
        <f t="shared" si="0"/>
        <v>48191.210094757655</v>
      </c>
      <c r="M12" s="919">
        <f t="shared" si="0"/>
        <v>48311.688119994549</v>
      </c>
      <c r="N12" s="920">
        <f t="shared" si="0"/>
        <v>48432.467340294541</v>
      </c>
      <c r="O12" s="921">
        <f>SUM(C12:N12)</f>
        <v>1262312.0193077773</v>
      </c>
    </row>
    <row r="13" spans="2:15" x14ac:dyDescent="0.2">
      <c r="B13" s="438"/>
      <c r="N13" s="152"/>
      <c r="O13" s="916"/>
    </row>
    <row r="14" spans="2:15" x14ac:dyDescent="0.2">
      <c r="B14" s="438" t="s">
        <v>133</v>
      </c>
      <c r="C14" s="176">
        <f>SUMIF('All. 15'!$A:$A,'37. Budget dei fin. diretti'!C$6,'All. 15'!$H:$H)</f>
        <v>11579.101095327396</v>
      </c>
      <c r="D14" s="176">
        <f>SUMIF('All. 15'!$A:$A,'37. Budget dei fin. diretti'!D$6,'All. 15'!$H:$H)</f>
        <v>11461.300249506641</v>
      </c>
      <c r="E14" s="176">
        <f>SUMIF('All. 15'!$A:$A,'37. Budget dei fin. diretti'!E$6,'All. 15'!$H:$H)</f>
        <v>11343.204901571336</v>
      </c>
      <c r="F14" s="176">
        <f>SUMIF('All. 15'!$A:$A,'37. Budget dei fin. diretti'!F$6,'All. 15'!$H:$H)</f>
        <v>11224.814315266192</v>
      </c>
      <c r="G14" s="176">
        <f>SUMIF('All. 15'!$A:$A,'37. Budget dei fin. diretti'!G$6,'All. 15'!$H:$H)</f>
        <v>11106.127752495284</v>
      </c>
      <c r="H14" s="176">
        <f>SUMIF('All. 15'!$A:$A,'37. Budget dei fin. diretti'!H$6,'All. 15'!$H:$H)</f>
        <v>10987.144473317449</v>
      </c>
      <c r="I14" s="176">
        <f>SUMIF('All. 15'!$A:$A,'37. Budget dei fin. diretti'!I$6,'All. 15'!$H:$H)</f>
        <v>10867.86373594167</v>
      </c>
      <c r="J14" s="176">
        <f>SUMIF('All. 15'!$A:$A,'37. Budget dei fin. diretti'!J$6,'All. 15'!$H:$H)</f>
        <v>10748.28479672245</v>
      </c>
      <c r="K14" s="176">
        <f>SUMIF('All. 15'!$A:$A,'37. Budget dei fin. diretti'!K$6,'All. 15'!$H:$H)</f>
        <v>10628.406910155181</v>
      </c>
      <c r="L14" s="176">
        <f>SUMIF('All. 15'!$A:$A,'37. Budget dei fin. diretti'!L$6,'All. 15'!$H:$H)</f>
        <v>10508.229328871497</v>
      </c>
      <c r="M14" s="176">
        <f>SUMIF('All. 15'!$A:$A,'37. Budget dei fin. diretti'!M$6,'All. 15'!$H:$H)</f>
        <v>10387.751303634603</v>
      </c>
      <c r="N14" s="915">
        <f>SUMIF('All. 15'!$A:$A,'37. Budget dei fin. diretti'!N$6,'All. 15'!$H:$H)</f>
        <v>10266.972083334616</v>
      </c>
      <c r="O14" s="917">
        <f>SUM(C14:N14)</f>
        <v>131109.20094614432</v>
      </c>
    </row>
    <row r="15" spans="2:15" x14ac:dyDescent="0.2">
      <c r="B15" s="438" t="s">
        <v>137</v>
      </c>
      <c r="C15" s="176">
        <f>SUMIF('All. 16'!$A:$A,'37. Budget dei fin. diretti'!C$6,'All. 16'!$H:$H)</f>
        <v>2870.9497798765419</v>
      </c>
      <c r="D15" s="176">
        <f>SUMIF('All. 16'!$A:$A,'37. Budget dei fin. diretti'!D$6,'All. 16'!$H:$H)</f>
        <v>2517.2819187733157</v>
      </c>
      <c r="E15" s="176">
        <f>SUMIF('All. 16'!$A:$A,'37. Budget dei fin. diretti'!E$6,'All. 16'!$H:$H)</f>
        <v>2162.1404415821594</v>
      </c>
      <c r="F15" s="176">
        <f>SUMIF('All. 16'!$A:$A,'37. Budget dei fin. diretti'!F$6,'All. 16'!$H:$H)</f>
        <v>1805.5192082360397</v>
      </c>
      <c r="G15" s="176">
        <f>SUMIF('All. 16'!$A:$A,'37. Budget dei fin. diretti'!G$6,'All. 16'!$H:$H)</f>
        <v>1447.4120530843113</v>
      </c>
      <c r="H15" s="176">
        <f>SUMIF('All. 16'!$A:$A,'37. Budget dei fin. diretti'!H$6,'All. 16'!$H:$H)</f>
        <v>1087.8127847861174</v>
      </c>
      <c r="I15" s="176">
        <f>SUMIF('All. 16'!$A:$A,'37. Budget dei fin. diretti'!I$6,'All. 16'!$H:$H)</f>
        <v>726.71518620334757</v>
      </c>
      <c r="J15" s="176">
        <f>SUMIF('All. 16'!$A:$A,'37. Budget dei fin. diretti'!J$6,'All. 16'!$H:$H)</f>
        <v>364.11301429314966</v>
      </c>
      <c r="K15" s="176">
        <f>SUMIF('All. 16'!$A:$A,'37. Budget dei fin. diretti'!K$6,'All. 16'!$H:$H)</f>
        <v>0</v>
      </c>
      <c r="L15" s="176">
        <f>SUMIF('All. 16'!$A:$A,'37. Budget dei fin. diretti'!L$6,'All. 16'!$H:$H)</f>
        <v>0</v>
      </c>
      <c r="M15" s="176">
        <f>SUMIF('All. 16'!$A:$A,'37. Budget dei fin. diretti'!M$6,'All. 16'!$H:$H)</f>
        <v>0</v>
      </c>
      <c r="N15" s="915">
        <f>SUMIF('All. 16'!$A:$A,'37. Budget dei fin. diretti'!N$6,'All. 16'!$H:$H)</f>
        <v>0</v>
      </c>
      <c r="O15" s="917">
        <f>SUM(C15:N15)</f>
        <v>12981.944386834983</v>
      </c>
    </row>
    <row r="16" spans="2:15" s="12" customFormat="1" x14ac:dyDescent="0.2">
      <c r="B16" s="435" t="s">
        <v>140</v>
      </c>
      <c r="C16" s="919">
        <f t="shared" ref="C16:N16" si="1">SUM(C14:C15)</f>
        <v>14450.050875203939</v>
      </c>
      <c r="D16" s="919">
        <f t="shared" si="1"/>
        <v>13978.582168279958</v>
      </c>
      <c r="E16" s="919">
        <f t="shared" si="1"/>
        <v>13505.345343153496</v>
      </c>
      <c r="F16" s="919">
        <f t="shared" si="1"/>
        <v>13030.333523502231</v>
      </c>
      <c r="G16" s="919">
        <f t="shared" si="1"/>
        <v>12553.539805579596</v>
      </c>
      <c r="H16" s="919">
        <f t="shared" si="1"/>
        <v>12074.957258103566</v>
      </c>
      <c r="I16" s="919">
        <f t="shared" si="1"/>
        <v>11594.578922145018</v>
      </c>
      <c r="J16" s="919">
        <f t="shared" si="1"/>
        <v>11112.397811015599</v>
      </c>
      <c r="K16" s="919">
        <f t="shared" si="1"/>
        <v>10628.406910155181</v>
      </c>
      <c r="L16" s="919">
        <f t="shared" si="1"/>
        <v>10508.229328871497</v>
      </c>
      <c r="M16" s="919">
        <f t="shared" si="1"/>
        <v>10387.751303634603</v>
      </c>
      <c r="N16" s="920">
        <f t="shared" si="1"/>
        <v>10266.972083334616</v>
      </c>
      <c r="O16" s="921">
        <f>SUM(C16:N16)</f>
        <v>144091.14533297927</v>
      </c>
    </row>
    <row r="17" spans="2:15" x14ac:dyDescent="0.2">
      <c r="B17" s="438"/>
      <c r="N17" s="152"/>
      <c r="O17" s="916"/>
    </row>
    <row r="18" spans="2:15" x14ac:dyDescent="0.2">
      <c r="B18" s="438" t="s">
        <v>134</v>
      </c>
      <c r="C18" s="176">
        <f t="shared" ref="C18:N18" si="2">+C10+C14</f>
        <v>58699.439423629155</v>
      </c>
      <c r="D18" s="176">
        <f t="shared" si="2"/>
        <v>58699.439423629155</v>
      </c>
      <c r="E18" s="176">
        <f t="shared" si="2"/>
        <v>58699.439423629155</v>
      </c>
      <c r="F18" s="176">
        <f t="shared" si="2"/>
        <v>58699.439423629155</v>
      </c>
      <c r="G18" s="176">
        <f t="shared" si="2"/>
        <v>58699.439423629155</v>
      </c>
      <c r="H18" s="176">
        <f t="shared" si="2"/>
        <v>58699.439423629155</v>
      </c>
      <c r="I18" s="176">
        <f t="shared" si="2"/>
        <v>58699.439423629155</v>
      </c>
      <c r="J18" s="176">
        <f t="shared" si="2"/>
        <v>58699.439423629155</v>
      </c>
      <c r="K18" s="176">
        <f t="shared" si="2"/>
        <v>58699.439423629155</v>
      </c>
      <c r="L18" s="176">
        <f t="shared" si="2"/>
        <v>58699.439423629155</v>
      </c>
      <c r="M18" s="176">
        <f t="shared" si="2"/>
        <v>58699.439423629155</v>
      </c>
      <c r="N18" s="915">
        <f t="shared" si="2"/>
        <v>58699.439423629155</v>
      </c>
      <c r="O18" s="917">
        <f>SUM(C18:N18)</f>
        <v>704393.27308354992</v>
      </c>
    </row>
    <row r="19" spans="2:15" x14ac:dyDescent="0.2">
      <c r="B19" s="438" t="s">
        <v>138</v>
      </c>
      <c r="C19" s="176">
        <f t="shared" ref="C19:N19" si="3">+C11+C15</f>
        <v>87751.236444650858</v>
      </c>
      <c r="D19" s="176">
        <f t="shared" si="3"/>
        <v>87751.236444650858</v>
      </c>
      <c r="E19" s="176">
        <f t="shared" si="3"/>
        <v>87751.236444650858</v>
      </c>
      <c r="F19" s="176">
        <f t="shared" si="3"/>
        <v>87751.236444650858</v>
      </c>
      <c r="G19" s="176">
        <f t="shared" si="3"/>
        <v>87751.236444650858</v>
      </c>
      <c r="H19" s="176">
        <f t="shared" si="3"/>
        <v>87751.236444650858</v>
      </c>
      <c r="I19" s="176">
        <f t="shared" si="3"/>
        <v>87751.236444650858</v>
      </c>
      <c r="J19" s="176">
        <f t="shared" si="3"/>
        <v>87751.236444650858</v>
      </c>
      <c r="K19" s="176">
        <f t="shared" si="3"/>
        <v>0</v>
      </c>
      <c r="L19" s="176">
        <f t="shared" si="3"/>
        <v>0</v>
      </c>
      <c r="M19" s="176">
        <f t="shared" si="3"/>
        <v>0</v>
      </c>
      <c r="N19" s="915">
        <f t="shared" si="3"/>
        <v>0</v>
      </c>
      <c r="O19" s="917">
        <f>SUM(C19:N19)</f>
        <v>702009.89155720687</v>
      </c>
    </row>
    <row r="20" spans="2:15" s="12" customFormat="1" x14ac:dyDescent="0.2">
      <c r="B20" s="435" t="s">
        <v>141</v>
      </c>
      <c r="C20" s="919">
        <f t="shared" ref="C20:N20" si="4">SUM(C18:C19)</f>
        <v>146450.67586828</v>
      </c>
      <c r="D20" s="919">
        <f t="shared" si="4"/>
        <v>146450.67586828</v>
      </c>
      <c r="E20" s="919">
        <f t="shared" si="4"/>
        <v>146450.67586828</v>
      </c>
      <c r="F20" s="919">
        <f t="shared" si="4"/>
        <v>146450.67586828</v>
      </c>
      <c r="G20" s="919">
        <f t="shared" si="4"/>
        <v>146450.67586828</v>
      </c>
      <c r="H20" s="919">
        <f t="shared" si="4"/>
        <v>146450.67586828</v>
      </c>
      <c r="I20" s="919">
        <f t="shared" si="4"/>
        <v>146450.67586828</v>
      </c>
      <c r="J20" s="919">
        <f t="shared" si="4"/>
        <v>146450.67586828</v>
      </c>
      <c r="K20" s="919">
        <f t="shared" si="4"/>
        <v>58699.439423629155</v>
      </c>
      <c r="L20" s="919">
        <f t="shared" si="4"/>
        <v>58699.439423629155</v>
      </c>
      <c r="M20" s="919">
        <f t="shared" si="4"/>
        <v>58699.439423629155</v>
      </c>
      <c r="N20" s="920">
        <f t="shared" si="4"/>
        <v>58699.439423629155</v>
      </c>
      <c r="O20" s="921">
        <f>SUM(C20:N20)</f>
        <v>1406403.1646407563</v>
      </c>
    </row>
    <row r="21" spans="2:15" x14ac:dyDescent="0.2">
      <c r="B21" s="438"/>
      <c r="N21" s="152"/>
      <c r="O21" s="916"/>
    </row>
    <row r="22" spans="2:15" x14ac:dyDescent="0.2">
      <c r="B22" s="438" t="s">
        <v>128</v>
      </c>
      <c r="C22" s="100">
        <f>+'All. 15'!E102+'All. 16'!E63</f>
        <v>5320668.3853013292</v>
      </c>
      <c r="D22" s="73">
        <f>+C25</f>
        <v>5188667.7603082526</v>
      </c>
      <c r="E22" s="73">
        <f t="shared" ref="E22:N22" si="5">+D25</f>
        <v>5056195.6666082526</v>
      </c>
      <c r="F22" s="73">
        <f t="shared" si="5"/>
        <v>4923250.3360831263</v>
      </c>
      <c r="G22" s="73">
        <f t="shared" si="5"/>
        <v>4789829.9937383486</v>
      </c>
      <c r="H22" s="73">
        <f t="shared" si="5"/>
        <v>4655932.8576756483</v>
      </c>
      <c r="I22" s="73">
        <f t="shared" si="5"/>
        <v>4521557.1390654715</v>
      </c>
      <c r="J22" s="73">
        <f t="shared" si="5"/>
        <v>4386701.0421193363</v>
      </c>
      <c r="K22" s="73">
        <f t="shared" si="5"/>
        <v>4251362.7640620722</v>
      </c>
      <c r="L22" s="73">
        <f t="shared" si="5"/>
        <v>4203291.731548598</v>
      </c>
      <c r="M22" s="73">
        <f t="shared" si="5"/>
        <v>4155100.5214538402</v>
      </c>
      <c r="N22" s="147">
        <f t="shared" si="5"/>
        <v>4106788.8333338457</v>
      </c>
      <c r="O22" s="918">
        <f>+C22</f>
        <v>5320668.3853013292</v>
      </c>
    </row>
    <row r="23" spans="2:15" x14ac:dyDescent="0.2">
      <c r="B23" s="469" t="s">
        <v>1287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287"/>
      <c r="O23" s="918">
        <f>SUM(C23:N23)</f>
        <v>0</v>
      </c>
    </row>
    <row r="24" spans="2:15" x14ac:dyDescent="0.2">
      <c r="B24" s="469" t="s">
        <v>130</v>
      </c>
      <c r="C24" s="176">
        <f t="shared" ref="C24:N24" si="6">+C12</f>
        <v>132000.62499307608</v>
      </c>
      <c r="D24" s="176">
        <f t="shared" si="6"/>
        <v>132472.09370000006</v>
      </c>
      <c r="E24" s="176">
        <f t="shared" si="6"/>
        <v>132945.33052512651</v>
      </c>
      <c r="F24" s="176">
        <f t="shared" si="6"/>
        <v>133420.34234477777</v>
      </c>
      <c r="G24" s="176">
        <f t="shared" si="6"/>
        <v>133897.13606270042</v>
      </c>
      <c r="H24" s="176">
        <f t="shared" si="6"/>
        <v>134375.71861017644</v>
      </c>
      <c r="I24" s="176">
        <f t="shared" si="6"/>
        <v>134856.09694613499</v>
      </c>
      <c r="J24" s="176">
        <f t="shared" si="6"/>
        <v>135338.2780572644</v>
      </c>
      <c r="K24" s="176">
        <f t="shared" si="6"/>
        <v>48071.032513473976</v>
      </c>
      <c r="L24" s="176">
        <f t="shared" si="6"/>
        <v>48191.210094757655</v>
      </c>
      <c r="M24" s="176">
        <f t="shared" si="6"/>
        <v>48311.688119994549</v>
      </c>
      <c r="N24" s="915">
        <f t="shared" si="6"/>
        <v>48432.467340294541</v>
      </c>
      <c r="O24" s="918">
        <f>SUM(C24:N24)</f>
        <v>1262312.0193077773</v>
      </c>
    </row>
    <row r="25" spans="2:15" ht="17" thickBot="1" x14ac:dyDescent="0.25">
      <c r="B25" s="326" t="s">
        <v>131</v>
      </c>
      <c r="C25" s="830">
        <f>C22+C23-C24</f>
        <v>5188667.7603082526</v>
      </c>
      <c r="D25" s="830">
        <f t="shared" ref="D25:N25" si="7">D22+D23-D24</f>
        <v>5056195.6666082526</v>
      </c>
      <c r="E25" s="830">
        <f t="shared" si="7"/>
        <v>4923250.3360831263</v>
      </c>
      <c r="F25" s="830">
        <f t="shared" si="7"/>
        <v>4789829.9937383486</v>
      </c>
      <c r="G25" s="830">
        <f t="shared" si="7"/>
        <v>4655932.8576756483</v>
      </c>
      <c r="H25" s="830">
        <f t="shared" si="7"/>
        <v>4521557.1390654715</v>
      </c>
      <c r="I25" s="830">
        <f t="shared" si="7"/>
        <v>4386701.0421193363</v>
      </c>
      <c r="J25" s="830">
        <f t="shared" si="7"/>
        <v>4251362.7640620722</v>
      </c>
      <c r="K25" s="830">
        <f t="shared" si="7"/>
        <v>4203291.731548598</v>
      </c>
      <c r="L25" s="830">
        <f t="shared" si="7"/>
        <v>4155100.5214538402</v>
      </c>
      <c r="M25" s="830">
        <f t="shared" si="7"/>
        <v>4106788.8333338457</v>
      </c>
      <c r="N25" s="876">
        <f t="shared" si="7"/>
        <v>4058356.365993551</v>
      </c>
      <c r="O25" s="926">
        <f>+O22+O23-O24</f>
        <v>4058356.3659935519</v>
      </c>
    </row>
    <row r="26" spans="2:15" x14ac:dyDescent="0.2">
      <c r="B26" s="773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151"/>
      <c r="O26" s="929"/>
    </row>
    <row r="27" spans="2:15" x14ac:dyDescent="0.2">
      <c r="B27" s="922" t="s">
        <v>1291</v>
      </c>
      <c r="N27" s="152"/>
      <c r="O27" s="918"/>
    </row>
    <row r="28" spans="2:15" x14ac:dyDescent="0.2">
      <c r="B28" s="438"/>
      <c r="C28" s="74"/>
      <c r="N28" s="152"/>
      <c r="O28" s="918"/>
    </row>
    <row r="29" spans="2:15" x14ac:dyDescent="0.2">
      <c r="B29" s="438" t="s">
        <v>147</v>
      </c>
      <c r="C29" s="73">
        <f>+'BUDGET PATRIMONIALE'!C60</f>
        <v>15686212.817164604</v>
      </c>
      <c r="D29" s="73">
        <f t="shared" ref="D29:N29" si="8">C31</f>
        <v>15417853.345778897</v>
      </c>
      <c r="E29" s="73">
        <f t="shared" si="8"/>
        <v>11543329.981955625</v>
      </c>
      <c r="F29" s="73">
        <f t="shared" si="8"/>
        <v>18685511.704981878</v>
      </c>
      <c r="G29" s="73">
        <f t="shared" si="8"/>
        <v>13971115.213777535</v>
      </c>
      <c r="H29" s="73">
        <f t="shared" si="8"/>
        <v>10698241.959257754</v>
      </c>
      <c r="I29" s="73">
        <f t="shared" si="8"/>
        <v>16817998.012744248</v>
      </c>
      <c r="J29" s="73">
        <f t="shared" si="8"/>
        <v>13524739.121816672</v>
      </c>
      <c r="K29" s="73">
        <f t="shared" si="8"/>
        <v>8840663.8941148166</v>
      </c>
      <c r="L29" s="73">
        <f t="shared" si="8"/>
        <v>17330562.472614937</v>
      </c>
      <c r="M29" s="73">
        <f t="shared" si="8"/>
        <v>11883543.012333732</v>
      </c>
      <c r="N29" s="147">
        <f t="shared" si="8"/>
        <v>8346828.2865708154</v>
      </c>
      <c r="O29" s="918">
        <f>+C29</f>
        <v>15686212.817164604</v>
      </c>
    </row>
    <row r="30" spans="2:15" x14ac:dyDescent="0.2">
      <c r="B30" s="469" t="s">
        <v>1400</v>
      </c>
      <c r="C30" s="73">
        <f>-'BUDGET FINANZIARIO'!C35</f>
        <v>-268359.47138570668</v>
      </c>
      <c r="D30" s="73">
        <f>-'BUDGET FINANZIARIO'!D35</f>
        <v>-3874523.3638232714</v>
      </c>
      <c r="E30" s="73">
        <f>-'BUDGET FINANZIARIO'!E35</f>
        <v>7142181.7230262551</v>
      </c>
      <c r="F30" s="73">
        <f>-'BUDGET FINANZIARIO'!F35</f>
        <v>-4714396.4912043428</v>
      </c>
      <c r="G30" s="73">
        <f>-'BUDGET FINANZIARIO'!G35</f>
        <v>-3272873.2545197811</v>
      </c>
      <c r="H30" s="73">
        <f>-'BUDGET FINANZIARIO'!H35</f>
        <v>6119756.0534864953</v>
      </c>
      <c r="I30" s="73">
        <f>-'BUDGET FINANZIARIO'!I35</f>
        <v>-3293258.8909275755</v>
      </c>
      <c r="J30" s="73">
        <f>-'BUDGET FINANZIARIO'!J35</f>
        <v>-4684075.2277018558</v>
      </c>
      <c r="K30" s="73">
        <f>-'BUDGET FINANZIARIO'!K35</f>
        <v>8489898.57850012</v>
      </c>
      <c r="L30" s="73">
        <f>-'BUDGET FINANZIARIO'!L35</f>
        <v>-5447019.4602812054</v>
      </c>
      <c r="M30" s="73">
        <f>-'BUDGET FINANZIARIO'!M35</f>
        <v>-3536714.7257629163</v>
      </c>
      <c r="N30" s="147">
        <f>-'BUDGET FINANZIARIO'!N35</f>
        <v>4337351.5912661534</v>
      </c>
      <c r="O30" s="918">
        <f>SUM(C30:N30)</f>
        <v>-3002032.9393276311</v>
      </c>
    </row>
    <row r="31" spans="2:15" x14ac:dyDescent="0.2">
      <c r="B31" s="435" t="s">
        <v>148</v>
      </c>
      <c r="C31" s="87">
        <f t="shared" ref="C31:N31" si="9">C29+C30</f>
        <v>15417853.345778897</v>
      </c>
      <c r="D31" s="87">
        <f t="shared" si="9"/>
        <v>11543329.981955625</v>
      </c>
      <c r="E31" s="87">
        <f t="shared" si="9"/>
        <v>18685511.704981878</v>
      </c>
      <c r="F31" s="87">
        <f t="shared" si="9"/>
        <v>13971115.213777535</v>
      </c>
      <c r="G31" s="87">
        <f t="shared" si="9"/>
        <v>10698241.959257754</v>
      </c>
      <c r="H31" s="87">
        <f t="shared" si="9"/>
        <v>16817998.012744248</v>
      </c>
      <c r="I31" s="87">
        <f t="shared" si="9"/>
        <v>13524739.121816672</v>
      </c>
      <c r="J31" s="87">
        <f t="shared" si="9"/>
        <v>8840663.8941148166</v>
      </c>
      <c r="K31" s="87">
        <f t="shared" si="9"/>
        <v>17330562.472614937</v>
      </c>
      <c r="L31" s="87">
        <f t="shared" si="9"/>
        <v>11883543.012333732</v>
      </c>
      <c r="M31" s="87">
        <f t="shared" si="9"/>
        <v>8346828.2865708154</v>
      </c>
      <c r="N31" s="887">
        <f t="shared" si="9"/>
        <v>12684179.877836969</v>
      </c>
      <c r="O31" s="930">
        <f>+O29+O30</f>
        <v>12684179.877836972</v>
      </c>
    </row>
    <row r="32" spans="2:15" x14ac:dyDescent="0.2">
      <c r="B32" s="438"/>
      <c r="N32" s="152"/>
      <c r="O32" s="918"/>
    </row>
    <row r="33" spans="2:15" x14ac:dyDescent="0.2">
      <c r="B33" s="438" t="s">
        <v>149</v>
      </c>
      <c r="C33" s="923">
        <f t="shared" ref="C33:N33" si="10">(C31+C29)/2</f>
        <v>15552033.081471751</v>
      </c>
      <c r="D33" s="923">
        <f t="shared" si="10"/>
        <v>13480591.663867261</v>
      </c>
      <c r="E33" s="923">
        <f t="shared" si="10"/>
        <v>15114420.843468752</v>
      </c>
      <c r="F33" s="923">
        <f t="shared" si="10"/>
        <v>16328313.459379707</v>
      </c>
      <c r="G33" s="923">
        <f t="shared" si="10"/>
        <v>12334678.586517643</v>
      </c>
      <c r="H33" s="923">
        <f t="shared" si="10"/>
        <v>13758119.986001</v>
      </c>
      <c r="I33" s="923">
        <f t="shared" si="10"/>
        <v>15171368.56728046</v>
      </c>
      <c r="J33" s="923">
        <f t="shared" si="10"/>
        <v>11182701.507965744</v>
      </c>
      <c r="K33" s="923">
        <f t="shared" si="10"/>
        <v>13085613.183364876</v>
      </c>
      <c r="L33" s="923">
        <f t="shared" si="10"/>
        <v>14607052.742474334</v>
      </c>
      <c r="M33" s="923">
        <f t="shared" si="10"/>
        <v>10115185.649452273</v>
      </c>
      <c r="N33" s="924">
        <f t="shared" si="10"/>
        <v>10515504.082203891</v>
      </c>
      <c r="O33" s="918"/>
    </row>
    <row r="34" spans="2:15" x14ac:dyDescent="0.2">
      <c r="B34" s="438"/>
      <c r="N34" s="152"/>
      <c r="O34" s="918"/>
    </row>
    <row r="35" spans="2:15" x14ac:dyDescent="0.2">
      <c r="B35" s="438" t="s">
        <v>58</v>
      </c>
      <c r="C35" s="98">
        <v>0.06</v>
      </c>
      <c r="N35" s="152"/>
      <c r="O35" s="918"/>
    </row>
    <row r="36" spans="2:15" x14ac:dyDescent="0.2">
      <c r="B36" s="438" t="s">
        <v>62</v>
      </c>
      <c r="C36" s="925">
        <f>C35/12</f>
        <v>5.0000000000000001E-3</v>
      </c>
      <c r="N36" s="152"/>
      <c r="O36" s="918"/>
    </row>
    <row r="37" spans="2:15" x14ac:dyDescent="0.2">
      <c r="B37" s="438"/>
      <c r="N37" s="152"/>
      <c r="O37" s="918"/>
    </row>
    <row r="38" spans="2:15" ht="17" thickBot="1" x14ac:dyDescent="0.25">
      <c r="B38" s="326" t="s">
        <v>116</v>
      </c>
      <c r="C38" s="927">
        <f>IF(C33&gt;0,$C$36*C33,0)</f>
        <v>77760.165407358756</v>
      </c>
      <c r="D38" s="927">
        <f t="shared" ref="D38:N38" si="11">IF(D33&gt;0,$C$36*D33,0)</f>
        <v>67402.958319336307</v>
      </c>
      <c r="E38" s="927">
        <f t="shared" si="11"/>
        <v>75572.10421734376</v>
      </c>
      <c r="F38" s="927">
        <f t="shared" si="11"/>
        <v>81641.567296898531</v>
      </c>
      <c r="G38" s="927">
        <f t="shared" si="11"/>
        <v>61673.39293258822</v>
      </c>
      <c r="H38" s="927">
        <f t="shared" si="11"/>
        <v>68790.599930005003</v>
      </c>
      <c r="I38" s="927">
        <f t="shared" si="11"/>
        <v>75856.842836402298</v>
      </c>
      <c r="J38" s="927">
        <f t="shared" si="11"/>
        <v>55913.507539828715</v>
      </c>
      <c r="K38" s="927">
        <f t="shared" si="11"/>
        <v>65428.06591682438</v>
      </c>
      <c r="L38" s="927">
        <f t="shared" si="11"/>
        <v>73035.26371237167</v>
      </c>
      <c r="M38" s="927">
        <f t="shared" si="11"/>
        <v>50575.928247261363</v>
      </c>
      <c r="N38" s="928">
        <f t="shared" si="11"/>
        <v>52577.520411019454</v>
      </c>
      <c r="O38" s="926">
        <f>SUM(C38:N38)</f>
        <v>806227.91676723852</v>
      </c>
    </row>
  </sheetData>
  <mergeCells count="2">
    <mergeCell ref="C5:N5"/>
    <mergeCell ref="O5:O6"/>
  </mergeCells>
  <phoneticPr fontId="4" type="noConversion"/>
  <pageMargins left="0.7" right="0.7" top="0.75" bottom="0.75" header="0.3" footer="0.3"/>
  <pageSetup paperSize="9"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60">
    <tabColor indexed="48"/>
  </sheetPr>
  <dimension ref="B2:Q115"/>
  <sheetViews>
    <sheetView zoomScale="177" zoomScaleNormal="190" workbookViewId="0">
      <selection activeCell="E35" sqref="E35"/>
    </sheetView>
  </sheetViews>
  <sheetFormatPr baseColWidth="10" defaultColWidth="9.1640625" defaultRowHeight="16" outlineLevelRow="1" x14ac:dyDescent="0.2"/>
  <cols>
    <col min="1" max="1" width="3.1640625" style="3" customWidth="1"/>
    <col min="2" max="2" width="51.1640625" style="3" customWidth="1"/>
    <col min="3" max="15" width="14.5" style="3" customWidth="1"/>
    <col min="16" max="16" width="4.6640625" style="3" customWidth="1"/>
    <col min="17" max="17" width="10.5" style="3" customWidth="1"/>
    <col min="18" max="16384" width="9.1640625" style="3"/>
  </cols>
  <sheetData>
    <row r="2" spans="2:17" ht="17" thickBot="1" x14ac:dyDescent="0.25"/>
    <row r="3" spans="2:17" ht="17" thickBot="1" x14ac:dyDescent="0.25">
      <c r="C3" s="1113" t="s">
        <v>196</v>
      </c>
      <c r="D3" s="1114"/>
      <c r="E3" s="1114"/>
      <c r="F3" s="1114"/>
      <c r="G3" s="1114"/>
      <c r="H3" s="1114"/>
      <c r="I3" s="1114"/>
      <c r="J3" s="1114"/>
      <c r="K3" s="1114"/>
      <c r="L3" s="1114"/>
      <c r="M3" s="1114"/>
      <c r="N3" s="1114"/>
      <c r="O3" s="1115"/>
    </row>
    <row r="4" spans="2:17" x14ac:dyDescent="0.2">
      <c r="B4" s="939" t="s">
        <v>64</v>
      </c>
      <c r="C4" s="931" t="s">
        <v>211</v>
      </c>
      <c r="D4" s="931" t="s">
        <v>212</v>
      </c>
      <c r="E4" s="931" t="s">
        <v>213</v>
      </c>
      <c r="F4" s="931" t="s">
        <v>214</v>
      </c>
      <c r="G4" s="931" t="s">
        <v>215</v>
      </c>
      <c r="H4" s="931" t="s">
        <v>216</v>
      </c>
      <c r="I4" s="931" t="s">
        <v>217</v>
      </c>
      <c r="J4" s="931" t="s">
        <v>218</v>
      </c>
      <c r="K4" s="931" t="s">
        <v>219</v>
      </c>
      <c r="L4" s="931" t="s">
        <v>220</v>
      </c>
      <c r="M4" s="931" t="s">
        <v>221</v>
      </c>
      <c r="N4" s="931" t="s">
        <v>222</v>
      </c>
      <c r="O4" s="932" t="s">
        <v>179</v>
      </c>
    </row>
    <row r="5" spans="2:17" x14ac:dyDescent="0.2">
      <c r="B5" s="438"/>
      <c r="O5" s="799"/>
    </row>
    <row r="6" spans="2:17" x14ac:dyDescent="0.2">
      <c r="B6" s="438" t="s">
        <v>192</v>
      </c>
      <c r="C6" s="73">
        <f>'30.Entrate Operative'!I18</f>
        <v>5302498.2</v>
      </c>
      <c r="D6" s="73">
        <f>'30.Entrate Operative'!J18</f>
        <v>5302498.2</v>
      </c>
      <c r="E6" s="73">
        <f>'30.Entrate Operative'!K18</f>
        <v>3030004.1999999997</v>
      </c>
      <c r="F6" s="73">
        <f>'30.Entrate Operative'!L18</f>
        <v>4873394.3419025391</v>
      </c>
      <c r="G6" s="73">
        <f>'30.Entrate Operative'!M18</f>
        <v>5414882.6021139314</v>
      </c>
      <c r="H6" s="73">
        <f>'30.Entrate Operative'!N18</f>
        <v>6227114.9924310222</v>
      </c>
      <c r="I6" s="73">
        <f>'30.Entrate Operative'!O18</f>
        <v>5685626.732219629</v>
      </c>
      <c r="J6" s="73">
        <f>'30.Entrate Operative'!P18</f>
        <v>5685626.732219629</v>
      </c>
      <c r="K6" s="73">
        <f>'30.Entrate Operative'!Q18</f>
        <v>5956370.8623253247</v>
      </c>
      <c r="L6" s="73">
        <f>'30.Entrate Operative'!R18</f>
        <v>5956370.8623253247</v>
      </c>
      <c r="M6" s="73">
        <f>'30.Entrate Operative'!S18</f>
        <v>3248929.5612683585</v>
      </c>
      <c r="N6" s="73">
        <f>'30.Entrate Operative'!T18</f>
        <v>5956370.8623253247</v>
      </c>
      <c r="O6" s="839">
        <f>SUM(C6:N6)</f>
        <v>62639688.149131089</v>
      </c>
    </row>
    <row r="7" spans="2:17" x14ac:dyDescent="0.2">
      <c r="B7" s="438" t="s">
        <v>193</v>
      </c>
      <c r="C7" s="73">
        <f>'30.Entrate Operative'!I25</f>
        <v>4590518.3999999994</v>
      </c>
      <c r="D7" s="73">
        <f>'30.Entrate Operative'!J25</f>
        <v>7275568.9082553172</v>
      </c>
      <c r="E7" s="73">
        <f>'30.Entrate Operative'!K25</f>
        <v>8083965.4536170205</v>
      </c>
      <c r="F7" s="73">
        <f>'30.Entrate Operative'!L25</f>
        <v>9296560.2716595735</v>
      </c>
      <c r="G7" s="73">
        <f>'30.Entrate Operative'!M25</f>
        <v>8488163.7262978721</v>
      </c>
      <c r="H7" s="73">
        <f>'30.Entrate Operative'!N25</f>
        <v>8488163.7262978721</v>
      </c>
      <c r="I7" s="73">
        <f>'30.Entrate Operative'!O25</f>
        <v>8892361.9989787228</v>
      </c>
      <c r="J7" s="73">
        <f>'30.Entrate Operative'!P25</f>
        <v>8892361.9989787228</v>
      </c>
      <c r="K7" s="73">
        <f>'30.Entrate Operative'!Q25</f>
        <v>4850379.2721702121</v>
      </c>
      <c r="L7" s="73">
        <f>'30.Entrate Operative'!R25</f>
        <v>8892361.9989787228</v>
      </c>
      <c r="M7" s="73">
        <f>'30.Entrate Operative'!S25</f>
        <v>8488163.7262978721</v>
      </c>
      <c r="N7" s="73">
        <f>'30.Entrate Operative'!T25</f>
        <v>8488163.7262978721</v>
      </c>
      <c r="O7" s="839">
        <f>SUM(C7:N7)</f>
        <v>94726733.207829773</v>
      </c>
    </row>
    <row r="8" spans="2:17" x14ac:dyDescent="0.2">
      <c r="B8" s="438" t="s">
        <v>1106</v>
      </c>
      <c r="C8" s="100">
        <f>'30.Entrate Operative'!I32</f>
        <v>808128</v>
      </c>
      <c r="D8" s="100">
        <f>'30.Entrate Operative'!J32</f>
        <v>1481568</v>
      </c>
      <c r="E8" s="100">
        <f>'30.Entrate Operative'!K32</f>
        <v>1414224</v>
      </c>
      <c r="F8" s="100">
        <f>'30.Entrate Operative'!L32</f>
        <v>1414224</v>
      </c>
      <c r="G8" s="100">
        <f>'30.Entrate Operative'!M32</f>
        <v>808128</v>
      </c>
      <c r="H8" s="100">
        <f>'30.Entrate Operative'!N32</f>
        <v>1289565.9574468087</v>
      </c>
      <c r="I8" s="100">
        <f>'30.Entrate Operative'!O32</f>
        <v>1432851.0638297873</v>
      </c>
      <c r="J8" s="100">
        <f>'30.Entrate Operative'!P32</f>
        <v>1647778.7234042557</v>
      </c>
      <c r="K8" s="100">
        <f>'30.Entrate Operative'!Q32</f>
        <v>1504493.6170212766</v>
      </c>
      <c r="L8" s="100">
        <f>'30.Entrate Operative'!R32</f>
        <v>1504493.6170212766</v>
      </c>
      <c r="M8" s="100">
        <f>'30.Entrate Operative'!S32</f>
        <v>1576136.1702127662</v>
      </c>
      <c r="N8" s="100">
        <f>'30.Entrate Operative'!T32</f>
        <v>1576136.1702127662</v>
      </c>
      <c r="O8" s="839">
        <f>SUM(C8:N8)</f>
        <v>16457727.319148939</v>
      </c>
    </row>
    <row r="9" spans="2:17" s="12" customFormat="1" x14ac:dyDescent="0.2">
      <c r="B9" s="435" t="s">
        <v>41</v>
      </c>
      <c r="C9" s="87">
        <f t="shared" ref="C9:N9" si="0">SUM(C6:C8)</f>
        <v>10701144.6</v>
      </c>
      <c r="D9" s="87">
        <f t="shared" si="0"/>
        <v>14059635.108255317</v>
      </c>
      <c r="E9" s="87">
        <f t="shared" si="0"/>
        <v>12528193.653617021</v>
      </c>
      <c r="F9" s="87">
        <f t="shared" si="0"/>
        <v>15584178.613562113</v>
      </c>
      <c r="G9" s="87">
        <f t="shared" si="0"/>
        <v>14711174.328411803</v>
      </c>
      <c r="H9" s="87">
        <f t="shared" si="0"/>
        <v>16004844.676175702</v>
      </c>
      <c r="I9" s="87">
        <f t="shared" si="0"/>
        <v>16010839.795028139</v>
      </c>
      <c r="J9" s="87">
        <f t="shared" si="0"/>
        <v>16225767.454602607</v>
      </c>
      <c r="K9" s="87">
        <f t="shared" si="0"/>
        <v>12311243.751516815</v>
      </c>
      <c r="L9" s="87">
        <f t="shared" si="0"/>
        <v>16353226.478325326</v>
      </c>
      <c r="M9" s="87">
        <f t="shared" si="0"/>
        <v>13313229.457778996</v>
      </c>
      <c r="N9" s="87">
        <f t="shared" si="0"/>
        <v>16020670.758835962</v>
      </c>
      <c r="O9" s="933">
        <f>SUM(C9:N9)</f>
        <v>173824148.67610982</v>
      </c>
      <c r="Q9" s="78" t="e">
        <f>+O9-#REF!</f>
        <v>#REF!</v>
      </c>
    </row>
    <row r="10" spans="2:17" x14ac:dyDescent="0.2">
      <c r="B10" s="438"/>
      <c r="O10" s="799"/>
    </row>
    <row r="11" spans="2:17" x14ac:dyDescent="0.2">
      <c r="B11" s="435" t="s">
        <v>43</v>
      </c>
      <c r="C11" s="87">
        <f>+'31.Uscite mp'!I37</f>
        <v>8012136.5</v>
      </c>
      <c r="D11" s="87">
        <f>+'31.Uscite mp'!J37</f>
        <v>8049553.8999999994</v>
      </c>
      <c r="E11" s="87">
        <f>+'31.Uscite mp'!K37</f>
        <v>7437452.3225806784</v>
      </c>
      <c r="F11" s="87">
        <f>+'31.Uscite mp'!L37</f>
        <v>7633751.8635852709</v>
      </c>
      <c r="G11" s="87">
        <f>+'31.Uscite mp'!M37</f>
        <v>8868747.6115383469</v>
      </c>
      <c r="H11" s="87">
        <f>+'31.Uscite mp'!N37</f>
        <v>9403161.5458982643</v>
      </c>
      <c r="I11" s="87">
        <f>+'31.Uscite mp'!O37</f>
        <v>9222879.2380308174</v>
      </c>
      <c r="J11" s="87">
        <f>+'31.Uscite mp'!P37</f>
        <v>9120471.5636012852</v>
      </c>
      <c r="K11" s="87">
        <f>+'31.Uscite mp'!Q37</f>
        <v>9128840.2789878175</v>
      </c>
      <c r="L11" s="87">
        <f>+'31.Uscite mp'!R37</f>
        <v>7934395.1996207274</v>
      </c>
      <c r="M11" s="87">
        <f>+'31.Uscite mp'!S37</f>
        <v>6962907.0888562528</v>
      </c>
      <c r="N11" s="87">
        <f>+'31.Uscite mp'!T37</f>
        <v>7772462.3719378542</v>
      </c>
      <c r="O11" s="933">
        <f>SUM(C11:N11)</f>
        <v>99546759.484637305</v>
      </c>
      <c r="Q11" s="74" t="e">
        <f>+O11-#REF!</f>
        <v>#REF!</v>
      </c>
    </row>
    <row r="12" spans="2:17" x14ac:dyDescent="0.2">
      <c r="B12" s="438"/>
      <c r="O12" s="799"/>
    </row>
    <row r="13" spans="2:17" x14ac:dyDescent="0.2">
      <c r="B13" s="435" t="s">
        <v>95</v>
      </c>
      <c r="C13" s="87">
        <f>+'32. Uscite altro'!D277</f>
        <v>1799000</v>
      </c>
      <c r="D13" s="87">
        <f>+'32. Uscite altro'!E277</f>
        <v>1603887.2977723214</v>
      </c>
      <c r="E13" s="87">
        <f>+'32. Uscite altro'!F277</f>
        <v>11188824.170646187</v>
      </c>
      <c r="F13" s="87">
        <f>+'32. Uscite altro'!G277</f>
        <v>2619755.7348824446</v>
      </c>
      <c r="G13" s="87">
        <f>+'32. Uscite altro'!H277</f>
        <v>1984129.2904983587</v>
      </c>
      <c r="H13" s="87">
        <f>+'32. Uscite altro'!I277</f>
        <v>11252209.143738858</v>
      </c>
      <c r="I13" s="87">
        <f>+'32. Uscite altro'!J277</f>
        <v>2729185.2198416321</v>
      </c>
      <c r="J13" s="87">
        <f>+'32. Uscite altro'!K277</f>
        <v>1934845.6923943718</v>
      </c>
      <c r="K13" s="87">
        <f>+'32. Uscite altro'!L277</f>
        <v>10511455.777297316</v>
      </c>
      <c r="L13" s="87">
        <f>+'32. Uscite altro'!M277</f>
        <v>2487660.7031259025</v>
      </c>
      <c r="M13" s="87">
        <f>+'32. Uscite altro'!N277</f>
        <v>1975406.2614371262</v>
      </c>
      <c r="N13" s="87">
        <f>+'32. Uscite altro'!O277</f>
        <v>11685439.143738858</v>
      </c>
      <c r="O13" s="933">
        <f>SUM(C13:N13)</f>
        <v>61771798.435373373</v>
      </c>
      <c r="Q13" s="74" t="e">
        <f>+O13-#REF!</f>
        <v>#REF!</v>
      </c>
    </row>
    <row r="14" spans="2:17" x14ac:dyDescent="0.2">
      <c r="B14" s="940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934"/>
      <c r="Q14" s="74"/>
    </row>
    <row r="15" spans="2:17" x14ac:dyDescent="0.2">
      <c r="B15" s="435" t="s">
        <v>1181</v>
      </c>
      <c r="C15" s="87">
        <f>'33. Uscite amministratori'!D12</f>
        <v>54900</v>
      </c>
      <c r="D15" s="87">
        <f>'33. Uscite amministratori'!E12</f>
        <v>54900</v>
      </c>
      <c r="E15" s="87">
        <f>'33. Uscite amministratori'!F12</f>
        <v>54900</v>
      </c>
      <c r="F15" s="87">
        <f>'33. Uscite amministratori'!G12</f>
        <v>54900</v>
      </c>
      <c r="G15" s="87">
        <f>'33. Uscite amministratori'!H12</f>
        <v>54900</v>
      </c>
      <c r="H15" s="87">
        <f>'33. Uscite amministratori'!I12</f>
        <v>54900</v>
      </c>
      <c r="I15" s="87">
        <f>'33. Uscite amministratori'!J12</f>
        <v>54900</v>
      </c>
      <c r="J15" s="87">
        <f>'33. Uscite amministratori'!K12</f>
        <v>54900</v>
      </c>
      <c r="K15" s="87">
        <f>'33. Uscite amministratori'!L12</f>
        <v>54900</v>
      </c>
      <c r="L15" s="87">
        <f>'33. Uscite amministratori'!M12</f>
        <v>54900</v>
      </c>
      <c r="M15" s="87">
        <f>'33. Uscite amministratori'!N12</f>
        <v>54900</v>
      </c>
      <c r="N15" s="87">
        <f>'33. Uscite amministratori'!O12</f>
        <v>54900</v>
      </c>
      <c r="O15" s="933">
        <f>SUM(C15:N15)</f>
        <v>658800</v>
      </c>
      <c r="Q15" s="74"/>
    </row>
    <row r="16" spans="2:17" x14ac:dyDescent="0.2">
      <c r="B16" s="438"/>
      <c r="O16" s="799"/>
    </row>
    <row r="17" spans="2:17" x14ac:dyDescent="0.2">
      <c r="B17" s="435" t="s">
        <v>1282</v>
      </c>
      <c r="C17" s="87">
        <f>'36. IVA'!C23</f>
        <v>0</v>
      </c>
      <c r="D17" s="87">
        <f>'36. IVA'!D23</f>
        <v>0</v>
      </c>
      <c r="E17" s="87">
        <f>'36. IVA'!E23</f>
        <v>467545.04390027863</v>
      </c>
      <c r="F17" s="87">
        <f>'36. IVA'!F23</f>
        <v>0</v>
      </c>
      <c r="G17" s="87">
        <f>'36. IVA'!G23</f>
        <v>21293.992261087289</v>
      </c>
      <c r="H17" s="87">
        <f>'36. IVA'!H23</f>
        <v>731970.00035082549</v>
      </c>
      <c r="I17" s="87">
        <f>'36. IVA'!I23</f>
        <v>0</v>
      </c>
      <c r="J17" s="87">
        <f>'36. IVA'!J23</f>
        <v>0</v>
      </c>
      <c r="K17" s="87">
        <f>'36. IVA'!K23</f>
        <v>744913.83759821136</v>
      </c>
      <c r="L17" s="87">
        <f>'36. IVA'!L23</f>
        <v>0</v>
      </c>
      <c r="M17" s="87">
        <f>'36. IVA'!M23</f>
        <v>361822.43857312179</v>
      </c>
      <c r="N17" s="87">
        <f>'36. IVA'!N23</f>
        <v>323351.57890065876</v>
      </c>
      <c r="O17" s="933">
        <f>SUM(C17:N17)</f>
        <v>2650896.8915841831</v>
      </c>
    </row>
    <row r="18" spans="2:17" x14ac:dyDescent="0.2">
      <c r="B18" s="940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934"/>
    </row>
    <row r="19" spans="2:17" x14ac:dyDescent="0.2">
      <c r="B19" s="438" t="s">
        <v>1246</v>
      </c>
      <c r="C19" s="73">
        <f>'34. Uscite personale'!C34+'34. Uscite personale'!C35+'34. Uscite personale'!C36</f>
        <v>170011.41273792781</v>
      </c>
      <c r="D19" s="73">
        <f>'34. Uscite personale'!D34+'34. Uscite personale'!D35+'34. Uscite personale'!D36</f>
        <v>191274.08702263326</v>
      </c>
      <c r="E19" s="73">
        <f>'34. Uscite personale'!E34+'34. Uscite personale'!E35+'34. Uscite personale'!E36</f>
        <v>218569.97325023636</v>
      </c>
      <c r="F19" s="73">
        <f>'34. Uscite personale'!F34+'34. Uscite personale'!F35+'34. Uscite personale'!F36</f>
        <v>199563.88861978101</v>
      </c>
      <c r="G19" s="73">
        <f>'34. Uscite personale'!G34+'34. Uscite personale'!G35+'34. Uscite personale'!G36</f>
        <v>199563.88861978101</v>
      </c>
      <c r="H19" s="73">
        <f>'34. Uscite personale'!H34+'34. Uscite personale'!H35+'34. Uscite personale'!H36</f>
        <v>372693.74869980116</v>
      </c>
      <c r="I19" s="73">
        <f>'34. Uscite personale'!I34+'34. Uscite personale'!I35+'34. Uscite personale'!I36</f>
        <v>209066.93093500868</v>
      </c>
      <c r="J19" s="73">
        <f>'34. Uscite personale'!J34+'34. Uscite personale'!J35+'34. Uscite personale'!J36</f>
        <v>114036.50778273201</v>
      </c>
      <c r="K19" s="73">
        <f>'34. Uscite personale'!K34+'34. Uscite personale'!K35+'34. Uscite personale'!K36</f>
        <v>209066.93093500868</v>
      </c>
      <c r="L19" s="73">
        <f>'34. Uscite personale'!L34+'34. Uscite personale'!L35+'34. Uscite personale'!L36</f>
        <v>199563.88861978101</v>
      </c>
      <c r="M19" s="73">
        <f>'34. Uscite personale'!M34+'34. Uscite personale'!M35+'34. Uscite personale'!M36</f>
        <v>199563.88861978101</v>
      </c>
      <c r="N19" s="73">
        <f>'34. Uscite personale'!N34+'34. Uscite personale'!N35+'34. Uscite personale'!N36</f>
        <v>299954.20099494728</v>
      </c>
      <c r="O19" s="839">
        <f t="shared" ref="O19:O21" si="1">SUM(C19:N19)</f>
        <v>2582929.3468374196</v>
      </c>
    </row>
    <row r="20" spans="2:17" x14ac:dyDescent="0.2">
      <c r="B20" s="438" t="s">
        <v>1247</v>
      </c>
      <c r="C20" s="73">
        <f>'34. Uscite personale'!C37+'34. Uscite personale'!C39+'34. Uscite personale'!C40+'34. Uscite personale'!C41</f>
        <v>142404.41069425532</v>
      </c>
      <c r="D20" s="73">
        <f>'34. Uscite personale'!D37+'34. Uscite personale'!D39+'34. Uscite personale'!D40+'34. Uscite personale'!D41</f>
        <v>82375.312856170174</v>
      </c>
      <c r="E20" s="73">
        <f>'34. Uscite personale'!E37+'34. Uscite personale'!E39+'34. Uscite personale'!E40+'34. Uscite personale'!E41</f>
        <v>92875.161390070833</v>
      </c>
      <c r="F20" s="73">
        <f>'34. Uscite personale'!F37+'34. Uscite personale'!F39+'34. Uscite personale'!F40+'34. Uscite personale'!F41</f>
        <v>105903.30165191485</v>
      </c>
      <c r="G20" s="73">
        <f>'34. Uscite personale'!G37+'34. Uscite personale'!G39+'34. Uscite personale'!G40+'34. Uscite personale'!G41</f>
        <v>96694.318899574428</v>
      </c>
      <c r="H20" s="73">
        <f>'34. Uscite personale'!H37+'34. Uscite personale'!H39+'34. Uscite personale'!H40+'34. Uscite personale'!H41</f>
        <v>96694.318899574428</v>
      </c>
      <c r="I20" s="73">
        <f>'34. Uscite personale'!I37+'34. Uscite personale'!I39+'34. Uscite personale'!I40+'34. Uscite personale'!I41</f>
        <v>215193.83184808498</v>
      </c>
      <c r="J20" s="73">
        <f>'34. Uscite personale'!J37+'34. Uscite personale'!J39+'34. Uscite personale'!J40+'34. Uscite personale'!J41</f>
        <v>101298.81027574463</v>
      </c>
      <c r="K20" s="73">
        <f>'34. Uscite personale'!K37+'34. Uscite personale'!K39+'34. Uscite personale'!K40+'34. Uscite personale'!K41</f>
        <v>55253.896514042528</v>
      </c>
      <c r="L20" s="73">
        <f>'34. Uscite personale'!L37+'34. Uscite personale'!L39+'34. Uscite personale'!L40+'34. Uscite personale'!L41</f>
        <v>101298.81027574463</v>
      </c>
      <c r="M20" s="73">
        <f>'34. Uscite personale'!M37+'34. Uscite personale'!M39+'34. Uscite personale'!M40+'34. Uscite personale'!M41</f>
        <v>96694.318899574428</v>
      </c>
      <c r="N20" s="73">
        <f>'34. Uscite personale'!N37+'34. Uscite personale'!N39+'34. Uscite personale'!N40+'34. Uscite personale'!N41</f>
        <v>96694.318899574428</v>
      </c>
      <c r="O20" s="839">
        <f t="shared" si="1"/>
        <v>1283380.8111043258</v>
      </c>
    </row>
    <row r="21" spans="2:17" x14ac:dyDescent="0.2">
      <c r="B21" s="438" t="s">
        <v>1248</v>
      </c>
      <c r="C21" s="74">
        <f>+'34. Uscite personale'!C38</f>
        <v>107882.12931382978</v>
      </c>
      <c r="D21" s="74">
        <f>+'34. Uscite personale'!D38</f>
        <v>56670.470912642602</v>
      </c>
      <c r="E21" s="74">
        <f>+'34. Uscite personale'!E38</f>
        <v>63758.029007544421</v>
      </c>
      <c r="F21" s="74">
        <f>+'34. Uscite personale'!F38</f>
        <v>72856.657750078783</v>
      </c>
      <c r="G21" s="74">
        <f>+'34. Uscite personale'!G38</f>
        <v>66521.296206593674</v>
      </c>
      <c r="H21" s="74">
        <f>+'34. Uscite personale'!H38</f>
        <v>66521.296206593674</v>
      </c>
      <c r="I21" s="74">
        <f>+'34. Uscite personale'!I38</f>
        <v>139905.00757674043</v>
      </c>
      <c r="J21" s="74">
        <f>+'34. Uscite personale'!J38</f>
        <v>69688.976978336228</v>
      </c>
      <c r="K21" s="74">
        <f>+'34. Uscite personale'!K38</f>
        <v>38012.169260910669</v>
      </c>
      <c r="L21" s="74">
        <f>+'34. Uscite personale'!L38</f>
        <v>69688.976978336228</v>
      </c>
      <c r="M21" s="74">
        <f>+'34. Uscite personale'!M38</f>
        <v>66521.296206593674</v>
      </c>
      <c r="N21" s="74">
        <f>+'34. Uscite personale'!N38</f>
        <v>66521.296206593674</v>
      </c>
      <c r="O21" s="839">
        <f t="shared" si="1"/>
        <v>884547.60260479385</v>
      </c>
    </row>
    <row r="22" spans="2:17" x14ac:dyDescent="0.2">
      <c r="B22" s="435" t="s">
        <v>100</v>
      </c>
      <c r="C22" s="87">
        <f>SUM(C19:C21)</f>
        <v>420297.95274601289</v>
      </c>
      <c r="D22" s="87">
        <f t="shared" ref="D22:O22" si="2">SUM(D19:D21)</f>
        <v>330319.87079144601</v>
      </c>
      <c r="E22" s="87">
        <f t="shared" si="2"/>
        <v>375203.16364785156</v>
      </c>
      <c r="F22" s="87">
        <f t="shared" si="2"/>
        <v>378323.84802177461</v>
      </c>
      <c r="G22" s="87">
        <f t="shared" si="2"/>
        <v>362779.50372594915</v>
      </c>
      <c r="H22" s="87">
        <f t="shared" si="2"/>
        <v>535909.36380596925</v>
      </c>
      <c r="I22" s="87">
        <f t="shared" si="2"/>
        <v>564165.77035983407</v>
      </c>
      <c r="J22" s="87">
        <f t="shared" si="2"/>
        <v>285024.29503681289</v>
      </c>
      <c r="K22" s="87">
        <f t="shared" si="2"/>
        <v>302332.99670996185</v>
      </c>
      <c r="L22" s="87">
        <f t="shared" si="2"/>
        <v>370551.67587386188</v>
      </c>
      <c r="M22" s="87">
        <f t="shared" si="2"/>
        <v>362779.50372594915</v>
      </c>
      <c r="N22" s="87">
        <f t="shared" si="2"/>
        <v>463169.81610111537</v>
      </c>
      <c r="O22" s="933">
        <f t="shared" si="2"/>
        <v>4750857.760546539</v>
      </c>
      <c r="Q22" s="74" t="e">
        <f>+O22-#REF!</f>
        <v>#REF!</v>
      </c>
    </row>
    <row r="23" spans="2:17" x14ac:dyDescent="0.2">
      <c r="B23" s="438"/>
      <c r="O23" s="799"/>
    </row>
    <row r="24" spans="2:17" x14ac:dyDescent="0.2">
      <c r="B24" s="941" t="s">
        <v>104</v>
      </c>
      <c r="C24" s="107">
        <f>+C9-C11-C13-C17-C22-C15</f>
        <v>414810.14725398674</v>
      </c>
      <c r="D24" s="107">
        <f t="shared" ref="D24:N24" si="3">+D9-D11-D13-D17-D22-D15</f>
        <v>4020974.0396915511</v>
      </c>
      <c r="E24" s="107">
        <f t="shared" si="3"/>
        <v>-6995731.0471579749</v>
      </c>
      <c r="F24" s="107">
        <f t="shared" si="3"/>
        <v>4897447.167072623</v>
      </c>
      <c r="G24" s="107">
        <f t="shared" si="3"/>
        <v>3419323.9303880609</v>
      </c>
      <c r="H24" s="107">
        <f t="shared" si="3"/>
        <v>-5973305.377618215</v>
      </c>
      <c r="I24" s="107">
        <f t="shared" si="3"/>
        <v>3439709.5667958553</v>
      </c>
      <c r="J24" s="107">
        <f t="shared" si="3"/>
        <v>4830525.9035701361</v>
      </c>
      <c r="K24" s="107">
        <f t="shared" si="3"/>
        <v>-8431199.13907649</v>
      </c>
      <c r="L24" s="107">
        <f t="shared" si="3"/>
        <v>5505718.8997048344</v>
      </c>
      <c r="M24" s="107">
        <f t="shared" si="3"/>
        <v>3595414.1651865453</v>
      </c>
      <c r="N24" s="107">
        <f t="shared" si="3"/>
        <v>-4278652.1518425243</v>
      </c>
      <c r="O24" s="839">
        <f>SUM(C24:N24)</f>
        <v>4445036.1039683884</v>
      </c>
    </row>
    <row r="25" spans="2:17" x14ac:dyDescent="0.2">
      <c r="B25" s="438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839"/>
    </row>
    <row r="26" spans="2:17" x14ac:dyDescent="0.2">
      <c r="B26" s="438" t="s">
        <v>1267</v>
      </c>
      <c r="C26" s="73">
        <f>'35. Budget degli investimenti'!C24</f>
        <v>0</v>
      </c>
      <c r="D26" s="73">
        <f>'35. Budget degli investimenti'!D24</f>
        <v>0</v>
      </c>
      <c r="E26" s="73">
        <f>'35. Budget degli investimenti'!E24</f>
        <v>0</v>
      </c>
      <c r="F26" s="73">
        <f>'35. Budget degli investimenti'!F24</f>
        <v>36600</v>
      </c>
      <c r="G26" s="73">
        <f>'35. Budget degli investimenti'!G24</f>
        <v>0</v>
      </c>
      <c r="H26" s="73">
        <f>'35. Budget degli investimenti'!H24</f>
        <v>0</v>
      </c>
      <c r="I26" s="73">
        <f>'35. Budget degli investimenti'!I24</f>
        <v>0</v>
      </c>
      <c r="J26" s="73">
        <f>'35. Budget degli investimenti'!J24</f>
        <v>0</v>
      </c>
      <c r="K26" s="73">
        <f>'35. Budget degli investimenti'!K24</f>
        <v>0</v>
      </c>
      <c r="L26" s="73">
        <f>'35. Budget degli investimenti'!L24</f>
        <v>0</v>
      </c>
      <c r="M26" s="73">
        <f>'35. Budget degli investimenti'!M24</f>
        <v>0</v>
      </c>
      <c r="N26" s="73">
        <f>'35. Budget degli investimenti'!N24</f>
        <v>0</v>
      </c>
      <c r="O26" s="839">
        <f>SUM(C26:N26)</f>
        <v>36600</v>
      </c>
    </row>
    <row r="27" spans="2:17" x14ac:dyDescent="0.2">
      <c r="B27" s="941" t="s">
        <v>92</v>
      </c>
      <c r="C27" s="107">
        <f>-C26</f>
        <v>0</v>
      </c>
      <c r="D27" s="107">
        <f t="shared" ref="D27:N27" si="4">-D26</f>
        <v>0</v>
      </c>
      <c r="E27" s="107">
        <f t="shared" si="4"/>
        <v>0</v>
      </c>
      <c r="F27" s="107">
        <f t="shared" si="4"/>
        <v>-36600</v>
      </c>
      <c r="G27" s="107">
        <f t="shared" si="4"/>
        <v>0</v>
      </c>
      <c r="H27" s="107">
        <f t="shared" si="4"/>
        <v>0</v>
      </c>
      <c r="I27" s="107">
        <f t="shared" si="4"/>
        <v>0</v>
      </c>
      <c r="J27" s="107">
        <f t="shared" si="4"/>
        <v>0</v>
      </c>
      <c r="K27" s="107">
        <f t="shared" si="4"/>
        <v>0</v>
      </c>
      <c r="L27" s="107">
        <f t="shared" si="4"/>
        <v>0</v>
      </c>
      <c r="M27" s="107">
        <f t="shared" si="4"/>
        <v>0</v>
      </c>
      <c r="N27" s="107">
        <f t="shared" si="4"/>
        <v>0</v>
      </c>
      <c r="O27" s="839">
        <f>SUM(C27:N27)</f>
        <v>-36600</v>
      </c>
    </row>
    <row r="28" spans="2:17" x14ac:dyDescent="0.2">
      <c r="B28" s="438"/>
      <c r="O28" s="799"/>
    </row>
    <row r="29" spans="2:17" x14ac:dyDescent="0.2">
      <c r="B29" s="435" t="s">
        <v>146</v>
      </c>
      <c r="C29" s="87">
        <f>'37. Budget dei fin. diretti'!C23</f>
        <v>0</v>
      </c>
      <c r="D29" s="87">
        <f>'37. Budget dei fin. diretti'!D23</f>
        <v>0</v>
      </c>
      <c r="E29" s="87">
        <f>'37. Budget dei fin. diretti'!E23</f>
        <v>0</v>
      </c>
      <c r="F29" s="87">
        <f>'37. Budget dei fin. diretti'!F23</f>
        <v>0</v>
      </c>
      <c r="G29" s="87">
        <f>'37. Budget dei fin. diretti'!G23</f>
        <v>0</v>
      </c>
      <c r="H29" s="87">
        <f>'37. Budget dei fin. diretti'!H23</f>
        <v>0</v>
      </c>
      <c r="I29" s="87">
        <f>'37. Budget dei fin. diretti'!I23</f>
        <v>0</v>
      </c>
      <c r="J29" s="87">
        <f>'37. Budget dei fin. diretti'!J23</f>
        <v>0</v>
      </c>
      <c r="K29" s="87">
        <f>'37. Budget dei fin. diretti'!K23</f>
        <v>0</v>
      </c>
      <c r="L29" s="87">
        <f>'37. Budget dei fin. diretti'!L23</f>
        <v>0</v>
      </c>
      <c r="M29" s="87">
        <f>'37. Budget dei fin. diretti'!M23</f>
        <v>0</v>
      </c>
      <c r="N29" s="87">
        <f>'37. Budget dei fin. diretti'!N23</f>
        <v>0</v>
      </c>
      <c r="O29" s="933">
        <f>SUM(C29:N29)</f>
        <v>0</v>
      </c>
    </row>
    <row r="30" spans="2:17" x14ac:dyDescent="0.2">
      <c r="B30" s="438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839"/>
    </row>
    <row r="31" spans="2:17" x14ac:dyDescent="0.2">
      <c r="B31" s="438" t="s">
        <v>1285</v>
      </c>
      <c r="C31" s="73">
        <f>+'37. Budget dei fin. diretti'!C12</f>
        <v>132000.62499307608</v>
      </c>
      <c r="D31" s="73">
        <f>+'37. Budget dei fin. diretti'!D12</f>
        <v>132472.09370000006</v>
      </c>
      <c r="E31" s="73">
        <f>+'37. Budget dei fin. diretti'!E12</f>
        <v>132945.33052512651</v>
      </c>
      <c r="F31" s="73">
        <f>+'37. Budget dei fin. diretti'!F12</f>
        <v>133420.34234477777</v>
      </c>
      <c r="G31" s="73">
        <f>+'37. Budget dei fin. diretti'!G12</f>
        <v>133897.13606270042</v>
      </c>
      <c r="H31" s="73">
        <f>+'37. Budget dei fin. diretti'!H12</f>
        <v>134375.71861017644</v>
      </c>
      <c r="I31" s="73">
        <f>+'37. Budget dei fin. diretti'!I12</f>
        <v>134856.09694613499</v>
      </c>
      <c r="J31" s="73">
        <f>+'37. Budget dei fin. diretti'!J12</f>
        <v>135338.2780572644</v>
      </c>
      <c r="K31" s="73">
        <f>+'37. Budget dei fin. diretti'!K12</f>
        <v>48071.032513473976</v>
      </c>
      <c r="L31" s="73">
        <f>+'37. Budget dei fin. diretti'!L12</f>
        <v>48191.210094757655</v>
      </c>
      <c r="M31" s="73">
        <f>+'37. Budget dei fin. diretti'!M12</f>
        <v>48311.688119994549</v>
      </c>
      <c r="N31" s="73">
        <f>+'37. Budget dei fin. diretti'!N12</f>
        <v>48432.467340294541</v>
      </c>
      <c r="O31" s="839">
        <f t="shared" ref="O31:O32" si="5">SUM(C31:N31)</f>
        <v>1262312.0193077773</v>
      </c>
    </row>
    <row r="32" spans="2:17" x14ac:dyDescent="0.2">
      <c r="B32" s="438" t="s">
        <v>1289</v>
      </c>
      <c r="C32" s="73">
        <f>+'37. Budget dei fin. diretti'!C16</f>
        <v>14450.050875203939</v>
      </c>
      <c r="D32" s="73">
        <f>+'37. Budget dei fin. diretti'!D16</f>
        <v>13978.582168279958</v>
      </c>
      <c r="E32" s="73">
        <f>+'37. Budget dei fin. diretti'!E16</f>
        <v>13505.345343153496</v>
      </c>
      <c r="F32" s="73">
        <f>+'37. Budget dei fin. diretti'!F16</f>
        <v>13030.333523502231</v>
      </c>
      <c r="G32" s="73">
        <f>+'37. Budget dei fin. diretti'!G16</f>
        <v>12553.539805579596</v>
      </c>
      <c r="H32" s="73">
        <f>+'37. Budget dei fin. diretti'!H16</f>
        <v>12074.957258103566</v>
      </c>
      <c r="I32" s="73">
        <f>+'37. Budget dei fin. diretti'!I16</f>
        <v>11594.578922145018</v>
      </c>
      <c r="J32" s="73">
        <f>+'37. Budget dei fin. diretti'!J16</f>
        <v>11112.397811015599</v>
      </c>
      <c r="K32" s="73">
        <f>+'37. Budget dei fin. diretti'!K16</f>
        <v>10628.406910155181</v>
      </c>
      <c r="L32" s="73">
        <f>+'37. Budget dei fin. diretti'!L16</f>
        <v>10508.229328871497</v>
      </c>
      <c r="M32" s="73">
        <f>+'37. Budget dei fin. diretti'!M16</f>
        <v>10387.751303634603</v>
      </c>
      <c r="N32" s="73">
        <f>+'37. Budget dei fin. diretti'!N16</f>
        <v>10266.972083334616</v>
      </c>
      <c r="O32" s="839">
        <f t="shared" si="5"/>
        <v>144091.14533297927</v>
      </c>
    </row>
    <row r="33" spans="2:15" x14ac:dyDescent="0.2">
      <c r="B33" s="435" t="s">
        <v>1290</v>
      </c>
      <c r="C33" s="87">
        <f>SUM(C31:C32)</f>
        <v>146450.67586828003</v>
      </c>
      <c r="D33" s="87">
        <f t="shared" ref="D33:O33" si="6">SUM(D31:D32)</f>
        <v>146450.67586828</v>
      </c>
      <c r="E33" s="87">
        <f t="shared" si="6"/>
        <v>146450.67586828</v>
      </c>
      <c r="F33" s="87">
        <f t="shared" si="6"/>
        <v>146450.67586828</v>
      </c>
      <c r="G33" s="87">
        <f t="shared" si="6"/>
        <v>146450.67586828</v>
      </c>
      <c r="H33" s="87">
        <f t="shared" si="6"/>
        <v>146450.67586828</v>
      </c>
      <c r="I33" s="87">
        <f t="shared" si="6"/>
        <v>146450.67586828</v>
      </c>
      <c r="J33" s="87">
        <f t="shared" si="6"/>
        <v>146450.67586828</v>
      </c>
      <c r="K33" s="87">
        <f t="shared" si="6"/>
        <v>58699.439423629155</v>
      </c>
      <c r="L33" s="87">
        <f t="shared" si="6"/>
        <v>58699.439423629155</v>
      </c>
      <c r="M33" s="87">
        <f t="shared" si="6"/>
        <v>58699.439423629155</v>
      </c>
      <c r="N33" s="87">
        <f t="shared" si="6"/>
        <v>58699.439423629155</v>
      </c>
      <c r="O33" s="933">
        <f t="shared" si="6"/>
        <v>1406403.1646407566</v>
      </c>
    </row>
    <row r="34" spans="2:15" outlineLevel="1" x14ac:dyDescent="0.2">
      <c r="B34" s="438"/>
      <c r="O34" s="799"/>
    </row>
    <row r="35" spans="2:15" s="158" customFormat="1" outlineLevel="1" x14ac:dyDescent="0.2">
      <c r="B35" s="942" t="s">
        <v>115</v>
      </c>
      <c r="C35" s="935">
        <f>+C24+C27+C29-C33</f>
        <v>268359.47138570668</v>
      </c>
      <c r="D35" s="935">
        <f t="shared" ref="D35:N35" si="7">+D24+D27+D29-D33</f>
        <v>3874523.3638232714</v>
      </c>
      <c r="E35" s="935">
        <f t="shared" si="7"/>
        <v>-7142181.7230262551</v>
      </c>
      <c r="F35" s="935">
        <f t="shared" si="7"/>
        <v>4714396.4912043428</v>
      </c>
      <c r="G35" s="935">
        <f t="shared" si="7"/>
        <v>3272873.2545197811</v>
      </c>
      <c r="H35" s="935">
        <f t="shared" si="7"/>
        <v>-6119756.0534864953</v>
      </c>
      <c r="I35" s="935">
        <f t="shared" si="7"/>
        <v>3293258.8909275755</v>
      </c>
      <c r="J35" s="935">
        <f t="shared" si="7"/>
        <v>4684075.2277018558</v>
      </c>
      <c r="K35" s="935">
        <f t="shared" si="7"/>
        <v>-8489898.57850012</v>
      </c>
      <c r="L35" s="935">
        <f t="shared" si="7"/>
        <v>5447019.4602812054</v>
      </c>
      <c r="M35" s="935">
        <f t="shared" si="7"/>
        <v>3536714.7257629163</v>
      </c>
      <c r="N35" s="935">
        <f t="shared" si="7"/>
        <v>-4337351.5912661534</v>
      </c>
      <c r="O35" s="936"/>
    </row>
    <row r="36" spans="2:15" x14ac:dyDescent="0.2">
      <c r="B36" s="438"/>
      <c r="O36" s="799"/>
    </row>
    <row r="37" spans="2:15" x14ac:dyDescent="0.2">
      <c r="B37" s="435" t="s">
        <v>1292</v>
      </c>
      <c r="C37" s="87">
        <f>'37. Budget dei fin. diretti'!C38</f>
        <v>77760.165407358756</v>
      </c>
      <c r="D37" s="87">
        <f>'37. Budget dei fin. diretti'!D38</f>
        <v>67402.958319336307</v>
      </c>
      <c r="E37" s="87">
        <f>'37. Budget dei fin. diretti'!E38</f>
        <v>75572.10421734376</v>
      </c>
      <c r="F37" s="87">
        <f>'37. Budget dei fin. diretti'!F38</f>
        <v>81641.567296898531</v>
      </c>
      <c r="G37" s="87">
        <f>'37. Budget dei fin. diretti'!G38</f>
        <v>61673.39293258822</v>
      </c>
      <c r="H37" s="87">
        <f>'37. Budget dei fin. diretti'!H38</f>
        <v>68790.599930005003</v>
      </c>
      <c r="I37" s="87">
        <f>'37. Budget dei fin. diretti'!I38</f>
        <v>75856.842836402298</v>
      </c>
      <c r="J37" s="87">
        <f>'37. Budget dei fin. diretti'!J38</f>
        <v>55913.507539828715</v>
      </c>
      <c r="K37" s="87">
        <f>'37. Budget dei fin. diretti'!K38</f>
        <v>65428.06591682438</v>
      </c>
      <c r="L37" s="87">
        <f>'37. Budget dei fin. diretti'!L38</f>
        <v>73035.26371237167</v>
      </c>
      <c r="M37" s="87">
        <f>'37. Budget dei fin. diretti'!M38</f>
        <v>50575.928247261363</v>
      </c>
      <c r="N37" s="87">
        <f>'37. Budget dei fin. diretti'!N38</f>
        <v>52577.520411019454</v>
      </c>
      <c r="O37" s="933">
        <f>SUM(C37:N37)</f>
        <v>806227.91676723852</v>
      </c>
    </row>
    <row r="38" spans="2:15" x14ac:dyDescent="0.2">
      <c r="B38" s="435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934"/>
    </row>
    <row r="39" spans="2:15" x14ac:dyDescent="0.2">
      <c r="B39" s="941" t="s">
        <v>117</v>
      </c>
      <c r="C39" s="107">
        <f>C29-C33-C37</f>
        <v>-224210.84127563878</v>
      </c>
      <c r="D39" s="107">
        <f>D29-D33-D37</f>
        <v>-213853.63418761629</v>
      </c>
      <c r="E39" s="107">
        <f t="shared" ref="E39:N39" si="8">E29-E33-E37</f>
        <v>-222022.78008562376</v>
      </c>
      <c r="F39" s="107">
        <f t="shared" si="8"/>
        <v>-228092.24316517852</v>
      </c>
      <c r="G39" s="107">
        <f t="shared" si="8"/>
        <v>-208124.06880086823</v>
      </c>
      <c r="H39" s="107">
        <f t="shared" si="8"/>
        <v>-215241.275798285</v>
      </c>
      <c r="I39" s="107">
        <f t="shared" si="8"/>
        <v>-222307.5187046823</v>
      </c>
      <c r="J39" s="107">
        <f t="shared" si="8"/>
        <v>-202364.18340810871</v>
      </c>
      <c r="K39" s="107">
        <f t="shared" si="8"/>
        <v>-124127.50534045353</v>
      </c>
      <c r="L39" s="107">
        <f t="shared" si="8"/>
        <v>-131734.70313600084</v>
      </c>
      <c r="M39" s="107">
        <f t="shared" si="8"/>
        <v>-109275.36767089053</v>
      </c>
      <c r="N39" s="107">
        <f t="shared" si="8"/>
        <v>-111276.95983464862</v>
      </c>
      <c r="O39" s="839">
        <f>SUM(C39:N39)</f>
        <v>-2212631.081407995</v>
      </c>
    </row>
    <row r="40" spans="2:15" x14ac:dyDescent="0.2">
      <c r="B40" s="438"/>
      <c r="O40" s="152"/>
    </row>
    <row r="41" spans="2:15" ht="17" thickBot="1" x14ac:dyDescent="0.25">
      <c r="B41" s="943" t="s">
        <v>1293</v>
      </c>
      <c r="C41" s="937">
        <f t="shared" ref="C41:N41" si="9">C24+C27+C39</f>
        <v>190599.30597834795</v>
      </c>
      <c r="D41" s="937">
        <f t="shared" si="9"/>
        <v>3807120.4055039347</v>
      </c>
      <c r="E41" s="937">
        <f t="shared" si="9"/>
        <v>-7217753.8272435991</v>
      </c>
      <c r="F41" s="937">
        <f t="shared" si="9"/>
        <v>4632754.9239074448</v>
      </c>
      <c r="G41" s="937">
        <f t="shared" si="9"/>
        <v>3211199.8615871929</v>
      </c>
      <c r="H41" s="937">
        <f t="shared" si="9"/>
        <v>-6188546.6534165004</v>
      </c>
      <c r="I41" s="937">
        <f t="shared" si="9"/>
        <v>3217402.0480911732</v>
      </c>
      <c r="J41" s="937">
        <f t="shared" si="9"/>
        <v>4628161.7201620275</v>
      </c>
      <c r="K41" s="937">
        <f t="shared" si="9"/>
        <v>-8555326.6444169432</v>
      </c>
      <c r="L41" s="937">
        <f t="shared" si="9"/>
        <v>5373984.1965688337</v>
      </c>
      <c r="M41" s="937">
        <f t="shared" si="9"/>
        <v>3486138.7975156549</v>
      </c>
      <c r="N41" s="937">
        <f t="shared" si="9"/>
        <v>-4389929.1116771726</v>
      </c>
      <c r="O41" s="938"/>
    </row>
    <row r="42" spans="2:15" x14ac:dyDescent="0.2">
      <c r="C42" s="74"/>
    </row>
    <row r="44" spans="2:15" x14ac:dyDescent="0.2">
      <c r="B44" s="3" t="s">
        <v>142</v>
      </c>
      <c r="C44" s="54">
        <f>+'BUDGET PATRIMONIALE'!C60</f>
        <v>15686212.817164604</v>
      </c>
      <c r="D44" s="73">
        <f>+C46</f>
        <v>15495613.511186255</v>
      </c>
      <c r="E44" s="73">
        <f t="shared" ref="E44:N44" si="10">+D46</f>
        <v>11688493.105682321</v>
      </c>
      <c r="F44" s="73">
        <f t="shared" si="10"/>
        <v>18906246.932925921</v>
      </c>
      <c r="G44" s="73">
        <f t="shared" si="10"/>
        <v>14273492.009018477</v>
      </c>
      <c r="H44" s="73">
        <f t="shared" si="10"/>
        <v>11062292.147431284</v>
      </c>
      <c r="I44" s="73">
        <f t="shared" si="10"/>
        <v>17250838.800847784</v>
      </c>
      <c r="J44" s="73">
        <f t="shared" si="10"/>
        <v>14033436.752756611</v>
      </c>
      <c r="K44" s="73">
        <f t="shared" si="10"/>
        <v>9405275.0325945839</v>
      </c>
      <c r="L44" s="73">
        <f t="shared" si="10"/>
        <v>17960601.677011527</v>
      </c>
      <c r="M44" s="73">
        <f t="shared" si="10"/>
        <v>12586617.480442693</v>
      </c>
      <c r="N44" s="73">
        <f t="shared" si="10"/>
        <v>9100478.6829270385</v>
      </c>
    </row>
    <row r="45" spans="2:15" x14ac:dyDescent="0.2">
      <c r="B45" s="76" t="s">
        <v>1294</v>
      </c>
      <c r="C45" s="73">
        <f>-C41</f>
        <v>-190599.30597834795</v>
      </c>
      <c r="D45" s="73">
        <f t="shared" ref="D45:N45" si="11">-D41</f>
        <v>-3807120.4055039347</v>
      </c>
      <c r="E45" s="73">
        <f t="shared" si="11"/>
        <v>7217753.8272435991</v>
      </c>
      <c r="F45" s="73">
        <f t="shared" si="11"/>
        <v>-4632754.9239074448</v>
      </c>
      <c r="G45" s="73">
        <f t="shared" si="11"/>
        <v>-3211199.8615871929</v>
      </c>
      <c r="H45" s="73">
        <f t="shared" si="11"/>
        <v>6188546.6534165004</v>
      </c>
      <c r="I45" s="73">
        <f t="shared" si="11"/>
        <v>-3217402.0480911732</v>
      </c>
      <c r="J45" s="73">
        <f t="shared" si="11"/>
        <v>-4628161.7201620275</v>
      </c>
      <c r="K45" s="73">
        <f t="shared" si="11"/>
        <v>8555326.6444169432</v>
      </c>
      <c r="L45" s="73">
        <f t="shared" si="11"/>
        <v>-5373984.1965688337</v>
      </c>
      <c r="M45" s="73">
        <f t="shared" si="11"/>
        <v>-3486138.7975156549</v>
      </c>
      <c r="N45" s="73">
        <f t="shared" si="11"/>
        <v>4389929.1116771726</v>
      </c>
    </row>
    <row r="46" spans="2:15" x14ac:dyDescent="0.2">
      <c r="B46" s="88" t="s">
        <v>143</v>
      </c>
      <c r="C46" s="78">
        <f>+C44+C45</f>
        <v>15495613.511186255</v>
      </c>
      <c r="D46" s="78">
        <f t="shared" ref="D46:N46" si="12">+D44+D45</f>
        <v>11688493.105682321</v>
      </c>
      <c r="E46" s="78">
        <f t="shared" si="12"/>
        <v>18906246.932925921</v>
      </c>
      <c r="F46" s="78">
        <f t="shared" si="12"/>
        <v>14273492.009018477</v>
      </c>
      <c r="G46" s="78">
        <f t="shared" si="12"/>
        <v>11062292.147431284</v>
      </c>
      <c r="H46" s="78">
        <f t="shared" si="12"/>
        <v>17250838.800847784</v>
      </c>
      <c r="I46" s="78">
        <f t="shared" si="12"/>
        <v>14033436.752756611</v>
      </c>
      <c r="J46" s="78">
        <f t="shared" si="12"/>
        <v>9405275.0325945839</v>
      </c>
      <c r="K46" s="78">
        <f t="shared" si="12"/>
        <v>17960601.677011527</v>
      </c>
      <c r="L46" s="78">
        <f t="shared" si="12"/>
        <v>12586617.480442693</v>
      </c>
      <c r="M46" s="78">
        <f t="shared" si="12"/>
        <v>9100478.6829270385</v>
      </c>
      <c r="N46" s="78">
        <f t="shared" si="12"/>
        <v>13490407.794604212</v>
      </c>
    </row>
    <row r="48" spans="2:15" x14ac:dyDescent="0.2">
      <c r="H48" s="3" t="s">
        <v>1295</v>
      </c>
      <c r="I48" s="73">
        <f>+C44</f>
        <v>15686212.817164604</v>
      </c>
      <c r="J48" s="73">
        <f>I48/1000</f>
        <v>15686.212817164604</v>
      </c>
    </row>
    <row r="49" spans="8:10" x14ac:dyDescent="0.2">
      <c r="H49" s="3" t="s">
        <v>1296</v>
      </c>
      <c r="I49" s="73">
        <f>+C45</f>
        <v>-190599.30597834795</v>
      </c>
      <c r="J49" s="73">
        <f t="shared" ref="J49:J61" si="13">I49/1000</f>
        <v>-190.59930597834796</v>
      </c>
    </row>
    <row r="50" spans="8:10" x14ac:dyDescent="0.2">
      <c r="H50" s="3" t="s">
        <v>1297</v>
      </c>
      <c r="I50" s="73">
        <f>+D45</f>
        <v>-3807120.4055039347</v>
      </c>
      <c r="J50" s="73">
        <f t="shared" si="13"/>
        <v>-3807.1204055039348</v>
      </c>
    </row>
    <row r="51" spans="8:10" x14ac:dyDescent="0.2">
      <c r="H51" s="3" t="s">
        <v>1298</v>
      </c>
      <c r="I51" s="73">
        <f>+E45</f>
        <v>7217753.8272435991</v>
      </c>
      <c r="J51" s="73">
        <f t="shared" si="13"/>
        <v>7217.7538272435995</v>
      </c>
    </row>
    <row r="52" spans="8:10" x14ac:dyDescent="0.2">
      <c r="H52" s="3" t="s">
        <v>1299</v>
      </c>
      <c r="I52" s="73">
        <f>+F45</f>
        <v>-4632754.9239074448</v>
      </c>
      <c r="J52" s="73">
        <f t="shared" si="13"/>
        <v>-4632.7549239074451</v>
      </c>
    </row>
    <row r="53" spans="8:10" x14ac:dyDescent="0.2">
      <c r="H53" s="3" t="s">
        <v>1300</v>
      </c>
      <c r="I53" s="73">
        <f>+G45</f>
        <v>-3211199.8615871929</v>
      </c>
      <c r="J53" s="73">
        <f t="shared" si="13"/>
        <v>-3211.199861587193</v>
      </c>
    </row>
    <row r="54" spans="8:10" x14ac:dyDescent="0.2">
      <c r="H54" s="3" t="s">
        <v>1301</v>
      </c>
      <c r="I54" s="73">
        <f>+H45</f>
        <v>6188546.6534165004</v>
      </c>
      <c r="J54" s="73">
        <f t="shared" si="13"/>
        <v>6188.5466534165007</v>
      </c>
    </row>
    <row r="55" spans="8:10" x14ac:dyDescent="0.2">
      <c r="H55" s="3" t="s">
        <v>1302</v>
      </c>
      <c r="I55" s="73">
        <f>+I45</f>
        <v>-3217402.0480911732</v>
      </c>
      <c r="J55" s="73">
        <f t="shared" si="13"/>
        <v>-3217.4020480911731</v>
      </c>
    </row>
    <row r="56" spans="8:10" x14ac:dyDescent="0.2">
      <c r="H56" s="3" t="s">
        <v>1303</v>
      </c>
      <c r="I56" s="73">
        <f>+J45</f>
        <v>-4628161.7201620275</v>
      </c>
      <c r="J56" s="73">
        <f t="shared" si="13"/>
        <v>-4628.1617201620274</v>
      </c>
    </row>
    <row r="57" spans="8:10" x14ac:dyDescent="0.2">
      <c r="H57" s="3" t="s">
        <v>1304</v>
      </c>
      <c r="I57" s="73">
        <f>+K45</f>
        <v>8555326.6444169432</v>
      </c>
      <c r="J57" s="73">
        <f t="shared" si="13"/>
        <v>8555.326644416944</v>
      </c>
    </row>
    <row r="58" spans="8:10" x14ac:dyDescent="0.2">
      <c r="H58" s="3" t="s">
        <v>1305</v>
      </c>
      <c r="I58" s="73">
        <f>+L45</f>
        <v>-5373984.1965688337</v>
      </c>
      <c r="J58" s="73">
        <f t="shared" si="13"/>
        <v>-5373.9841965688338</v>
      </c>
    </row>
    <row r="59" spans="8:10" x14ac:dyDescent="0.2">
      <c r="H59" s="3" t="s">
        <v>1306</v>
      </c>
      <c r="I59" s="73">
        <f>+M45</f>
        <v>-3486138.7975156549</v>
      </c>
      <c r="J59" s="73">
        <f t="shared" si="13"/>
        <v>-3486.1387975156549</v>
      </c>
    </row>
    <row r="60" spans="8:10" x14ac:dyDescent="0.2">
      <c r="H60" s="3" t="s">
        <v>1307</v>
      </c>
      <c r="I60" s="73">
        <f>+N45</f>
        <v>4389929.1116771726</v>
      </c>
      <c r="J60" s="73">
        <f t="shared" si="13"/>
        <v>4389.9291116771728</v>
      </c>
    </row>
    <row r="61" spans="8:10" x14ac:dyDescent="0.2">
      <c r="H61" s="3" t="s">
        <v>1308</v>
      </c>
      <c r="I61" s="73">
        <f>SUM(I48:I60)</f>
        <v>13490407.794604212</v>
      </c>
      <c r="J61" s="73">
        <f t="shared" si="13"/>
        <v>13490.407794604213</v>
      </c>
    </row>
    <row r="67" spans="2:14" x14ac:dyDescent="0.2">
      <c r="C67" s="73">
        <f>+C68-'36. IVA'!C17</f>
        <v>13200</v>
      </c>
    </row>
    <row r="68" spans="2:14" x14ac:dyDescent="0.2">
      <c r="C68" s="73">
        <f>+C71-C80-C88-C106</f>
        <v>-984318.15385892149</v>
      </c>
    </row>
    <row r="69" spans="2:14" x14ac:dyDescent="0.2">
      <c r="B69" s="3" t="s">
        <v>94</v>
      </c>
    </row>
    <row r="70" spans="2:14" x14ac:dyDescent="0.2">
      <c r="B70" s="76" t="s">
        <v>66</v>
      </c>
      <c r="C70" s="73">
        <f>CE_3_mens!C8</f>
        <v>11015187.875085792</v>
      </c>
      <c r="D70" s="73">
        <f>CE_3_mens!D8</f>
        <v>12239097.638984215</v>
      </c>
      <c r="E70" s="73">
        <f>CE_3_mens!E8</f>
        <v>14074962.284831846</v>
      </c>
      <c r="F70" s="73">
        <f>CE_3_mens!F8</f>
        <v>12851052.520933423</v>
      </c>
      <c r="G70" s="73">
        <f>CE_3_mens!G8</f>
        <v>12851052.520933423</v>
      </c>
      <c r="H70" s="73">
        <f>CE_3_mens!H8</f>
        <v>13463007.402882634</v>
      </c>
      <c r="I70" s="73">
        <f>CE_3_mens!I8</f>
        <v>13463007.402882634</v>
      </c>
      <c r="J70" s="73">
        <f>CE_3_mens!J8</f>
        <v>7343458.5833905274</v>
      </c>
      <c r="K70" s="73">
        <f>CE_3_mens!K8</f>
        <v>13463007.402882634</v>
      </c>
      <c r="L70" s="73">
        <f>CE_3_mens!L8</f>
        <v>12851052.520933423</v>
      </c>
      <c r="M70" s="73">
        <f>CE_3_mens!M8</f>
        <v>12851052.520933423</v>
      </c>
      <c r="N70" s="73">
        <f>CE_3_mens!N8</f>
        <v>7343458.5833905274</v>
      </c>
    </row>
    <row r="71" spans="2:14" x14ac:dyDescent="0.2">
      <c r="B71" s="76" t="s">
        <v>67</v>
      </c>
      <c r="C71" s="73">
        <f>+'36. IVA'!C7</f>
        <v>2423341.3325188719</v>
      </c>
      <c r="D71" s="73">
        <f>+'36. IVA'!D7</f>
        <v>2692601.4805765245</v>
      </c>
      <c r="E71" s="73">
        <f>+'36. IVA'!E7</f>
        <v>3096491.7026630063</v>
      </c>
      <c r="F71" s="73">
        <f>+'36. IVA'!F7</f>
        <v>2827231.5546053536</v>
      </c>
      <c r="G71" s="73">
        <f>+'36. IVA'!G7</f>
        <v>2827231.5546053536</v>
      </c>
      <c r="H71" s="73">
        <f>+'36. IVA'!H7</f>
        <v>2961861.6286341809</v>
      </c>
      <c r="I71" s="73">
        <f>+'36. IVA'!I7</f>
        <v>2961861.6286341809</v>
      </c>
      <c r="J71" s="73">
        <f>+'36. IVA'!J7</f>
        <v>1615560.8883459149</v>
      </c>
      <c r="K71" s="73">
        <f>+'36. IVA'!K7</f>
        <v>2961861.6286341809</v>
      </c>
      <c r="L71" s="73">
        <f>+'36. IVA'!L7</f>
        <v>2827231.5546053536</v>
      </c>
      <c r="M71" s="73">
        <f>+'36. IVA'!M7</f>
        <v>2827231.5546053536</v>
      </c>
      <c r="N71" s="73">
        <f>+'36. IVA'!N7</f>
        <v>1615560.8883459149</v>
      </c>
    </row>
    <row r="72" spans="2:14" x14ac:dyDescent="0.2">
      <c r="B72" s="76" t="s">
        <v>54</v>
      </c>
      <c r="C72" s="73">
        <f>-('BUDGET PATRIMONIALE'!D15-'BUDGET PATRIMONIALE'!C15)</f>
        <v>-2715354.2318544947</v>
      </c>
      <c r="D72" s="73">
        <f>-('BUDGET PATRIMONIALE'!E15-'BUDGET PATRIMONIALE'!D15)</f>
        <v>-847585.81602745876</v>
      </c>
      <c r="E72" s="73">
        <f>-('BUDGET PATRIMONIALE'!F15-'BUDGET PATRIMONIALE'!E15)</f>
        <v>-4615110.4093081653</v>
      </c>
      <c r="F72" s="73">
        <f>-('BUDGET PATRIMONIALE'!G15-'BUDGET PATRIMONIALE'!F15)</f>
        <v>-68403.356934800744</v>
      </c>
      <c r="G72" s="73">
        <f>-('BUDGET PATRIMONIALE'!H15-'BUDGET PATRIMONIALE'!G15)</f>
        <v>-941407.64208510891</v>
      </c>
      <c r="H72" s="73">
        <f>-('BUDGET PATRIMONIALE'!I15-'BUDGET PATRIMONIALE'!H15)</f>
        <v>-393098.34053533897</v>
      </c>
      <c r="I72" s="73">
        <f>-('BUDGET PATRIMONIALE'!J15-'BUDGET PATRIMONIALE'!I15)</f>
        <v>-387103.2216829136</v>
      </c>
      <c r="J72" s="73">
        <f>-('BUDGET PATRIMONIALE'!K15-'BUDGET PATRIMONIALE'!J15)</f>
        <v>7281434.900032945</v>
      </c>
      <c r="K72" s="73">
        <f>-('BUDGET PATRIMONIALE'!L15-'BUDGET PATRIMONIALE'!K15)</f>
        <v>-4086699.2651942372</v>
      </c>
      <c r="L72" s="73">
        <f>-('BUDGET PATRIMONIALE'!M15-'BUDGET PATRIMONIALE'!L15)</f>
        <v>700644.50782841444</v>
      </c>
      <c r="M72" s="73">
        <f>-('BUDGET PATRIMONIALE'!N15-'BUDGET PATRIMONIALE'!M15)</f>
        <v>-2339352.5127179176</v>
      </c>
      <c r="N72" s="73">
        <f>-('BUDGET PATRIMONIALE'!O15-'BUDGET PATRIMONIALE'!N15)</f>
        <v>7076338.2042662986</v>
      </c>
    </row>
    <row r="73" spans="2:14" x14ac:dyDescent="0.2">
      <c r="B73" s="76" t="s">
        <v>1284</v>
      </c>
      <c r="C73" s="73">
        <f>-CE_3_mens!C9</f>
        <v>-22030.375750171585</v>
      </c>
      <c r="D73" s="73">
        <f>-CE_3_mens!D9</f>
        <v>-24478.195277968429</v>
      </c>
      <c r="E73" s="73">
        <f>-CE_3_mens!E9</f>
        <v>-28149.924569663694</v>
      </c>
      <c r="F73" s="73">
        <f>-CE_3_mens!F9</f>
        <v>-25702.105041866846</v>
      </c>
      <c r="G73" s="73">
        <f>-CE_3_mens!G9</f>
        <v>-25702.105041866846</v>
      </c>
      <c r="H73" s="73">
        <f>-CE_3_mens!H9</f>
        <v>-26926.01480576527</v>
      </c>
      <c r="I73" s="73">
        <f>-CE_3_mens!I9</f>
        <v>-26926.01480576527</v>
      </c>
      <c r="J73" s="73">
        <f>-CE_3_mens!J9</f>
        <v>-14686.917166781055</v>
      </c>
      <c r="K73" s="73">
        <f>-CE_3_mens!K9</f>
        <v>-26926.01480576527</v>
      </c>
      <c r="L73" s="73">
        <f>-CE_3_mens!L9</f>
        <v>-25702.105041866846</v>
      </c>
      <c r="M73" s="73">
        <f>-CE_3_mens!M9</f>
        <v>-25702.105041866846</v>
      </c>
      <c r="N73" s="73">
        <f>-CE_3_mens!N9</f>
        <v>-14686.917166781055</v>
      </c>
    </row>
    <row r="74" spans="2:14" x14ac:dyDescent="0.2">
      <c r="B74" s="12" t="s">
        <v>42</v>
      </c>
      <c r="C74" s="78">
        <f>SUM(C70:C73)</f>
        <v>10701144.599999998</v>
      </c>
      <c r="D74" s="78">
        <f t="shared" ref="D74:N74" si="14">SUM(D70:D73)</f>
        <v>14059635.108255312</v>
      </c>
      <c r="E74" s="78">
        <f t="shared" si="14"/>
        <v>12528193.653617023</v>
      </c>
      <c r="F74" s="78">
        <f t="shared" si="14"/>
        <v>15584178.613562109</v>
      </c>
      <c r="G74" s="78">
        <f t="shared" si="14"/>
        <v>14711174.328411801</v>
      </c>
      <c r="H74" s="78">
        <f t="shared" si="14"/>
        <v>16004844.67617571</v>
      </c>
      <c r="I74" s="78">
        <f t="shared" si="14"/>
        <v>16010839.795028135</v>
      </c>
      <c r="J74" s="78">
        <f t="shared" si="14"/>
        <v>16225767.454602607</v>
      </c>
      <c r="K74" s="78">
        <f t="shared" si="14"/>
        <v>12311243.751516812</v>
      </c>
      <c r="L74" s="78">
        <f t="shared" si="14"/>
        <v>16353226.478325324</v>
      </c>
      <c r="M74" s="78">
        <f t="shared" si="14"/>
        <v>13313229.457778992</v>
      </c>
      <c r="N74" s="78">
        <f t="shared" si="14"/>
        <v>16020670.75883596</v>
      </c>
    </row>
    <row r="76" spans="2:14" x14ac:dyDescent="0.2">
      <c r="C76" s="103">
        <f t="shared" ref="C76:N76" si="15">+C9-C74</f>
        <v>0</v>
      </c>
      <c r="D76" s="103">
        <f t="shared" si="15"/>
        <v>0</v>
      </c>
      <c r="E76" s="103">
        <f t="shared" si="15"/>
        <v>0</v>
      </c>
      <c r="F76" s="103">
        <f t="shared" si="15"/>
        <v>0</v>
      </c>
      <c r="G76" s="103">
        <f t="shared" si="15"/>
        <v>0</v>
      </c>
      <c r="H76" s="103">
        <f t="shared" si="15"/>
        <v>0</v>
      </c>
      <c r="I76" s="103">
        <f t="shared" si="15"/>
        <v>0</v>
      </c>
      <c r="J76" s="103">
        <f t="shared" si="15"/>
        <v>0</v>
      </c>
      <c r="K76" s="103">
        <f t="shared" si="15"/>
        <v>0</v>
      </c>
      <c r="L76" s="103">
        <f t="shared" si="15"/>
        <v>0</v>
      </c>
      <c r="M76" s="103">
        <f t="shared" si="15"/>
        <v>0</v>
      </c>
      <c r="N76" s="103">
        <f t="shared" si="15"/>
        <v>0</v>
      </c>
    </row>
    <row r="79" spans="2:14" x14ac:dyDescent="0.2">
      <c r="B79" s="76" t="s">
        <v>44</v>
      </c>
      <c r="C79" s="73">
        <f>+CE_3_mens!C13</f>
        <v>6454699.5822317358</v>
      </c>
      <c r="D79" s="73">
        <f>+CE_3_mens!D13</f>
        <v>7286215.4702423373</v>
      </c>
      <c r="E79" s="73">
        <f>+CE_3_mens!E13</f>
        <v>8050730.498720794</v>
      </c>
      <c r="F79" s="73">
        <f>+CE_3_mens!F13</f>
        <v>7442361.3877202189</v>
      </c>
      <c r="G79" s="73">
        <f>+CE_3_mens!G13</f>
        <v>7303495.0472512841</v>
      </c>
      <c r="H79" s="73">
        <f>+CE_3_mens!H13</f>
        <v>7853833.9722076533</v>
      </c>
      <c r="I79" s="73">
        <f>+CE_3_mens!I13</f>
        <v>6919460.8738672379</v>
      </c>
      <c r="J79" s="73">
        <f>+CE_3_mens!J13</f>
        <v>4321654.7706176294</v>
      </c>
      <c r="K79" s="73">
        <f>+CE_3_mens!K13</f>
        <v>7266433.1549180066</v>
      </c>
      <c r="L79" s="73">
        <f>+CE_3_mens!L13</f>
        <v>6628962.1062278468</v>
      </c>
      <c r="M79" s="73">
        <f>+CE_3_mens!M13</f>
        <v>6576187.7784187235</v>
      </c>
      <c r="N79" s="73">
        <f>+CE_3_mens!N13</f>
        <v>4375537.6398723517</v>
      </c>
    </row>
    <row r="80" spans="2:14" x14ac:dyDescent="0.2">
      <c r="B80" s="76" t="s">
        <v>69</v>
      </c>
      <c r="C80" s="73">
        <f>+'31.Uscite mp'!I40</f>
        <v>1420033.9080909817</v>
      </c>
      <c r="D80" s="73">
        <f>+'31.Uscite mp'!J40</f>
        <v>1602967.4034533137</v>
      </c>
      <c r="E80" s="73">
        <f>+'31.Uscite mp'!K40</f>
        <v>1771160.7097185748</v>
      </c>
      <c r="F80" s="73">
        <f>+'31.Uscite mp'!L40</f>
        <v>1637319.5052984478</v>
      </c>
      <c r="G80" s="73">
        <f>+'31.Uscite mp'!M40</f>
        <v>1606768.9103952814</v>
      </c>
      <c r="H80" s="73">
        <f>+'31.Uscite mp'!N40</f>
        <v>1727843.4738856843</v>
      </c>
      <c r="I80" s="73">
        <f>+'31.Uscite mp'!O40</f>
        <v>1522281.3922507931</v>
      </c>
      <c r="J80" s="73">
        <f>+'31.Uscite mp'!P40</f>
        <v>950764.049535878</v>
      </c>
      <c r="K80" s="73">
        <f>+'31.Uscite mp'!Q40</f>
        <v>1598615.2940819608</v>
      </c>
      <c r="L80" s="73">
        <f>+'31.Uscite mp'!R40</f>
        <v>1458371.6633701259</v>
      </c>
      <c r="M80" s="73">
        <f>+'31.Uscite mp'!S40</f>
        <v>1446761.311252119</v>
      </c>
      <c r="N80" s="73">
        <f>+'31.Uscite mp'!T40</f>
        <v>962618.28077191766</v>
      </c>
    </row>
    <row r="81" spans="2:14" x14ac:dyDescent="0.2">
      <c r="B81" s="76" t="s">
        <v>72</v>
      </c>
      <c r="C81" s="73">
        <f>-('BUDGET PATRIMONIALE'!D31-'BUDGET PATRIMONIALE'!C31)</f>
        <v>137403.00967728347</v>
      </c>
      <c r="D81" s="73">
        <f>-('BUDGET PATRIMONIALE'!E31-'BUDGET PATRIMONIALE'!D31)</f>
        <v>-839628.9736956507</v>
      </c>
      <c r="E81" s="73">
        <f>-('BUDGET PATRIMONIALE'!F31-'BUDGET PATRIMONIALE'!E31)</f>
        <v>-2384438.8858586922</v>
      </c>
      <c r="F81" s="73">
        <f>-('BUDGET PATRIMONIALE'!G31-'BUDGET PATRIMONIALE'!F31)</f>
        <v>-1445929.029433392</v>
      </c>
      <c r="G81" s="73">
        <f>-('BUDGET PATRIMONIALE'!H31-'BUDGET PATRIMONIALE'!G31)</f>
        <v>-41516.346108216792</v>
      </c>
      <c r="H81" s="73">
        <f>-('BUDGET PATRIMONIALE'!I31-'BUDGET PATRIMONIALE'!H31)</f>
        <v>-178515.90019507334</v>
      </c>
      <c r="I81" s="73">
        <f>-('BUDGET PATRIMONIALE'!J31-'BUDGET PATRIMONIALE'!I31)</f>
        <v>781136.97191279009</v>
      </c>
      <c r="J81" s="73">
        <f>-('BUDGET PATRIMONIALE'!K31-'BUDGET PATRIMONIALE'!J31)</f>
        <v>3848052.7434477769</v>
      </c>
      <c r="K81" s="73">
        <f>-('BUDGET PATRIMONIALE'!L31-'BUDGET PATRIMONIALE'!K31)</f>
        <v>263791.82998785004</v>
      </c>
      <c r="L81" s="73">
        <f>-('BUDGET PATRIMONIALE'!M31-'BUDGET PATRIMONIALE'!L31)</f>
        <v>-152938.56997724622</v>
      </c>
      <c r="M81" s="73">
        <f>-('BUDGET PATRIMONIALE'!N31-'BUDGET PATRIMONIALE'!M31)</f>
        <v>-1060042.0008145869</v>
      </c>
      <c r="N81" s="73">
        <f>-('BUDGET PATRIMONIALE'!O31-'BUDGET PATRIMONIALE'!N31)</f>
        <v>2434306.451293584</v>
      </c>
    </row>
    <row r="82" spans="2:14" x14ac:dyDescent="0.2">
      <c r="B82" s="88" t="s">
        <v>45</v>
      </c>
      <c r="C82" s="78">
        <f>SUM(C79:C81)</f>
        <v>8012136.5000000009</v>
      </c>
      <c r="D82" s="78">
        <f t="shared" ref="D82:N82" si="16">SUM(D79:D81)</f>
        <v>8049553.9000000004</v>
      </c>
      <c r="E82" s="78">
        <f t="shared" si="16"/>
        <v>7437452.3225806765</v>
      </c>
      <c r="F82" s="78">
        <f t="shared" si="16"/>
        <v>7633751.8635852747</v>
      </c>
      <c r="G82" s="78">
        <f t="shared" si="16"/>
        <v>8868747.6115383487</v>
      </c>
      <c r="H82" s="78">
        <f t="shared" si="16"/>
        <v>9403161.5458982643</v>
      </c>
      <c r="I82" s="78">
        <f t="shared" si="16"/>
        <v>9222879.2380308211</v>
      </c>
      <c r="J82" s="78">
        <f t="shared" si="16"/>
        <v>9120471.5636012852</v>
      </c>
      <c r="K82" s="78">
        <f t="shared" si="16"/>
        <v>9128840.2789878175</v>
      </c>
      <c r="L82" s="78">
        <f t="shared" si="16"/>
        <v>7934395.1996207265</v>
      </c>
      <c r="M82" s="78">
        <f t="shared" si="16"/>
        <v>6962907.0888562556</v>
      </c>
      <c r="N82" s="78">
        <f t="shared" si="16"/>
        <v>7772462.3719378533</v>
      </c>
    </row>
    <row r="83" spans="2:14" x14ac:dyDescent="0.2">
      <c r="B83" s="88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</row>
    <row r="84" spans="2:14" x14ac:dyDescent="0.2">
      <c r="B84" s="3" t="s">
        <v>68</v>
      </c>
      <c r="C84" s="103">
        <f t="shared" ref="C84:N84" si="17">+C11-C82</f>
        <v>0</v>
      </c>
      <c r="D84" s="103">
        <f t="shared" si="17"/>
        <v>0</v>
      </c>
      <c r="E84" s="103">
        <f t="shared" si="17"/>
        <v>0</v>
      </c>
      <c r="F84" s="103">
        <f t="shared" si="17"/>
        <v>0</v>
      </c>
      <c r="G84" s="103">
        <f t="shared" si="17"/>
        <v>0</v>
      </c>
      <c r="H84" s="103">
        <f t="shared" si="17"/>
        <v>0</v>
      </c>
      <c r="I84" s="103">
        <f t="shared" si="17"/>
        <v>0</v>
      </c>
      <c r="J84" s="103">
        <f t="shared" si="17"/>
        <v>0</v>
      </c>
      <c r="K84" s="103">
        <f t="shared" si="17"/>
        <v>0</v>
      </c>
      <c r="L84" s="103">
        <f t="shared" si="17"/>
        <v>0</v>
      </c>
      <c r="M84" s="103">
        <f t="shared" si="17"/>
        <v>0</v>
      </c>
      <c r="N84" s="103">
        <f t="shared" si="17"/>
        <v>0</v>
      </c>
    </row>
    <row r="87" spans="2:14" x14ac:dyDescent="0.2">
      <c r="B87" s="76" t="s">
        <v>96</v>
      </c>
      <c r="C87" s="73">
        <f>'32. Uscite altro'!D30+'33. Uscite amministratori'!D8</f>
        <v>4144697.5302521707</v>
      </c>
      <c r="D87" s="73">
        <f>'32. Uscite altro'!E30+'33. Uscite amministratori'!E8</f>
        <v>4305475.2660706649</v>
      </c>
      <c r="E87" s="73">
        <f>'32. Uscite altro'!F30+'33. Uscite amministratori'!F8</f>
        <v>4545289.2760538543</v>
      </c>
      <c r="F87" s="73">
        <f>'32. Uscite altro'!G30+'33. Uscite amministratori'!G8</f>
        <v>4385245.5723727113</v>
      </c>
      <c r="G87" s="73">
        <f>'32. Uscite altro'!H30+'33. Uscite amministratori'!H8</f>
        <v>4384271.2266914193</v>
      </c>
      <c r="H87" s="73">
        <f>'32. Uscite altro'!I30+'33. Uscite amministratori'!I8</f>
        <v>4465788.7378003933</v>
      </c>
      <c r="I87" s="73">
        <f>'32. Uscite altro'!J30+'33. Uscite amministratori'!J8</f>
        <v>4462222.2512875395</v>
      </c>
      <c r="J87" s="73">
        <f>'32. Uscite altro'!K30+'33. Uscite amministratori'!K8</f>
        <v>3663274.7862773454</v>
      </c>
      <c r="K87" s="73">
        <f>'32. Uscite altro'!L30+'33. Uscite amministratori'!L8</f>
        <v>4463149.3646693211</v>
      </c>
      <c r="L87" s="73">
        <f>'32. Uscite altro'!M30+'33. Uscite amministratori'!M8</f>
        <v>4382235.3325636256</v>
      </c>
      <c r="M87" s="73">
        <f>'32. Uscite altro'!N30+'33. Uscite amministratori'!N8</f>
        <v>4381971.8561352352</v>
      </c>
      <c r="N87" s="73">
        <f>'32. Uscite altro'!O30+'33. Uscite amministratori'!O8</f>
        <v>3663274.7862773454</v>
      </c>
    </row>
    <row r="88" spans="2:14" x14ac:dyDescent="0.2">
      <c r="B88" s="76" t="s">
        <v>69</v>
      </c>
      <c r="C88" s="73">
        <f>'32. Uscite altro'!D279+'33. Uscite amministratori'!D15</f>
        <v>1994225.5782868117</v>
      </c>
      <c r="D88" s="73">
        <f>'32. Uscite altro'!E279+'33. Uscite amministratori'!E15</f>
        <v>350056.81765750935</v>
      </c>
      <c r="E88" s="73">
        <f>'32. Uscite altro'!F279+'33. Uscite amministratori'!F15</f>
        <v>482314.96858535893</v>
      </c>
      <c r="F88" s="73">
        <f>'32. Uscite altro'!G279+'33. Uscite amministratori'!G15</f>
        <v>2045193.8064833097</v>
      </c>
      <c r="G88" s="73">
        <f>'32. Uscite altro'!H279+'33. Uscite amministratori'!H15</f>
        <v>343886.89477258106</v>
      </c>
      <c r="H88" s="73">
        <f>'32. Uscite altro'!I279+'33. Uscite amministratori'!I15</f>
        <v>502048.15439767111</v>
      </c>
      <c r="I88" s="73">
        <f>'32. Uscite altro'!J279+'33. Uscite amministratori'!J15</f>
        <v>2036306.6002678368</v>
      </c>
      <c r="J88" s="73">
        <f>'32. Uscite altro'!K279+'33. Uscite amministratori'!K15</f>
        <v>227908.41885689297</v>
      </c>
      <c r="K88" s="73">
        <f>'32. Uscite altro'!L279+'33. Uscite amministratori'!L15</f>
        <v>458494.55302270362</v>
      </c>
      <c r="L88" s="73">
        <f>'32. Uscite altro'!M279+'33. Uscite amministratori'!M15</f>
        <v>2043620.8012427595</v>
      </c>
      <c r="M88" s="73">
        <f>'32. Uscite altro'!N279+'33. Uscite amministratori'!N15</f>
        <v>343886.89477258106</v>
      </c>
      <c r="N88" s="73">
        <f>'32. Uscite altro'!O279+'33. Uscite amministratori'!O15</f>
        <v>329591.02867333847</v>
      </c>
    </row>
    <row r="89" spans="2:14" x14ac:dyDescent="0.2">
      <c r="B89" s="76" t="s">
        <v>1172</v>
      </c>
      <c r="C89" s="73">
        <f>'BUDGET PATRIMONIALE'!D17-'BUDGET PATRIMONIALE'!C17</f>
        <v>5156666.666666667</v>
      </c>
      <c r="D89" s="73">
        <f>'BUDGET PATRIMONIALE'!E17-'BUDGET PATRIMONIALE'!D17</f>
        <v>-2548333.333333333</v>
      </c>
      <c r="E89" s="73">
        <f>'BUDGET PATRIMONIALE'!F17-'BUDGET PATRIMONIALE'!E17</f>
        <v>-2548333.333333334</v>
      </c>
      <c r="F89" s="73">
        <f>'BUDGET PATRIMONIALE'!G17-'BUDGET PATRIMONIALE'!F17</f>
        <v>5076666.666666667</v>
      </c>
      <c r="G89" s="73">
        <f>'BUDGET PATRIMONIALE'!H17-'BUDGET PATRIMONIALE'!G17</f>
        <v>-2548333.333333333</v>
      </c>
      <c r="H89" s="73">
        <f>'BUDGET PATRIMONIALE'!I17-'BUDGET PATRIMONIALE'!H17</f>
        <v>-2548333.333333334</v>
      </c>
      <c r="I89" s="73">
        <f>'BUDGET PATRIMONIALE'!J17-'BUDGET PATRIMONIALE'!I17</f>
        <v>5076666.666666667</v>
      </c>
      <c r="J89" s="73">
        <f>'BUDGET PATRIMONIALE'!K17-'BUDGET PATRIMONIALE'!J17</f>
        <v>-2548333.333333333</v>
      </c>
      <c r="K89" s="73">
        <f>'BUDGET PATRIMONIALE'!L17-'BUDGET PATRIMONIALE'!K17</f>
        <v>-2548333.333333334</v>
      </c>
      <c r="L89" s="73">
        <f>'BUDGET PATRIMONIALE'!M17-'BUDGET PATRIMONIALE'!L17</f>
        <v>5076666.666666667</v>
      </c>
      <c r="M89" s="73">
        <f>'BUDGET PATRIMONIALE'!N17-'BUDGET PATRIMONIALE'!M17</f>
        <v>-2548333.333333333</v>
      </c>
      <c r="N89" s="73">
        <f>'BUDGET PATRIMONIALE'!O17-'BUDGET PATRIMONIALE'!N17</f>
        <v>-2548333.333333334</v>
      </c>
    </row>
    <row r="90" spans="2:14" x14ac:dyDescent="0.2">
      <c r="B90" s="76" t="s">
        <v>97</v>
      </c>
      <c r="C90" s="73">
        <f>-('BUDGET PATRIMONIALE'!D35-'BUDGET PATRIMONIALE'!C35)</f>
        <v>-236702.47743332857</v>
      </c>
      <c r="D90" s="73">
        <f>-('BUDGET PATRIMONIALE'!E35-'BUDGET PATRIMONIALE'!D35)</f>
        <v>-165974.57974865258</v>
      </c>
      <c r="E90" s="73">
        <f>-('BUDGET PATRIMONIALE'!F35-'BUDGET PATRIMONIALE'!E35)</f>
        <v>195384.8235765647</v>
      </c>
      <c r="F90" s="73">
        <f>-('BUDGET PATRIMONIALE'!G35-'BUDGET PATRIMONIALE'!F35)</f>
        <v>-165576.75502432932</v>
      </c>
      <c r="G90" s="73">
        <f>-('BUDGET PATRIMONIALE'!H35-'BUDGET PATRIMONIALE'!G35)</f>
        <v>-272815.64439180749</v>
      </c>
      <c r="H90" s="73">
        <f>-('BUDGET PATRIMONIALE'!I35-'BUDGET PATRIMONIALE'!H35)</f>
        <v>364581.66097690113</v>
      </c>
      <c r="I90" s="73">
        <f>-('BUDGET PATRIMONIALE'!J35-'BUDGET PATRIMONIALE'!I35)</f>
        <v>-282949.82582767197</v>
      </c>
      <c r="J90" s="73">
        <f>-('BUDGET PATRIMONIALE'!K35-'BUDGET PATRIMONIALE'!J35)</f>
        <v>-78994.094503590022</v>
      </c>
      <c r="K90" s="73">
        <f>-('BUDGET PATRIMONIALE'!L35-'BUDGET PATRIMONIALE'!K35)</f>
        <v>169250.11876721057</v>
      </c>
      <c r="L90" s="73">
        <f>-('BUDGET PATRIMONIALE'!M35-'BUDGET PATRIMONIALE'!L35)</f>
        <v>-169716.53903592617</v>
      </c>
      <c r="M90" s="73">
        <f>-('BUDGET PATRIMONIALE'!N35-'BUDGET PATRIMONIALE'!M35)</f>
        <v>-270516.27383562329</v>
      </c>
      <c r="N90" s="73">
        <f>-('BUDGET PATRIMONIALE'!O35-'BUDGET PATRIMONIALE'!N35)</f>
        <v>914029.58648025303</v>
      </c>
    </row>
    <row r="91" spans="2:14" x14ac:dyDescent="0.2">
      <c r="B91" s="76" t="s">
        <v>1173</v>
      </c>
      <c r="C91" s="73">
        <f>-('BUDGET PATRIMONIALE'!D32-'BUDGET PATRIMONIALE'!C32)</f>
        <v>-9204987.2977723219</v>
      </c>
      <c r="D91" s="73">
        <f>-('BUDGET PATRIMONIALE'!E32-'BUDGET PATRIMONIALE'!D32)</f>
        <v>-282436.87287386507</v>
      </c>
      <c r="E91" s="73">
        <f>-('BUDGET PATRIMONIALE'!F32-'BUDGET PATRIMONIALE'!E32)</f>
        <v>8569068.4357637428</v>
      </c>
      <c r="F91" s="73">
        <f>-('BUDGET PATRIMONIALE'!G32-'BUDGET PATRIMONIALE'!F32)</f>
        <v>-8666873.5556159131</v>
      </c>
      <c r="G91" s="73">
        <f>-('BUDGET PATRIMONIALE'!H32-'BUDGET PATRIMONIALE'!G32)</f>
        <v>132020.14675949886</v>
      </c>
      <c r="H91" s="73">
        <f>-('BUDGET PATRIMONIALE'!I32-'BUDGET PATRIMONIALE'!H32)</f>
        <v>8523023.9238972273</v>
      </c>
      <c r="I91" s="73">
        <f>-('BUDGET PATRIMONIALE'!J32-'BUDGET PATRIMONIALE'!I32)</f>
        <v>-8508160.4725527409</v>
      </c>
      <c r="J91" s="73">
        <f>-('BUDGET PATRIMONIALE'!K32-'BUDGET PATRIMONIALE'!J32)</f>
        <v>725889.91509705782</v>
      </c>
      <c r="K91" s="73">
        <f>-('BUDGET PATRIMONIALE'!L32-'BUDGET PATRIMONIALE'!K32)</f>
        <v>8023795.0741714127</v>
      </c>
      <c r="L91" s="73">
        <f>-('BUDGET PATRIMONIALE'!M32-'BUDGET PATRIMONIALE'!L32)</f>
        <v>-8790245.558311224</v>
      </c>
      <c r="M91" s="73">
        <f>-('BUDGET PATRIMONIALE'!N32-'BUDGET PATRIMONIALE'!M32)</f>
        <v>123297.1176982671</v>
      </c>
      <c r="N91" s="73">
        <f>-('BUDGET PATRIMONIALE'!O32-'BUDGET PATRIMONIALE'!N32)</f>
        <v>9381777.075641254</v>
      </c>
    </row>
    <row r="92" spans="2:14" x14ac:dyDescent="0.2">
      <c r="B92" s="88" t="s">
        <v>99</v>
      </c>
      <c r="C92" s="78">
        <f>SUM(C87:C91)</f>
        <v>1853899.9999999981</v>
      </c>
      <c r="D92" s="78">
        <f>SUM(D87:D91)</f>
        <v>1658787.297772323</v>
      </c>
      <c r="E92" s="78">
        <f>SUM(E87:E91)</f>
        <v>11243724.170646187</v>
      </c>
      <c r="F92" s="78">
        <f>SUM(F87:F91)</f>
        <v>2674655.734882446</v>
      </c>
      <c r="G92" s="78">
        <f t="shared" ref="G92:N92" si="18">SUM(G87:G91)</f>
        <v>2039029.2904983584</v>
      </c>
      <c r="H92" s="78">
        <f t="shared" si="18"/>
        <v>11307109.143738858</v>
      </c>
      <c r="I92" s="78">
        <f t="shared" si="18"/>
        <v>2784085.2198416311</v>
      </c>
      <c r="J92" s="78">
        <f t="shared" si="18"/>
        <v>1989745.692394373</v>
      </c>
      <c r="K92" s="78">
        <f t="shared" si="18"/>
        <v>10566355.777297314</v>
      </c>
      <c r="L92" s="78">
        <f t="shared" si="18"/>
        <v>2542560.7031259034</v>
      </c>
      <c r="M92" s="78">
        <f t="shared" si="18"/>
        <v>2030306.2614371269</v>
      </c>
      <c r="N92" s="78">
        <f t="shared" si="18"/>
        <v>11740339.143738857</v>
      </c>
    </row>
    <row r="93" spans="2:14" x14ac:dyDescent="0.2">
      <c r="B93" s="88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</row>
    <row r="94" spans="2:14" x14ac:dyDescent="0.2">
      <c r="B94" s="3" t="s">
        <v>68</v>
      </c>
      <c r="C94" s="103">
        <f>+C13-C92+C15</f>
        <v>1.862645149230957E-9</v>
      </c>
      <c r="D94" s="103">
        <f t="shared" ref="D94:N94" si="19">+D13-D92+D15</f>
        <v>-1.6298145055770874E-9</v>
      </c>
      <c r="E94" s="103">
        <f t="shared" si="19"/>
        <v>0</v>
      </c>
      <c r="F94" s="103">
        <f t="shared" si="19"/>
        <v>-1.3969838619232178E-9</v>
      </c>
      <c r="G94" s="103">
        <f t="shared" si="19"/>
        <v>2.3283064365386963E-10</v>
      </c>
      <c r="H94" s="103">
        <f t="shared" si="19"/>
        <v>0</v>
      </c>
      <c r="I94" s="103">
        <f t="shared" si="19"/>
        <v>9.3132257461547852E-10</v>
      </c>
      <c r="J94" s="103">
        <f t="shared" si="19"/>
        <v>-1.1641532182693481E-9</v>
      </c>
      <c r="K94" s="103">
        <f t="shared" si="19"/>
        <v>1.862645149230957E-9</v>
      </c>
      <c r="L94" s="103">
        <f t="shared" si="19"/>
        <v>-9.3132257461547852E-10</v>
      </c>
      <c r="M94" s="103">
        <f t="shared" si="19"/>
        <v>-6.9849193096160889E-10</v>
      </c>
      <c r="N94" s="103">
        <f t="shared" si="19"/>
        <v>1.862645149230957E-9</v>
      </c>
    </row>
    <row r="96" spans="2:14" x14ac:dyDescent="0.2">
      <c r="B96" s="3" t="s">
        <v>102</v>
      </c>
      <c r="C96" s="73">
        <f>'34. Uscite personale'!C14</f>
        <v>379057.25964084273</v>
      </c>
      <c r="D96" s="73">
        <f>'34. Uscite personale'!D14</f>
        <v>425685.12534702866</v>
      </c>
      <c r="E96" s="73">
        <f>'34. Uscite personale'!E14</f>
        <v>487323.37297685299</v>
      </c>
      <c r="F96" s="73">
        <f>'34. Uscite personale'!F14</f>
        <v>444947.42750060488</v>
      </c>
      <c r="G96" s="73">
        <f>'34. Uscite personale'!G14</f>
        <v>444947.42750060488</v>
      </c>
      <c r="H96" s="73">
        <f>'34. Uscite personale'!H14</f>
        <v>466135.40023872897</v>
      </c>
      <c r="I96" s="73">
        <f>'34. Uscite personale'!I14</f>
        <v>466135.40023872897</v>
      </c>
      <c r="J96" s="73">
        <f>'34. Uscite personale'!J14</f>
        <v>254255.67285748851</v>
      </c>
      <c r="K96" s="73">
        <f>'34. Uscite personale'!K14</f>
        <v>466135.40023872897</v>
      </c>
      <c r="L96" s="73">
        <f>'34. Uscite personale'!L14</f>
        <v>444947.42750060488</v>
      </c>
      <c r="M96" s="73">
        <f>'34. Uscite personale'!M14</f>
        <v>444947.42750060488</v>
      </c>
      <c r="N96" s="73">
        <f>'34. Uscite personale'!N14</f>
        <v>254255.67285748851</v>
      </c>
    </row>
    <row r="97" spans="2:14" x14ac:dyDescent="0.2">
      <c r="B97" s="76" t="s">
        <v>101</v>
      </c>
      <c r="C97" s="73">
        <f>-('BUDGET PATRIMONIALE'!D43-'BUDGET PATRIMONIALE'!C43)</f>
        <v>-18490.53038297873</v>
      </c>
      <c r="D97" s="73">
        <f>-('BUDGET PATRIMONIALE'!E43-'BUDGET PATRIMONIALE'!D43)</f>
        <v>-20545.033758865204</v>
      </c>
      <c r="E97" s="73">
        <f>-('BUDGET PATRIMONIALE'!F43-'BUDGET PATRIMONIALE'!E43)</f>
        <v>-23771.784882584587</v>
      </c>
      <c r="F97" s="73">
        <f>-('BUDGET PATRIMONIALE'!G43-'BUDGET PATRIMONIALE'!F43)</f>
        <v>-21704.673153664451</v>
      </c>
      <c r="G97" s="73">
        <f>-('BUDGET PATRIMONIALE'!H43-'BUDGET PATRIMONIALE'!G43)</f>
        <v>-21704.673153664451</v>
      </c>
      <c r="H97" s="73">
        <f>-('BUDGET PATRIMONIALE'!I43-'BUDGET PATRIMONIALE'!H43)</f>
        <v>-22738.229018124752</v>
      </c>
      <c r="I97" s="73">
        <f>-('BUDGET PATRIMONIALE'!J43-'BUDGET PATRIMONIALE'!I43)</f>
        <v>-22738.229018124752</v>
      </c>
      <c r="J97" s="73">
        <f>-('BUDGET PATRIMONIALE'!K43-'BUDGET PATRIMONIALE'!J43)</f>
        <v>-12402.670373522677</v>
      </c>
      <c r="K97" s="73">
        <f>-('BUDGET PATRIMONIALE'!L43-'BUDGET PATRIMONIALE'!K43)</f>
        <v>-22738.229018124752</v>
      </c>
      <c r="L97" s="73">
        <f>-('BUDGET PATRIMONIALE'!M43-'BUDGET PATRIMONIALE'!L43)</f>
        <v>-21704.673153664451</v>
      </c>
      <c r="M97" s="73">
        <f>-('BUDGET PATRIMONIALE'!N43-'BUDGET PATRIMONIALE'!M43)</f>
        <v>-21704.673153664451</v>
      </c>
      <c r="N97" s="73">
        <f>-('BUDGET PATRIMONIALE'!O43-'BUDGET PATRIMONIALE'!N43)</f>
        <v>-12402.670373522677</v>
      </c>
    </row>
    <row r="98" spans="2:14" x14ac:dyDescent="0.2">
      <c r="B98" s="76" t="s">
        <v>1253</v>
      </c>
      <c r="C98" s="73">
        <f>-('BUDGET PATRIMONIALE'!D41-'BUDGET PATRIMONIALE'!C41)</f>
        <v>59731.223488148826</v>
      </c>
      <c r="D98" s="73">
        <f>-('BUDGET PATRIMONIALE'!E41-'BUDGET PATRIMONIALE'!D41)</f>
        <v>-74622.73619329842</v>
      </c>
      <c r="E98" s="73">
        <f>-('BUDGET PATRIMONIALE'!F41-'BUDGET PATRIMONIALE'!E41)</f>
        <v>-88348.424446416786</v>
      </c>
      <c r="F98" s="73">
        <f>-('BUDGET PATRIMONIALE'!G41-'BUDGET PATRIMONIALE'!F41)</f>
        <v>-44918.906325165997</v>
      </c>
      <c r="G98" s="73">
        <f>-('BUDGET PATRIMONIALE'!H41-'BUDGET PATRIMONIALE'!G41)</f>
        <v>-60463.250620991574</v>
      </c>
      <c r="H98" s="73">
        <f>-('BUDGET PATRIMONIALE'!I41-'BUDGET PATRIMONIALE'!H41)</f>
        <v>92512.192585364683</v>
      </c>
      <c r="I98" s="73">
        <f>-('BUDGET PATRIMONIALE'!J41-'BUDGET PATRIMONIALE'!I41)</f>
        <v>120768.59913922951</v>
      </c>
      <c r="J98" s="73">
        <f>-('BUDGET PATRIMONIALE'!K41-'BUDGET PATRIMONIALE'!J41)</f>
        <v>43171.292552846717</v>
      </c>
      <c r="K98" s="73">
        <f>-('BUDGET PATRIMONIALE'!L41-'BUDGET PATRIMONIALE'!K41)</f>
        <v>-141064.17451064265</v>
      </c>
      <c r="L98" s="73">
        <f>-('BUDGET PATRIMONIALE'!M41-'BUDGET PATRIMONIALE'!L41)</f>
        <v>-52691.078473078902</v>
      </c>
      <c r="M98" s="73">
        <f>-('BUDGET PATRIMONIALE'!N41-'BUDGET PATRIMONIALE'!M41)</f>
        <v>-60463.250620991574</v>
      </c>
      <c r="N98" s="73">
        <f>-('BUDGET PATRIMONIALE'!O41-'BUDGET PATRIMONIALE'!N41)</f>
        <v>221316.81361714931</v>
      </c>
    </row>
    <row r="99" spans="2:14" x14ac:dyDescent="0.2">
      <c r="B99" s="88" t="s">
        <v>1268</v>
      </c>
      <c r="C99" s="78">
        <f>SUM(C96:C98)</f>
        <v>420297.95274601283</v>
      </c>
      <c r="D99" s="78">
        <f t="shared" ref="D99:N99" si="20">SUM(D96:D98)</f>
        <v>330517.35539486504</v>
      </c>
      <c r="E99" s="78">
        <f t="shared" si="20"/>
        <v>375203.16364785162</v>
      </c>
      <c r="F99" s="78">
        <f t="shared" si="20"/>
        <v>378323.84802177444</v>
      </c>
      <c r="G99" s="78">
        <f t="shared" si="20"/>
        <v>362779.50372594886</v>
      </c>
      <c r="H99" s="78">
        <f t="shared" si="20"/>
        <v>535909.3638059689</v>
      </c>
      <c r="I99" s="78">
        <f t="shared" si="20"/>
        <v>564165.77035983372</v>
      </c>
      <c r="J99" s="78">
        <f t="shared" si="20"/>
        <v>285024.29503681255</v>
      </c>
      <c r="K99" s="78">
        <f t="shared" si="20"/>
        <v>302332.99670996156</v>
      </c>
      <c r="L99" s="78">
        <f t="shared" si="20"/>
        <v>370551.67587386153</v>
      </c>
      <c r="M99" s="78">
        <f t="shared" si="20"/>
        <v>362779.50372594886</v>
      </c>
      <c r="N99" s="78">
        <f t="shared" si="20"/>
        <v>463169.81610111514</v>
      </c>
    </row>
    <row r="100" spans="2:14" x14ac:dyDescent="0.2">
      <c r="B100" s="88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</row>
    <row r="101" spans="2:14" x14ac:dyDescent="0.2">
      <c r="B101" s="3" t="s">
        <v>68</v>
      </c>
      <c r="C101" s="103">
        <f t="shared" ref="C101:N101" si="21">+C99-C22</f>
        <v>0</v>
      </c>
      <c r="D101" s="103">
        <f t="shared" si="21"/>
        <v>197.48460341902683</v>
      </c>
      <c r="E101" s="103">
        <f t="shared" si="21"/>
        <v>0</v>
      </c>
      <c r="F101" s="103">
        <f t="shared" si="21"/>
        <v>0</v>
      </c>
      <c r="G101" s="103">
        <f t="shared" si="21"/>
        <v>0</v>
      </c>
      <c r="H101" s="103">
        <f t="shared" si="21"/>
        <v>0</v>
      </c>
      <c r="I101" s="103">
        <f t="shared" si="21"/>
        <v>0</v>
      </c>
      <c r="J101" s="103">
        <f t="shared" si="21"/>
        <v>0</v>
      </c>
      <c r="K101" s="103">
        <f t="shared" si="21"/>
        <v>0</v>
      </c>
      <c r="L101" s="103">
        <f t="shared" si="21"/>
        <v>0</v>
      </c>
      <c r="M101" s="103">
        <f t="shared" si="21"/>
        <v>0</v>
      </c>
      <c r="N101" s="103">
        <f t="shared" si="21"/>
        <v>0</v>
      </c>
    </row>
    <row r="103" spans="2:14" x14ac:dyDescent="0.2">
      <c r="B103" s="3" t="s">
        <v>89</v>
      </c>
      <c r="C103" s="54">
        <f>-'35. Budget degli investimenti'!C14-'35. Budget degli investimenti'!C13</f>
        <v>-215782.02541106124</v>
      </c>
      <c r="D103" s="54">
        <f>-'35. Budget degli investimenti'!D14-'35. Budget degli investimenti'!D13</f>
        <v>-226757.36173393123</v>
      </c>
      <c r="E103" s="54">
        <f>-'35. Budget degli investimenti'!E14-'35. Budget degli investimenti'!E13</f>
        <v>-243220.36621823616</v>
      </c>
      <c r="F103" s="54">
        <f>-'35. Budget degli investimenti'!F14-'35. Budget degli investimenti'!F13</f>
        <v>-232245.0298953662</v>
      </c>
      <c r="G103" s="54">
        <f>-'35. Budget degli investimenti'!G14-'35. Budget degli investimenti'!G13</f>
        <v>-232245.0298953662</v>
      </c>
      <c r="H103" s="54">
        <f>-'35. Budget degli investimenti'!H14-'35. Budget degli investimenti'!H13</f>
        <v>-237732.69805680116</v>
      </c>
      <c r="I103" s="54">
        <f>-'35. Budget degli investimenti'!I14-'35. Budget degli investimenti'!I13</f>
        <v>-237732.69805680116</v>
      </c>
      <c r="J103" s="54">
        <f>-'35. Budget degli investimenti'!J14-'35. Budget degli investimenti'!J13</f>
        <v>-182856.01644245139</v>
      </c>
      <c r="K103" s="54">
        <f>-'35. Budget degli investimenti'!K14-'35. Budget degli investimenti'!K13</f>
        <v>-237732.69805680116</v>
      </c>
      <c r="L103" s="54">
        <f>-'35. Budget degli investimenti'!L14-'35. Budget degli investimenti'!L13</f>
        <v>-232245.0298953662</v>
      </c>
      <c r="M103" s="54">
        <f>-'35. Budget degli investimenti'!M14-'35. Budget degli investimenti'!M13</f>
        <v>-232245.0298953662</v>
      </c>
      <c r="N103" s="54">
        <f>-'35. Budget degli investimenti'!N14-'35. Budget degli investimenti'!N13</f>
        <v>-182856.01644245139</v>
      </c>
    </row>
    <row r="104" spans="2:14" x14ac:dyDescent="0.2">
      <c r="B104" s="76" t="s">
        <v>1269</v>
      </c>
      <c r="C104" s="54">
        <f>-('BUDGET PATRIMONIALE'!D7-'BUDGET PATRIMONIALE'!C7)</f>
        <v>185782.02541106194</v>
      </c>
      <c r="D104" s="54">
        <f>-('BUDGET PATRIMONIALE'!E7-'BUDGET PATRIMONIALE'!D7)</f>
        <v>226757.36173393205</v>
      </c>
      <c r="E104" s="54">
        <f>-('BUDGET PATRIMONIALE'!F7-'BUDGET PATRIMONIALE'!E7)</f>
        <v>243220.36621823534</v>
      </c>
      <c r="F104" s="54">
        <f>-('BUDGET PATRIMONIALE'!G7-'BUDGET PATRIMONIALE'!F7)</f>
        <v>232245.02989536524</v>
      </c>
      <c r="G104" s="54">
        <f>-('BUDGET PATRIMONIALE'!H7-'BUDGET PATRIMONIALE'!G7)</f>
        <v>232245.0298953671</v>
      </c>
      <c r="H104" s="54">
        <f>-('BUDGET PATRIMONIALE'!I7-'BUDGET PATRIMONIALE'!H7)</f>
        <v>237732.69805680029</v>
      </c>
      <c r="I104" s="54">
        <f>-('BUDGET PATRIMONIALE'!J7-'BUDGET PATRIMONIALE'!I7)</f>
        <v>237732.69805680215</v>
      </c>
      <c r="J104" s="54">
        <f>-('BUDGET PATRIMONIALE'!K7-'BUDGET PATRIMONIALE'!J7)</f>
        <v>182856.01644245163</v>
      </c>
      <c r="K104" s="54">
        <f>-('BUDGET PATRIMONIALE'!L7-'BUDGET PATRIMONIALE'!K7)</f>
        <v>237732.69805680215</v>
      </c>
      <c r="L104" s="54">
        <f>-('BUDGET PATRIMONIALE'!M7-'BUDGET PATRIMONIALE'!L7)</f>
        <v>232245.02989536524</v>
      </c>
      <c r="M104" s="54">
        <f>-('BUDGET PATRIMONIALE'!N7-'BUDGET PATRIMONIALE'!M7)</f>
        <v>232245.02989536524</v>
      </c>
      <c r="N104" s="54">
        <f>-('BUDGET PATRIMONIALE'!O7-'BUDGET PATRIMONIALE'!N7)</f>
        <v>182856.01644245163</v>
      </c>
    </row>
    <row r="105" spans="2:14" x14ac:dyDescent="0.2">
      <c r="B105" s="76" t="s">
        <v>1270</v>
      </c>
      <c r="C105" s="54">
        <f>('BUDGET PATRIMONIALE'!D9-'BUDGET PATRIMONIALE'!C9)</f>
        <v>36600</v>
      </c>
      <c r="D105" s="54">
        <f>('BUDGET PATRIMONIALE'!E9-'BUDGET PATRIMONIALE'!D9)</f>
        <v>0</v>
      </c>
      <c r="E105" s="54">
        <f>('BUDGET PATRIMONIALE'!F9-'BUDGET PATRIMONIALE'!E9)</f>
        <v>0</v>
      </c>
      <c r="F105" s="54">
        <f>('BUDGET PATRIMONIALE'!G9-'BUDGET PATRIMONIALE'!F9)</f>
        <v>-36600</v>
      </c>
      <c r="G105" s="54">
        <f>('BUDGET PATRIMONIALE'!H9-'BUDGET PATRIMONIALE'!G9)</f>
        <v>0</v>
      </c>
      <c r="H105" s="54">
        <f>('BUDGET PATRIMONIALE'!I9-'BUDGET PATRIMONIALE'!H9)</f>
        <v>0</v>
      </c>
      <c r="I105" s="54">
        <f>('BUDGET PATRIMONIALE'!J9-'BUDGET PATRIMONIALE'!I9)</f>
        <v>0</v>
      </c>
      <c r="J105" s="54">
        <f>('BUDGET PATRIMONIALE'!K9-'BUDGET PATRIMONIALE'!J9)</f>
        <v>0</v>
      </c>
      <c r="K105" s="54">
        <f>('BUDGET PATRIMONIALE'!L9-'BUDGET PATRIMONIALE'!K9)</f>
        <v>0</v>
      </c>
      <c r="L105" s="54">
        <f>('BUDGET PATRIMONIALE'!M9-'BUDGET PATRIMONIALE'!L9)</f>
        <v>0</v>
      </c>
      <c r="M105" s="54">
        <f>('BUDGET PATRIMONIALE'!N9-'BUDGET PATRIMONIALE'!M9)</f>
        <v>0</v>
      </c>
      <c r="N105" s="54">
        <f>('BUDGET PATRIMONIALE'!O9-'BUDGET PATRIMONIALE'!N9)</f>
        <v>0</v>
      </c>
    </row>
    <row r="106" spans="2:14" x14ac:dyDescent="0.2">
      <c r="B106" s="76" t="s">
        <v>1274</v>
      </c>
      <c r="C106" s="54">
        <f>-'36. IVA'!C13</f>
        <v>-6600</v>
      </c>
      <c r="D106" s="54">
        <f>-'36. IVA'!D13</f>
        <v>0</v>
      </c>
      <c r="E106" s="54">
        <f>-'36. IVA'!E13</f>
        <v>0</v>
      </c>
      <c r="F106" s="54">
        <f>-'36. IVA'!F13</f>
        <v>0</v>
      </c>
      <c r="G106" s="54">
        <f>-'36. IVA'!G13</f>
        <v>0</v>
      </c>
      <c r="H106" s="54">
        <f>-'36. IVA'!H13</f>
        <v>0</v>
      </c>
      <c r="I106" s="54">
        <f>-'36. IVA'!I13</f>
        <v>0</v>
      </c>
      <c r="J106" s="54">
        <f>-'36. IVA'!J13</f>
        <v>0</v>
      </c>
      <c r="K106" s="54">
        <f>-'36. IVA'!K13</f>
        <v>0</v>
      </c>
      <c r="L106" s="54">
        <f>-'36. IVA'!L13</f>
        <v>0</v>
      </c>
      <c r="M106" s="54">
        <f>-'36. IVA'!M13</f>
        <v>0</v>
      </c>
      <c r="N106" s="54">
        <f>-'36. IVA'!N13</f>
        <v>0</v>
      </c>
    </row>
    <row r="107" spans="2:14" x14ac:dyDescent="0.2">
      <c r="B107" s="83" t="s">
        <v>93</v>
      </c>
      <c r="C107" s="92">
        <f>SUM(C103:C106)</f>
        <v>6.9849193096160889E-10</v>
      </c>
      <c r="D107" s="92">
        <f t="shared" ref="D107:N107" si="22">SUM(D103:D106)</f>
        <v>8.149072527885437E-10</v>
      </c>
      <c r="E107" s="92">
        <f t="shared" si="22"/>
        <v>-8.149072527885437E-10</v>
      </c>
      <c r="F107" s="92">
        <f t="shared" si="22"/>
        <v>-36600.00000000096</v>
      </c>
      <c r="G107" s="92">
        <f t="shared" si="22"/>
        <v>9.0221874415874481E-10</v>
      </c>
      <c r="H107" s="92">
        <f t="shared" si="22"/>
        <v>-8.7311491370201111E-10</v>
      </c>
      <c r="I107" s="92">
        <f t="shared" si="22"/>
        <v>9.8953023552894592E-10</v>
      </c>
      <c r="J107" s="92">
        <f t="shared" si="22"/>
        <v>2.3283064365386963E-10</v>
      </c>
      <c r="K107" s="92">
        <f t="shared" si="22"/>
        <v>9.8953023552894592E-10</v>
      </c>
      <c r="L107" s="92">
        <f t="shared" si="22"/>
        <v>-9.6042640507221222E-10</v>
      </c>
      <c r="M107" s="92">
        <f t="shared" si="22"/>
        <v>-9.6042640507221222E-10</v>
      </c>
      <c r="N107" s="92">
        <f t="shared" si="22"/>
        <v>2.3283064365386963E-10</v>
      </c>
    </row>
    <row r="109" spans="2:14" x14ac:dyDescent="0.2">
      <c r="B109" s="3" t="s">
        <v>68</v>
      </c>
      <c r="C109" s="105">
        <f t="shared" ref="C109:N109" si="23">+C107-C27</f>
        <v>6.9849193096160889E-10</v>
      </c>
      <c r="D109" s="105">
        <f t="shared" si="23"/>
        <v>8.149072527885437E-10</v>
      </c>
      <c r="E109" s="105">
        <f t="shared" si="23"/>
        <v>-8.149072527885437E-10</v>
      </c>
      <c r="F109" s="105">
        <f t="shared" si="23"/>
        <v>-9.6042640507221222E-10</v>
      </c>
      <c r="G109" s="105">
        <f t="shared" si="23"/>
        <v>9.0221874415874481E-10</v>
      </c>
      <c r="H109" s="105">
        <f t="shared" si="23"/>
        <v>-8.7311491370201111E-10</v>
      </c>
      <c r="I109" s="105">
        <f t="shared" si="23"/>
        <v>9.8953023552894592E-10</v>
      </c>
      <c r="J109" s="105">
        <f t="shared" si="23"/>
        <v>2.3283064365386963E-10</v>
      </c>
      <c r="K109" s="105">
        <f t="shared" si="23"/>
        <v>9.8953023552894592E-10</v>
      </c>
      <c r="L109" s="105">
        <f t="shared" si="23"/>
        <v>-9.6042640507221222E-10</v>
      </c>
      <c r="M109" s="105">
        <f t="shared" si="23"/>
        <v>-9.6042640507221222E-10</v>
      </c>
      <c r="N109" s="105">
        <f t="shared" si="23"/>
        <v>2.3283064365386963E-10</v>
      </c>
    </row>
    <row r="111" spans="2:14" x14ac:dyDescent="0.2">
      <c r="B111" s="3" t="s">
        <v>1309</v>
      </c>
      <c r="C111" s="54">
        <f>CE_3_mens!C35</f>
        <v>92210.216282562702</v>
      </c>
      <c r="D111" s="54">
        <f>CE_3_mens!D35</f>
        <v>81381.540487616265</v>
      </c>
      <c r="E111" s="54">
        <f>CE_3_mens!E35</f>
        <v>89077.449560497262</v>
      </c>
      <c r="F111" s="54">
        <f>CE_3_mens!F35</f>
        <v>94671.90082040077</v>
      </c>
      <c r="G111" s="54">
        <f>CE_3_mens!G35</f>
        <v>74226.932738167816</v>
      </c>
      <c r="H111" s="54">
        <f>CE_3_mens!H35</f>
        <v>80865.557188108563</v>
      </c>
      <c r="I111" s="54">
        <f>CE_3_mens!I35</f>
        <v>87451.421758547309</v>
      </c>
      <c r="J111" s="54">
        <f>CE_3_mens!J35</f>
        <v>67025.905350844318</v>
      </c>
      <c r="K111" s="54">
        <f>CE_3_mens!K35</f>
        <v>76056.47282697956</v>
      </c>
      <c r="L111" s="54">
        <f>CE_3_mens!L35</f>
        <v>83543.493041243171</v>
      </c>
      <c r="M111" s="54">
        <f>CE_3_mens!M35</f>
        <v>60963.679550895962</v>
      </c>
      <c r="N111" s="54">
        <f>CE_3_mens!N35</f>
        <v>62844.492494354068</v>
      </c>
    </row>
    <row r="112" spans="2:14" x14ac:dyDescent="0.2">
      <c r="B112" s="944" t="s">
        <v>1311</v>
      </c>
      <c r="C112" s="54">
        <f>-('BUDGET PATRIMONIALE'!D59-'BUDGET PATRIMONIALE'!C59)</f>
        <v>132000.62499307655</v>
      </c>
      <c r="D112" s="54">
        <f>-('BUDGET PATRIMONIALE'!E59-'BUDGET PATRIMONIALE'!D59)</f>
        <v>132472.09370000008</v>
      </c>
      <c r="E112" s="54">
        <f>-('BUDGET PATRIMONIALE'!F59-'BUDGET PATRIMONIALE'!E59)</f>
        <v>132945.33052512631</v>
      </c>
      <c r="F112" s="54">
        <f>-('BUDGET PATRIMONIALE'!G59-'BUDGET PATRIMONIALE'!F59)</f>
        <v>133420.34234477766</v>
      </c>
      <c r="G112" s="54">
        <f>-('BUDGET PATRIMONIALE'!H59-'BUDGET PATRIMONIALE'!G59)</f>
        <v>133897.1360627003</v>
      </c>
      <c r="H112" s="54">
        <f>-('BUDGET PATRIMONIALE'!I59-'BUDGET PATRIMONIALE'!H59)</f>
        <v>134375.71861017682</v>
      </c>
      <c r="I112" s="54">
        <f>-('BUDGET PATRIMONIALE'!J59-'BUDGET PATRIMONIALE'!I59)</f>
        <v>134856.09694613516</v>
      </c>
      <c r="J112" s="54">
        <f>-('BUDGET PATRIMONIALE'!K59-'BUDGET PATRIMONIALE'!J59)</f>
        <v>135338.27805726416</v>
      </c>
      <c r="K112" s="54">
        <f>-('BUDGET PATRIMONIALE'!L59-'BUDGET PATRIMONIALE'!K59)</f>
        <v>48071.032513474114</v>
      </c>
      <c r="L112" s="54">
        <f>-('BUDGET PATRIMONIALE'!M59-'BUDGET PATRIMONIALE'!L59)</f>
        <v>48191.210094757844</v>
      </c>
      <c r="M112" s="54">
        <f>-('BUDGET PATRIMONIALE'!N59-'BUDGET PATRIMONIALE'!M59)</f>
        <v>48311.688119994476</v>
      </c>
      <c r="N112" s="54">
        <f>-('BUDGET PATRIMONIALE'!O59-'BUDGET PATRIMONIALE'!N59)</f>
        <v>48432.467340294737</v>
      </c>
    </row>
    <row r="113" spans="2:14" x14ac:dyDescent="0.2">
      <c r="B113" s="83"/>
      <c r="C113" s="92">
        <f>SUM(C111:C112)</f>
        <v>224210.84127563925</v>
      </c>
      <c r="D113" s="92">
        <f t="shared" ref="D113:F113" si="24">SUM(D111:D112)</f>
        <v>213853.63418761635</v>
      </c>
      <c r="E113" s="92">
        <f t="shared" si="24"/>
        <v>222022.78008562356</v>
      </c>
      <c r="F113" s="92">
        <f t="shared" si="24"/>
        <v>228092.24316517843</v>
      </c>
      <c r="G113" s="92">
        <f t="shared" ref="G113" si="25">SUM(G111:G112)</f>
        <v>208124.06880086812</v>
      </c>
      <c r="H113" s="92">
        <f t="shared" ref="H113:I113" si="26">SUM(H111:H112)</f>
        <v>215241.27579828538</v>
      </c>
      <c r="I113" s="92">
        <f t="shared" si="26"/>
        <v>222307.51870468247</v>
      </c>
      <c r="J113" s="92">
        <f t="shared" ref="J113" si="27">SUM(J111:J112)</f>
        <v>202364.18340810848</v>
      </c>
      <c r="K113" s="92">
        <f t="shared" ref="K113:L113" si="28">SUM(K111:K112)</f>
        <v>124127.50534045367</v>
      </c>
      <c r="L113" s="92">
        <f t="shared" si="28"/>
        <v>131734.70313600102</v>
      </c>
      <c r="M113" s="92">
        <f t="shared" ref="M113" si="29">SUM(M111:M112)</f>
        <v>109275.36767089044</v>
      </c>
      <c r="N113" s="92">
        <f t="shared" ref="N113" si="30">SUM(N111:N112)</f>
        <v>111276.95983464881</v>
      </c>
    </row>
    <row r="115" spans="2:14" x14ac:dyDescent="0.2">
      <c r="B115" s="3" t="s">
        <v>68</v>
      </c>
      <c r="C115" s="105">
        <f>+C113+C39</f>
        <v>4.6566128730773926E-10</v>
      </c>
      <c r="D115" s="105">
        <f t="shared" ref="D115:F115" si="31">+D113+D39</f>
        <v>0</v>
      </c>
      <c r="E115" s="105">
        <f t="shared" si="31"/>
        <v>0</v>
      </c>
      <c r="F115" s="105">
        <f t="shared" si="31"/>
        <v>0</v>
      </c>
      <c r="G115" s="105">
        <f t="shared" ref="G115:N115" si="32">+G113+G39</f>
        <v>0</v>
      </c>
      <c r="H115" s="105">
        <f t="shared" si="32"/>
        <v>3.7834979593753815E-10</v>
      </c>
      <c r="I115" s="105">
        <f t="shared" si="32"/>
        <v>0</v>
      </c>
      <c r="J115" s="105">
        <f t="shared" si="32"/>
        <v>-2.3283064365386963E-10</v>
      </c>
      <c r="K115" s="105">
        <f t="shared" si="32"/>
        <v>1.4551915228366852E-10</v>
      </c>
      <c r="L115" s="105">
        <f t="shared" si="32"/>
        <v>0</v>
      </c>
      <c r="M115" s="105">
        <f t="shared" si="32"/>
        <v>0</v>
      </c>
      <c r="N115" s="105">
        <f t="shared" si="32"/>
        <v>1.8917489796876907E-10</v>
      </c>
    </row>
  </sheetData>
  <mergeCells count="1">
    <mergeCell ref="C3:O3"/>
  </mergeCells>
  <phoneticPr fontId="4" type="noConversion"/>
  <conditionalFormatting sqref="C46:N46">
    <cfRule type="cellIs" dxfId="1" priority="1" operator="lessThan">
      <formula>0</formula>
    </cfRule>
  </conditionalFormatting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61">
    <tabColor indexed="48"/>
  </sheetPr>
  <dimension ref="A1:O68"/>
  <sheetViews>
    <sheetView showGridLines="0" tabSelected="1" zoomScale="150" zoomScaleNormal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65" sqref="D65"/>
    </sheetView>
  </sheetViews>
  <sheetFormatPr baseColWidth="10" defaultColWidth="9.1640625" defaultRowHeight="16" outlineLevelRow="1" x14ac:dyDescent="0.2"/>
  <cols>
    <col min="1" max="1" width="2.33203125" style="3" customWidth="1"/>
    <col min="2" max="2" width="31.83203125" style="3" customWidth="1"/>
    <col min="3" max="15" width="14.6640625" style="3" bestFit="1" customWidth="1"/>
    <col min="16" max="16384" width="9.1640625" style="3"/>
  </cols>
  <sheetData>
    <row r="1" spans="1:15" ht="17" thickBot="1" x14ac:dyDescent="0.25"/>
    <row r="2" spans="1:15" ht="17" thickBot="1" x14ac:dyDescent="0.25">
      <c r="D2" s="1116" t="s">
        <v>1272</v>
      </c>
      <c r="E2" s="1117"/>
      <c r="F2" s="1117"/>
      <c r="G2" s="1117"/>
      <c r="H2" s="1117"/>
      <c r="I2" s="1117"/>
      <c r="J2" s="1117"/>
      <c r="K2" s="1117"/>
      <c r="L2" s="1117"/>
      <c r="M2" s="1117"/>
      <c r="N2" s="1117"/>
      <c r="O2" s="1118"/>
    </row>
    <row r="3" spans="1:15" ht="17" thickBot="1" x14ac:dyDescent="0.25">
      <c r="B3" s="130"/>
      <c r="C3" s="121" t="s">
        <v>1271</v>
      </c>
      <c r="D3" s="79" t="s">
        <v>11</v>
      </c>
      <c r="E3" s="80" t="s">
        <v>12</v>
      </c>
      <c r="F3" s="80" t="s">
        <v>13</v>
      </c>
      <c r="G3" s="80" t="s">
        <v>14</v>
      </c>
      <c r="H3" s="80" t="s">
        <v>15</v>
      </c>
      <c r="I3" s="80" t="s">
        <v>16</v>
      </c>
      <c r="J3" s="80" t="s">
        <v>17</v>
      </c>
      <c r="K3" s="80" t="s">
        <v>18</v>
      </c>
      <c r="L3" s="80" t="s">
        <v>19</v>
      </c>
      <c r="M3" s="80" t="s">
        <v>20</v>
      </c>
      <c r="N3" s="80" t="s">
        <v>21</v>
      </c>
      <c r="O3" s="81" t="s">
        <v>22</v>
      </c>
    </row>
    <row r="4" spans="1:15" x14ac:dyDescent="0.2">
      <c r="B4" s="122"/>
      <c r="C4" s="122"/>
      <c r="D4" s="17"/>
      <c r="O4" s="110"/>
    </row>
    <row r="5" spans="1:15" x14ac:dyDescent="0.2">
      <c r="B5" s="122" t="s">
        <v>87</v>
      </c>
      <c r="C5" s="123">
        <f>'35. Budget degli investimenti'!C7</f>
        <v>17068000</v>
      </c>
      <c r="D5" s="111">
        <f>+'35. Budget degli investimenti'!C10</f>
        <v>17098000</v>
      </c>
      <c r="E5" s="73">
        <f>+'35. Budget degli investimenti'!D10</f>
        <v>17098000</v>
      </c>
      <c r="F5" s="73">
        <f>+'35. Budget degli investimenti'!E10</f>
        <v>17098000</v>
      </c>
      <c r="G5" s="73">
        <f>+'35. Budget degli investimenti'!F10</f>
        <v>17098000</v>
      </c>
      <c r="H5" s="73">
        <f>+'35. Budget degli investimenti'!G10</f>
        <v>17098000</v>
      </c>
      <c r="I5" s="73">
        <f>+'35. Budget degli investimenti'!H10</f>
        <v>17098000</v>
      </c>
      <c r="J5" s="73">
        <f>+'35. Budget degli investimenti'!I10</f>
        <v>17098000</v>
      </c>
      <c r="K5" s="73">
        <f>+'35. Budget degli investimenti'!J10</f>
        <v>17098000</v>
      </c>
      <c r="L5" s="73">
        <f>+'35. Budget degli investimenti'!K10</f>
        <v>17098000</v>
      </c>
      <c r="M5" s="73">
        <f>+'35. Budget degli investimenti'!L10</f>
        <v>17098000</v>
      </c>
      <c r="N5" s="73">
        <f>+'35. Budget degli investimenti'!M10</f>
        <v>17098000</v>
      </c>
      <c r="O5" s="112">
        <f>+'35. Budget degli investimenti'!N10</f>
        <v>17098000</v>
      </c>
    </row>
    <row r="6" spans="1:15" x14ac:dyDescent="0.2">
      <c r="B6" s="131" t="s">
        <v>49</v>
      </c>
      <c r="C6" s="123">
        <f>-'35. Budget degli investimenti'!C12</f>
        <v>-5034890</v>
      </c>
      <c r="D6" s="111">
        <f>-'35. Budget degli investimenti'!C16</f>
        <v>-5250672.0254110619</v>
      </c>
      <c r="E6" s="73">
        <f>-'35. Budget degli investimenti'!D16</f>
        <v>-5477429.3871449931</v>
      </c>
      <c r="F6" s="73">
        <f>-'35. Budget degli investimenti'!E16</f>
        <v>-5720649.7533632293</v>
      </c>
      <c r="G6" s="73">
        <f>-'35. Budget degli investimenti'!F16</f>
        <v>-5952894.7832585955</v>
      </c>
      <c r="H6" s="73">
        <f>-'35. Budget degli investimenti'!G16</f>
        <v>-6185139.8131539617</v>
      </c>
      <c r="I6" s="73">
        <f>-'35. Budget degli investimenti'!H16</f>
        <v>-6422872.5112107629</v>
      </c>
      <c r="J6" s="73">
        <f>-'35. Budget degli investimenti'!I16</f>
        <v>-6660605.2092675641</v>
      </c>
      <c r="K6" s="73">
        <f>-'35. Budget degli investimenti'!J16</f>
        <v>-6843461.2257100157</v>
      </c>
      <c r="L6" s="73">
        <f>-'35. Budget degli investimenti'!K16</f>
        <v>-7081193.923766817</v>
      </c>
      <c r="M6" s="73">
        <f>-'35. Budget degli investimenti'!L16</f>
        <v>-7313438.9536621831</v>
      </c>
      <c r="N6" s="73">
        <f>-'35. Budget degli investimenti'!M16</f>
        <v>-7545683.9835575493</v>
      </c>
      <c r="O6" s="112">
        <f>-'35. Budget degli investimenti'!N16</f>
        <v>-7728540.0000000009</v>
      </c>
    </row>
    <row r="7" spans="1:15" x14ac:dyDescent="0.2">
      <c r="B7" s="136" t="s">
        <v>48</v>
      </c>
      <c r="C7" s="137">
        <f>SUM(C5:C6)</f>
        <v>12033110</v>
      </c>
      <c r="D7" s="138">
        <f t="shared" ref="D7:O7" si="0">SUM(D5:D6)</f>
        <v>11847327.974588938</v>
      </c>
      <c r="E7" s="139">
        <f t="shared" si="0"/>
        <v>11620570.612855006</v>
      </c>
      <c r="F7" s="139">
        <f t="shared" si="0"/>
        <v>11377350.246636771</v>
      </c>
      <c r="G7" s="139">
        <f t="shared" si="0"/>
        <v>11145105.216741405</v>
      </c>
      <c r="H7" s="139">
        <f t="shared" si="0"/>
        <v>10912860.186846038</v>
      </c>
      <c r="I7" s="139">
        <f t="shared" si="0"/>
        <v>10675127.488789238</v>
      </c>
      <c r="J7" s="139">
        <f t="shared" si="0"/>
        <v>10437394.790732436</v>
      </c>
      <c r="K7" s="139">
        <f t="shared" si="0"/>
        <v>10254538.774289984</v>
      </c>
      <c r="L7" s="139">
        <f t="shared" si="0"/>
        <v>10016806.076233182</v>
      </c>
      <c r="M7" s="139">
        <f t="shared" si="0"/>
        <v>9784561.0463378169</v>
      </c>
      <c r="N7" s="139">
        <f t="shared" si="0"/>
        <v>9552316.0164424516</v>
      </c>
      <c r="O7" s="140">
        <f t="shared" si="0"/>
        <v>9369460</v>
      </c>
    </row>
    <row r="8" spans="1:15" x14ac:dyDescent="0.2">
      <c r="B8" s="122"/>
      <c r="C8" s="123"/>
      <c r="D8" s="111"/>
      <c r="E8" s="73"/>
      <c r="F8" s="73"/>
      <c r="G8" s="73"/>
      <c r="H8" s="73"/>
      <c r="I8" s="73"/>
      <c r="J8" s="73"/>
      <c r="K8" s="73"/>
      <c r="L8" s="73"/>
      <c r="M8" s="73"/>
      <c r="N8" s="73"/>
      <c r="O8" s="112"/>
    </row>
    <row r="9" spans="1:15" x14ac:dyDescent="0.2">
      <c r="B9" s="136" t="s">
        <v>1273</v>
      </c>
      <c r="C9" s="137">
        <f>'35. Budget degli investimenti'!C22</f>
        <v>0</v>
      </c>
      <c r="D9" s="138">
        <f>+'35. Budget degli investimenti'!C25</f>
        <v>36600</v>
      </c>
      <c r="E9" s="139">
        <f>+'35. Budget degli investimenti'!D25</f>
        <v>36600</v>
      </c>
      <c r="F9" s="139">
        <f>+'35. Budget degli investimenti'!E25</f>
        <v>36600</v>
      </c>
      <c r="G9" s="139">
        <f>+'35. Budget degli investimenti'!F25</f>
        <v>0</v>
      </c>
      <c r="H9" s="139">
        <f>+'35. Budget degli investimenti'!G25</f>
        <v>0</v>
      </c>
      <c r="I9" s="139">
        <f>+'35. Budget degli investimenti'!H25</f>
        <v>0</v>
      </c>
      <c r="J9" s="139">
        <f>+'35. Budget degli investimenti'!I25</f>
        <v>0</v>
      </c>
      <c r="K9" s="139">
        <f>+'35. Budget degli investimenti'!J25</f>
        <v>0</v>
      </c>
      <c r="L9" s="139">
        <f>+'35. Budget degli investimenti'!K25</f>
        <v>0</v>
      </c>
      <c r="M9" s="139">
        <f>+'35. Budget degli investimenti'!L25</f>
        <v>0</v>
      </c>
      <c r="N9" s="139">
        <f>+'35. Budget degli investimenti'!M25</f>
        <v>0</v>
      </c>
      <c r="O9" s="140">
        <f>+'35. Budget degli investimenti'!N25</f>
        <v>0</v>
      </c>
    </row>
    <row r="10" spans="1:15" hidden="1" outlineLevel="1" x14ac:dyDescent="0.2">
      <c r="B10" s="132"/>
      <c r="C10" s="124"/>
      <c r="D10" s="11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114"/>
    </row>
    <row r="11" spans="1:15" hidden="1" outlineLevel="1" x14ac:dyDescent="0.2">
      <c r="B11" s="122" t="s">
        <v>1107</v>
      </c>
      <c r="C11" s="125">
        <f>'30.Entrate Operative'!H19</f>
        <v>13635000.6</v>
      </c>
      <c r="D11" s="99">
        <f>'30.Entrate Operative'!I19</f>
        <v>13205896.741902541</v>
      </c>
      <c r="E11" s="100">
        <f>'30.Entrate Operative'!J19</f>
        <v>13318281.144016474</v>
      </c>
      <c r="F11" s="100">
        <f>'30.Entrate Operative'!K19</f>
        <v>16515391.936447497</v>
      </c>
      <c r="G11" s="100">
        <f>'30.Entrate Operative'!L19</f>
        <v>17327624.326764587</v>
      </c>
      <c r="H11" s="100">
        <f>'30.Entrate Operative'!M19</f>
        <v>17598368.456870284</v>
      </c>
      <c r="I11" s="100">
        <f>'30.Entrate Operative'!N19</f>
        <v>17327624.326764587</v>
      </c>
      <c r="J11" s="100">
        <f>'30.Entrate Operative'!O19</f>
        <v>17598368.456870284</v>
      </c>
      <c r="K11" s="100">
        <f>'30.Entrate Operative'!P19</f>
        <v>15161671.285919014</v>
      </c>
      <c r="L11" s="100">
        <f>'30.Entrate Operative'!Q19</f>
        <v>15161671.285919014</v>
      </c>
      <c r="M11" s="100">
        <f>'30.Entrate Operative'!R19</f>
        <v>14890927.155813318</v>
      </c>
      <c r="N11" s="100">
        <f>'30.Entrate Operative'!S19</f>
        <v>17327624.326764587</v>
      </c>
      <c r="O11" s="115">
        <f>'30.Entrate Operative'!T19</f>
        <v>14620183.025707621</v>
      </c>
    </row>
    <row r="12" spans="1:15" hidden="1" outlineLevel="1" x14ac:dyDescent="0.2">
      <c r="B12" s="122" t="s">
        <v>1108</v>
      </c>
      <c r="C12" s="125">
        <f>+'30.Entrate Operative'!H26</f>
        <v>4590518.3999999994</v>
      </c>
      <c r="D12" s="99">
        <f>+'30.Entrate Operative'!I26</f>
        <v>7275568.9082553172</v>
      </c>
      <c r="E12" s="100">
        <f>+'30.Entrate Operative'!J26</f>
        <v>8083965.4536170205</v>
      </c>
      <c r="F12" s="100">
        <f>+'30.Entrate Operative'!K26</f>
        <v>9296560.2716595717</v>
      </c>
      <c r="G12" s="100">
        <f>+'30.Entrate Operative'!L26</f>
        <v>8488163.7262978721</v>
      </c>
      <c r="H12" s="100">
        <f>+'30.Entrate Operative'!M26</f>
        <v>8488163.7262978721</v>
      </c>
      <c r="I12" s="100">
        <f>+'30.Entrate Operative'!N26</f>
        <v>8892361.9989787247</v>
      </c>
      <c r="J12" s="100">
        <f>+'30.Entrate Operative'!O26</f>
        <v>8892361.9989787228</v>
      </c>
      <c r="K12" s="100">
        <f>+'30.Entrate Operative'!P26</f>
        <v>4850379.2721702121</v>
      </c>
      <c r="L12" s="100">
        <f>+'30.Entrate Operative'!Q26</f>
        <v>8892361.9989787228</v>
      </c>
      <c r="M12" s="100">
        <f>+'30.Entrate Operative'!R26</f>
        <v>8488163.726297874</v>
      </c>
      <c r="N12" s="100">
        <f>+'30.Entrate Operative'!S26</f>
        <v>8488163.7262978759</v>
      </c>
      <c r="O12" s="115">
        <f>+'30.Entrate Operative'!T26</f>
        <v>4850379.2721702158</v>
      </c>
    </row>
    <row r="13" spans="1:15" hidden="1" outlineLevel="1" x14ac:dyDescent="0.2">
      <c r="B13" s="122" t="s">
        <v>1109</v>
      </c>
      <c r="C13" s="125">
        <f>+'30.Entrate Operative'!H33</f>
        <v>5926272</v>
      </c>
      <c r="D13" s="99">
        <f>+'30.Entrate Operative'!I33</f>
        <v>6407709.9574468089</v>
      </c>
      <c r="E13" s="100">
        <f>+'30.Entrate Operative'!J33</f>
        <v>6358993.021276596</v>
      </c>
      <c r="F13" s="100">
        <f>+'30.Entrate Operative'!K33</f>
        <v>6592547.7446808517</v>
      </c>
      <c r="G13" s="100">
        <f>+'30.Entrate Operative'!L33</f>
        <v>6682817.3617021283</v>
      </c>
      <c r="H13" s="100">
        <f>+'30.Entrate Operative'!M33</f>
        <v>7379182.9787234049</v>
      </c>
      <c r="I13" s="100">
        <f>+'30.Entrate Operative'!N33</f>
        <v>7665753.1914893622</v>
      </c>
      <c r="J13" s="100">
        <f>+'30.Entrate Operative'!O33</f>
        <v>7809038.2978723422</v>
      </c>
      <c r="K13" s="100">
        <f>+'30.Entrate Operative'!P33</f>
        <v>7020970.2127659591</v>
      </c>
      <c r="L13" s="100">
        <f>+'30.Entrate Operative'!Q33</f>
        <v>7092612.7659574496</v>
      </c>
      <c r="M13" s="100">
        <f>+'30.Entrate Operative'!R33</f>
        <v>7092612.7659574496</v>
      </c>
      <c r="N13" s="100">
        <f>+'30.Entrate Operative'!S33</f>
        <v>7020970.21276596</v>
      </c>
      <c r="O13" s="115">
        <f>+'30.Entrate Operative'!T33</f>
        <v>6304544.6808510665</v>
      </c>
    </row>
    <row r="14" spans="1:15" hidden="1" outlineLevel="1" x14ac:dyDescent="0.2">
      <c r="B14" s="131" t="s">
        <v>1283</v>
      </c>
      <c r="C14" s="893">
        <v>-430000</v>
      </c>
      <c r="D14" s="782">
        <f>C14-CE_3_mens!C9</f>
        <v>-452030.3757501716</v>
      </c>
      <c r="E14" s="100">
        <f>D14-CE_3_mens!D9</f>
        <v>-476508.57102814002</v>
      </c>
      <c r="F14" s="100">
        <f>E14-CE_3_mens!E9</f>
        <v>-504658.49559780373</v>
      </c>
      <c r="G14" s="100">
        <f>F14-CE_3_mens!F9</f>
        <v>-530360.60063967062</v>
      </c>
      <c r="H14" s="100">
        <f>G14-CE_3_mens!G9</f>
        <v>-556062.70568153751</v>
      </c>
      <c r="I14" s="100">
        <f>H14-CE_3_mens!H9</f>
        <v>-582988.72048730275</v>
      </c>
      <c r="J14" s="100">
        <f>I14-CE_3_mens!I9</f>
        <v>-609914.73529306799</v>
      </c>
      <c r="K14" s="100">
        <f>J14-CE_3_mens!J9</f>
        <v>-624601.65245984902</v>
      </c>
      <c r="L14" s="100">
        <f>K14-CE_3_mens!K9</f>
        <v>-651527.66726561426</v>
      </c>
      <c r="M14" s="100">
        <f>L14-CE_3_mens!L9</f>
        <v>-677229.77230748115</v>
      </c>
      <c r="N14" s="100">
        <f>M14-CE_3_mens!M9</f>
        <v>-702931.87734934804</v>
      </c>
      <c r="O14" s="287">
        <f>N14-CE_3_mens!N9</f>
        <v>-717618.79451612907</v>
      </c>
    </row>
    <row r="15" spans="1:15" s="90" customFormat="1" hidden="1" outlineLevel="1" x14ac:dyDescent="0.2">
      <c r="A15" s="109"/>
      <c r="B15" s="133" t="s">
        <v>65</v>
      </c>
      <c r="C15" s="126">
        <f>SUM(C11:C14)</f>
        <v>23721791</v>
      </c>
      <c r="D15" s="116">
        <f>SUM(D11:D14)</f>
        <v>26437145.231854495</v>
      </c>
      <c r="E15" s="117">
        <f t="shared" ref="E15:O15" si="1">SUM(E11:E14)</f>
        <v>27284731.047881953</v>
      </c>
      <c r="F15" s="117">
        <f t="shared" si="1"/>
        <v>31899841.457190119</v>
      </c>
      <c r="G15" s="117">
        <f t="shared" si="1"/>
        <v>31968244.814124919</v>
      </c>
      <c r="H15" s="117">
        <f t="shared" si="1"/>
        <v>32909652.456210028</v>
      </c>
      <c r="I15" s="117">
        <f t="shared" si="1"/>
        <v>33302750.796745367</v>
      </c>
      <c r="J15" s="117">
        <f t="shared" si="1"/>
        <v>33689854.018428281</v>
      </c>
      <c r="K15" s="117">
        <f t="shared" si="1"/>
        <v>26408419.118395336</v>
      </c>
      <c r="L15" s="117">
        <f t="shared" si="1"/>
        <v>30495118.383589573</v>
      </c>
      <c r="M15" s="117">
        <f t="shared" si="1"/>
        <v>29794473.875761159</v>
      </c>
      <c r="N15" s="117">
        <f t="shared" si="1"/>
        <v>32133826.388479076</v>
      </c>
      <c r="O15" s="118">
        <f t="shared" si="1"/>
        <v>25057488.184212778</v>
      </c>
    </row>
    <row r="16" spans="1:15" s="90" customFormat="1" ht="6" hidden="1" customHeight="1" outlineLevel="1" x14ac:dyDescent="0.2">
      <c r="A16" s="109"/>
      <c r="B16" s="133"/>
      <c r="C16" s="126"/>
      <c r="D16" s="844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845"/>
    </row>
    <row r="17" spans="1:15" s="90" customFormat="1" hidden="1" outlineLevel="1" x14ac:dyDescent="0.2">
      <c r="A17" s="109"/>
      <c r="B17" s="133" t="s">
        <v>1170</v>
      </c>
      <c r="C17" s="126">
        <f>'32. Uscite altro'!C285</f>
        <v>0</v>
      </c>
      <c r="D17" s="844">
        <f>'32. Uscite altro'!D285</f>
        <v>5156666.666666667</v>
      </c>
      <c r="E17" s="117">
        <f>'32. Uscite altro'!E285</f>
        <v>2608333.333333334</v>
      </c>
      <c r="F17" s="117">
        <f>'32. Uscite altro'!F285</f>
        <v>59999.999999999993</v>
      </c>
      <c r="G17" s="117">
        <f>'32. Uscite altro'!G285</f>
        <v>5136666.666666667</v>
      </c>
      <c r="H17" s="117">
        <f>'32. Uscite altro'!H285</f>
        <v>2588333.333333334</v>
      </c>
      <c r="I17" s="117">
        <f>'32. Uscite altro'!I285</f>
        <v>40000</v>
      </c>
      <c r="J17" s="117">
        <f>'32. Uscite altro'!J285</f>
        <v>5116666.666666667</v>
      </c>
      <c r="K17" s="117">
        <f>'32. Uscite altro'!K285</f>
        <v>2568333.333333334</v>
      </c>
      <c r="L17" s="117">
        <f>'32. Uscite altro'!L285</f>
        <v>20000</v>
      </c>
      <c r="M17" s="117">
        <f>'32. Uscite altro'!M285</f>
        <v>5096666.666666667</v>
      </c>
      <c r="N17" s="117">
        <f>'32. Uscite altro'!N285</f>
        <v>2548333.333333334</v>
      </c>
      <c r="O17" s="845">
        <f>'32. Uscite altro'!O285</f>
        <v>0</v>
      </c>
    </row>
    <row r="18" spans="1:15" s="90" customFormat="1" ht="6" hidden="1" customHeight="1" outlineLevel="1" x14ac:dyDescent="0.2">
      <c r="A18" s="109"/>
      <c r="B18" s="133"/>
      <c r="C18" s="126"/>
      <c r="D18" s="116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8"/>
    </row>
    <row r="19" spans="1:15" s="90" customFormat="1" hidden="1" outlineLevel="1" x14ac:dyDescent="0.2">
      <c r="A19" s="109"/>
      <c r="B19" s="133" t="s">
        <v>91</v>
      </c>
      <c r="C19" s="126">
        <f>IF('36. IVA'!$C$21&lt;0,-'36. IVA'!$C$21,0)</f>
        <v>117530.08606557385</v>
      </c>
      <c r="D19" s="116">
        <f>+'36. IVA'!C27</f>
        <v>1115048.2399244953</v>
      </c>
      <c r="E19" s="117">
        <f>+'36. IVA'!D27</f>
        <v>375470.98045879393</v>
      </c>
      <c r="F19" s="117">
        <f>+'36. IVA'!E27</f>
        <v>0</v>
      </c>
      <c r="G19" s="117">
        <f>+'36. IVA'!F27</f>
        <v>855281.75717640389</v>
      </c>
      <c r="H19" s="117">
        <f>+'36. IVA'!G27</f>
        <v>0</v>
      </c>
      <c r="I19" s="117">
        <f>+'36. IVA'!H27</f>
        <v>0</v>
      </c>
      <c r="J19" s="117">
        <f>+'36. IVA'!I27</f>
        <v>596726.36388444901</v>
      </c>
      <c r="K19" s="117">
        <f>+'36. IVA'!J27</f>
        <v>159837.94393130508</v>
      </c>
      <c r="L19" s="117">
        <f>+'36. IVA'!K27</f>
        <v>0</v>
      </c>
      <c r="M19" s="117">
        <f>+'36. IVA'!L27</f>
        <v>674760.91000753175</v>
      </c>
      <c r="N19" s="117">
        <f>+'36. IVA'!M27</f>
        <v>0</v>
      </c>
      <c r="O19" s="118">
        <f>+'36. IVA'!N27</f>
        <v>0</v>
      </c>
    </row>
    <row r="20" spans="1:15" s="12" customFormat="1" ht="6" customHeight="1" collapsed="1" x14ac:dyDescent="0.2">
      <c r="A20" s="88"/>
      <c r="B20" s="132"/>
      <c r="C20" s="124"/>
      <c r="D20" s="113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114"/>
    </row>
    <row r="21" spans="1:15" s="12" customFormat="1" x14ac:dyDescent="0.2">
      <c r="A21" s="88" t="s">
        <v>73</v>
      </c>
      <c r="B21" s="134" t="s">
        <v>107</v>
      </c>
      <c r="C21" s="127">
        <f>C15+C19+C17</f>
        <v>23839321.086065575</v>
      </c>
      <c r="D21" s="119">
        <f t="shared" ref="D21:O21" si="2">D15+D19+D17</f>
        <v>32708860.138445657</v>
      </c>
      <c r="E21" s="108">
        <f t="shared" si="2"/>
        <v>30268535.361674078</v>
      </c>
      <c r="F21" s="108">
        <f t="shared" si="2"/>
        <v>31959841.457190119</v>
      </c>
      <c r="G21" s="108">
        <f t="shared" si="2"/>
        <v>37960193.23796799</v>
      </c>
      <c r="H21" s="108">
        <f t="shared" si="2"/>
        <v>35497985.78954336</v>
      </c>
      <c r="I21" s="108">
        <f t="shared" si="2"/>
        <v>33342750.796745367</v>
      </c>
      <c r="J21" s="108">
        <f t="shared" si="2"/>
        <v>39403247.048979394</v>
      </c>
      <c r="K21" s="108">
        <f t="shared" si="2"/>
        <v>29136590.395659976</v>
      </c>
      <c r="L21" s="108">
        <f t="shared" si="2"/>
        <v>30515118.383589573</v>
      </c>
      <c r="M21" s="108">
        <f t="shared" si="2"/>
        <v>35565901.452435359</v>
      </c>
      <c r="N21" s="108">
        <f t="shared" si="2"/>
        <v>34682159.721812412</v>
      </c>
      <c r="O21" s="120">
        <f t="shared" si="2"/>
        <v>25057488.184212778</v>
      </c>
    </row>
    <row r="22" spans="1:15" hidden="1" outlineLevel="1" x14ac:dyDescent="0.2">
      <c r="B22" s="122"/>
      <c r="C22" s="122"/>
      <c r="D22" s="17"/>
      <c r="O22" s="110"/>
    </row>
    <row r="23" spans="1:15" hidden="1" outlineLevel="1" x14ac:dyDescent="0.2">
      <c r="B23" s="122" t="s">
        <v>230</v>
      </c>
      <c r="C23" s="123">
        <f>'Tab. 23'!C53</f>
        <v>14391911.607172444</v>
      </c>
      <c r="D23" s="111">
        <f>+'Tab. 23'!C56</f>
        <v>14483697.106485456</v>
      </c>
      <c r="E23" s="73">
        <f>+'Tab. 23'!D56</f>
        <v>14716014.353225105</v>
      </c>
      <c r="F23" s="73">
        <f>+'Tab. 23'!E56</f>
        <v>14784499.125747479</v>
      </c>
      <c r="G23" s="73">
        <f>+'Tab. 23'!F56</f>
        <v>14891582.208279323</v>
      </c>
      <c r="H23" s="73">
        <f>+'Tab. 23'!G56</f>
        <v>14998665.290811168</v>
      </c>
      <c r="I23" s="73">
        <f>+'Tab. 23'!H56</f>
        <v>15110847.567749284</v>
      </c>
      <c r="J23" s="73">
        <f>+'Tab. 23'!I56</f>
        <v>14320369.148685556</v>
      </c>
      <c r="K23" s="73">
        <f>+'Tab. 23'!J56</f>
        <v>14381559.481560895</v>
      </c>
      <c r="L23" s="73">
        <f>+'Tab. 23'!K56</f>
        <v>14047104.60989669</v>
      </c>
      <c r="M23" s="73">
        <f>+'Tab. 23'!L56</f>
        <v>13218964.069999898</v>
      </c>
      <c r="N23" s="73">
        <f>+'Tab. 23'!M56</f>
        <v>12423386.456529887</v>
      </c>
      <c r="O23" s="112">
        <f>+'Tab. 23'!N56</f>
        <v>12484576.789405227</v>
      </c>
    </row>
    <row r="24" spans="1:15" hidden="1" outlineLevel="1" x14ac:dyDescent="0.2">
      <c r="B24" s="122" t="s">
        <v>241</v>
      </c>
      <c r="C24" s="123">
        <f>+'Tab. 23'!C59</f>
        <v>2213369.278317749</v>
      </c>
      <c r="D24" s="111">
        <f>+'Tab. 23'!C62</f>
        <v>2294188.8850856191</v>
      </c>
      <c r="E24" s="73">
        <f>+'Tab. 23'!D62</f>
        <v>2330035.5864150827</v>
      </c>
      <c r="F24" s="73">
        <f>+'Tab. 23'!E62</f>
        <v>2294188.8850856218</v>
      </c>
      <c r="G24" s="73">
        <f>+'Tab. 23'!F62</f>
        <v>2330035.5864150836</v>
      </c>
      <c r="H24" s="73">
        <f>+'Tab. 23'!G62</f>
        <v>2080982.5648590452</v>
      </c>
      <c r="I24" s="73">
        <f>+'Tab. 23'!H62</f>
        <v>2208219.0872007268</v>
      </c>
      <c r="J24" s="73">
        <f>+'Tab. 23'!I62</f>
        <v>2224787.1456265221</v>
      </c>
      <c r="K24" s="73">
        <f>+'Tab. 23'!J62</f>
        <v>2294188.8850856218</v>
      </c>
      <c r="L24" s="73">
        <f>+'Tab. 23'!K62</f>
        <v>2110911.2230372485</v>
      </c>
      <c r="M24" s="73">
        <f>+'Tab. 23'!L62</f>
        <v>2232364.2670906722</v>
      </c>
      <c r="N24" s="73">
        <f>+'Tab. 23'!M62</f>
        <v>2243148.8472282086</v>
      </c>
      <c r="O24" s="112">
        <f>+'Tab. 23'!N62</f>
        <v>2312550.5866873078</v>
      </c>
    </row>
    <row r="25" spans="1:15" s="90" customFormat="1" hidden="1" outlineLevel="1" x14ac:dyDescent="0.2">
      <c r="A25" s="3"/>
      <c r="B25" s="133" t="s">
        <v>71</v>
      </c>
      <c r="C25" s="126">
        <f t="shared" ref="C25:O25" si="3">SUM(C23:C24)</f>
        <v>16605280.885490194</v>
      </c>
      <c r="D25" s="116">
        <f t="shared" si="3"/>
        <v>16777885.991571076</v>
      </c>
      <c r="E25" s="117">
        <f t="shared" si="3"/>
        <v>17046049.939640187</v>
      </c>
      <c r="F25" s="117">
        <f t="shared" si="3"/>
        <v>17078688.010833099</v>
      </c>
      <c r="G25" s="117">
        <f t="shared" si="3"/>
        <v>17221617.794694405</v>
      </c>
      <c r="H25" s="117">
        <f t="shared" si="3"/>
        <v>17079647.855670214</v>
      </c>
      <c r="I25" s="117">
        <f t="shared" si="3"/>
        <v>17319066.654950012</v>
      </c>
      <c r="J25" s="117">
        <f t="shared" si="3"/>
        <v>16545156.294312079</v>
      </c>
      <c r="K25" s="117">
        <f t="shared" si="3"/>
        <v>16675748.366646517</v>
      </c>
      <c r="L25" s="117">
        <f t="shared" si="3"/>
        <v>16158015.832933938</v>
      </c>
      <c r="M25" s="117">
        <f t="shared" si="3"/>
        <v>15451328.33709057</v>
      </c>
      <c r="N25" s="117">
        <f t="shared" si="3"/>
        <v>14666535.303758096</v>
      </c>
      <c r="O25" s="118">
        <f t="shared" si="3"/>
        <v>14797127.376092535</v>
      </c>
    </row>
    <row r="26" spans="1:15" s="12" customFormat="1" ht="5" hidden="1" customHeight="1" outlineLevel="1" x14ac:dyDescent="0.2">
      <c r="A26" s="3"/>
      <c r="B26" s="132"/>
      <c r="C26" s="124"/>
      <c r="D26" s="113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114"/>
    </row>
    <row r="27" spans="1:15" s="90" customFormat="1" hidden="1" outlineLevel="1" x14ac:dyDescent="0.2">
      <c r="A27" s="3"/>
      <c r="B27" s="133" t="s">
        <v>70</v>
      </c>
      <c r="C27" s="126">
        <f>'Tab. 8'!C58</f>
        <v>7503979</v>
      </c>
      <c r="D27" s="116">
        <f>+'Tab. 8'!C61</f>
        <v>7503705.592966862</v>
      </c>
      <c r="E27" s="117">
        <f>+'Tab. 8'!D61</f>
        <v>7545301.5435474282</v>
      </c>
      <c r="F27" s="117">
        <f>+'Tab. 8'!E61</f>
        <v>7524772.0619585458</v>
      </c>
      <c r="G27" s="117">
        <f>+'Tab. 8'!F61</f>
        <v>7491226.5193617037</v>
      </c>
      <c r="H27" s="117">
        <f>+'Tab. 8'!G61</f>
        <v>7586418.6595744677</v>
      </c>
      <c r="I27" s="117">
        <f>+'Tab. 8'!H61</f>
        <v>7524111.7659574468</v>
      </c>
      <c r="J27" s="117">
        <f>+'Tab. 8'!I61</f>
        <v>7483979.0300000003</v>
      </c>
      <c r="K27" s="117">
        <f>+'Tab. 8'!J61</f>
        <v>7487738.7828950761</v>
      </c>
      <c r="L27" s="117">
        <f>+'Tab. 8'!K61</f>
        <v>7551560.2765957443</v>
      </c>
      <c r="M27" s="117">
        <f>+'Tab. 8'!L61</f>
        <v>7507560.2765957443</v>
      </c>
      <c r="N27" s="117">
        <f>+'Tab. 8'!M61</f>
        <v>7483979.0300000003</v>
      </c>
      <c r="O27" s="118">
        <f>+'Tab. 8'!N61</f>
        <v>7541621.6521497983</v>
      </c>
    </row>
    <row r="28" spans="1:15" s="12" customFormat="1" ht="6" customHeight="1" collapsed="1" x14ac:dyDescent="0.2">
      <c r="A28" s="88"/>
      <c r="B28" s="132"/>
      <c r="C28" s="124"/>
      <c r="D28" s="113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114"/>
    </row>
    <row r="29" spans="1:15" s="12" customFormat="1" x14ac:dyDescent="0.2">
      <c r="A29" s="88" t="s">
        <v>73</v>
      </c>
      <c r="B29" s="134" t="s">
        <v>108</v>
      </c>
      <c r="C29" s="127">
        <f t="shared" ref="C29:O29" si="4">+C25+C27</f>
        <v>24109259.885490194</v>
      </c>
      <c r="D29" s="119">
        <f t="shared" si="4"/>
        <v>24281591.584537938</v>
      </c>
      <c r="E29" s="108">
        <f t="shared" si="4"/>
        <v>24591351.483187616</v>
      </c>
      <c r="F29" s="108">
        <f t="shared" si="4"/>
        <v>24603460.072791643</v>
      </c>
      <c r="G29" s="108">
        <f t="shared" si="4"/>
        <v>24712844.31405611</v>
      </c>
      <c r="H29" s="108">
        <f t="shared" si="4"/>
        <v>24666066.515244681</v>
      </c>
      <c r="I29" s="108">
        <f t="shared" si="4"/>
        <v>24843178.42090746</v>
      </c>
      <c r="J29" s="108">
        <f t="shared" si="4"/>
        <v>24029135.32431208</v>
      </c>
      <c r="K29" s="108">
        <f t="shared" si="4"/>
        <v>24163487.149541594</v>
      </c>
      <c r="L29" s="108">
        <f t="shared" si="4"/>
        <v>23709576.109529682</v>
      </c>
      <c r="M29" s="108">
        <f t="shared" si="4"/>
        <v>22958888.613686316</v>
      </c>
      <c r="N29" s="108">
        <f t="shared" si="4"/>
        <v>22150514.333758097</v>
      </c>
      <c r="O29" s="120">
        <f t="shared" si="4"/>
        <v>22338749.028242335</v>
      </c>
    </row>
    <row r="30" spans="1:15" s="12" customFormat="1" hidden="1" outlineLevel="1" x14ac:dyDescent="0.2">
      <c r="B30" s="132"/>
      <c r="C30" s="124"/>
      <c r="D30" s="113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114"/>
    </row>
    <row r="31" spans="1:15" s="12" customFormat="1" hidden="1" outlineLevel="1" x14ac:dyDescent="0.2">
      <c r="B31" s="122" t="s">
        <v>1143</v>
      </c>
      <c r="C31" s="798">
        <f>'31.Uscite mp'!H38</f>
        <v>23004548.75</v>
      </c>
      <c r="D31" s="798">
        <f>'31.Uscite mp'!I38</f>
        <v>22867145.740322717</v>
      </c>
      <c r="E31" s="73">
        <f>'31.Uscite mp'!J38</f>
        <v>23706774.714018367</v>
      </c>
      <c r="F31" s="73">
        <f>'31.Uscite mp'!K38</f>
        <v>26091213.599877059</v>
      </c>
      <c r="G31" s="73">
        <f>'31.Uscite mp'!L38</f>
        <v>27537142.629310451</v>
      </c>
      <c r="H31" s="73">
        <f>'31.Uscite mp'!M38</f>
        <v>27578658.975418668</v>
      </c>
      <c r="I31" s="73">
        <f>'31.Uscite mp'!N38</f>
        <v>27757174.875613742</v>
      </c>
      <c r="J31" s="73">
        <f>'31.Uscite mp'!O38</f>
        <v>26976037.903700951</v>
      </c>
      <c r="K31" s="73">
        <f>'31.Uscite mp'!P38</f>
        <v>23127985.160253175</v>
      </c>
      <c r="L31" s="73">
        <f>'31.Uscite mp'!Q38</f>
        <v>22864193.330265325</v>
      </c>
      <c r="M31" s="73">
        <f>'31.Uscite mp'!R38</f>
        <v>23017131.900242571</v>
      </c>
      <c r="N31" s="73">
        <f>'31.Uscite mp'!S38</f>
        <v>24077173.901057158</v>
      </c>
      <c r="O31" s="147">
        <f>'31.Uscite mp'!T38</f>
        <v>21642867.449763574</v>
      </c>
    </row>
    <row r="32" spans="1:15" s="12" customFormat="1" hidden="1" outlineLevel="1" x14ac:dyDescent="0.2">
      <c r="B32" s="122" t="s">
        <v>1169</v>
      </c>
      <c r="C32" s="798">
        <f>+'32. Uscite altro'!C281</f>
        <v>1799000</v>
      </c>
      <c r="D32" s="798">
        <f>+'32. Uscite altro'!D281</f>
        <v>11003987.297772322</v>
      </c>
      <c r="E32" s="73">
        <f>+'32. Uscite altro'!E281</f>
        <v>11286424.170646187</v>
      </c>
      <c r="F32" s="73">
        <f>+'32. Uscite altro'!F281</f>
        <v>2717355.7348824441</v>
      </c>
      <c r="G32" s="73">
        <f>+'32. Uscite altro'!G281</f>
        <v>11384229.290498357</v>
      </c>
      <c r="H32" s="73">
        <f>+'32. Uscite altro'!H281</f>
        <v>11252209.143738858</v>
      </c>
      <c r="I32" s="73">
        <f>+'32. Uscite altro'!I281</f>
        <v>2729185.2198416316</v>
      </c>
      <c r="J32" s="73">
        <f>+'32. Uscite altro'!J281</f>
        <v>11237345.692394372</v>
      </c>
      <c r="K32" s="73">
        <f>+'32. Uscite altro'!K281</f>
        <v>10511455.777297314</v>
      </c>
      <c r="L32" s="73">
        <f>+'32. Uscite altro'!L281</f>
        <v>2487660.703125902</v>
      </c>
      <c r="M32" s="73">
        <f>+'32. Uscite altro'!M281</f>
        <v>11277906.261437126</v>
      </c>
      <c r="N32" s="73">
        <f>+'32. Uscite altro'!N281</f>
        <v>11154609.143738858</v>
      </c>
      <c r="O32" s="147">
        <f>+'32. Uscite altro'!O281</f>
        <v>1772832.068097604</v>
      </c>
    </row>
    <row r="33" spans="1:15" s="90" customFormat="1" hidden="1" outlineLevel="1" x14ac:dyDescent="0.2">
      <c r="A33" s="3"/>
      <c r="B33" s="133" t="s">
        <v>98</v>
      </c>
      <c r="C33" s="126">
        <f>SUM(C31:C32)</f>
        <v>24803548.75</v>
      </c>
      <c r="D33" s="116">
        <f t="shared" ref="D33:O33" si="5">SUM(D31:D32)</f>
        <v>33871133.038095042</v>
      </c>
      <c r="E33" s="117">
        <f t="shared" si="5"/>
        <v>34993198.88466455</v>
      </c>
      <c r="F33" s="117">
        <f t="shared" si="5"/>
        <v>28808569.334759504</v>
      </c>
      <c r="G33" s="117">
        <f t="shared" si="5"/>
        <v>38921371.919808805</v>
      </c>
      <c r="H33" s="117">
        <f t="shared" si="5"/>
        <v>38830868.119157523</v>
      </c>
      <c r="I33" s="117">
        <f t="shared" si="5"/>
        <v>30486360.095455375</v>
      </c>
      <c r="J33" s="117">
        <f t="shared" si="5"/>
        <v>38213383.596095324</v>
      </c>
      <c r="K33" s="117">
        <f t="shared" si="5"/>
        <v>33639440.937550485</v>
      </c>
      <c r="L33" s="117">
        <f t="shared" si="5"/>
        <v>25351854.033391226</v>
      </c>
      <c r="M33" s="117">
        <f t="shared" si="5"/>
        <v>34295038.1616797</v>
      </c>
      <c r="N33" s="117">
        <f t="shared" si="5"/>
        <v>35231783.04479602</v>
      </c>
      <c r="O33" s="118">
        <f t="shared" si="5"/>
        <v>23415699.517861176</v>
      </c>
    </row>
    <row r="34" spans="1:15" s="12" customFormat="1" ht="7" hidden="1" customHeight="1" outlineLevel="1" x14ac:dyDescent="0.2">
      <c r="A34" s="3"/>
      <c r="B34" s="132"/>
      <c r="C34" s="124"/>
      <c r="D34" s="113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114"/>
    </row>
    <row r="35" spans="1:15" s="90" customFormat="1" hidden="1" outlineLevel="1" x14ac:dyDescent="0.2">
      <c r="A35" s="3"/>
      <c r="B35" s="133" t="s">
        <v>1171</v>
      </c>
      <c r="C35" s="126">
        <f>+'32. Uscite altro'!C283</f>
        <v>0</v>
      </c>
      <c r="D35" s="116">
        <f>+'32. Uscite altro'!D283</f>
        <v>236702.47743332857</v>
      </c>
      <c r="E35" s="117">
        <f>+'32. Uscite altro'!E283</f>
        <v>402677.05718198116</v>
      </c>
      <c r="F35" s="117">
        <f>+'32. Uscite altro'!F283</f>
        <v>207292.23360541646</v>
      </c>
      <c r="G35" s="117">
        <f>+'32. Uscite altro'!G283</f>
        <v>372868.98862974579</v>
      </c>
      <c r="H35" s="117">
        <f>+'32. Uscite altro'!H283</f>
        <v>645684.63302155328</v>
      </c>
      <c r="I35" s="117">
        <f>+'32. Uscite altro'!I283</f>
        <v>281102.97204465215</v>
      </c>
      <c r="J35" s="117">
        <f>+'32. Uscite altro'!J283</f>
        <v>564052.79787232412</v>
      </c>
      <c r="K35" s="117">
        <f>+'32. Uscite altro'!K283</f>
        <v>643046.89237591415</v>
      </c>
      <c r="L35" s="117">
        <f>+'32. Uscite altro'!L283</f>
        <v>473796.77360870357</v>
      </c>
      <c r="M35" s="117">
        <f>+'32. Uscite altro'!M283</f>
        <v>643513.31264462974</v>
      </c>
      <c r="N35" s="117">
        <f>+'32. Uscite altro'!N283</f>
        <v>914029.58648025303</v>
      </c>
      <c r="O35" s="118">
        <f>+'32. Uscite altro'!O283</f>
        <v>0</v>
      </c>
    </row>
    <row r="36" spans="1:15" s="12" customFormat="1" ht="7" hidden="1" customHeight="1" outlineLevel="1" x14ac:dyDescent="0.2">
      <c r="A36" s="3"/>
      <c r="B36" s="132"/>
      <c r="C36" s="124"/>
      <c r="D36" s="11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114"/>
    </row>
    <row r="37" spans="1:15" s="12" customFormat="1" hidden="1" outlineLevel="1" x14ac:dyDescent="0.2">
      <c r="A37" s="3"/>
      <c r="B37" s="122" t="s">
        <v>1249</v>
      </c>
      <c r="C37" s="123">
        <f>'34. Uscite personale'!C44</f>
        <v>0</v>
      </c>
      <c r="D37" s="111">
        <f>+'34. Uscite personale'!C47</f>
        <v>0</v>
      </c>
      <c r="E37" s="73">
        <f>+'34. Uscite personale'!D47</f>
        <v>0</v>
      </c>
      <c r="F37" s="73">
        <f>+'34. Uscite personale'!E47</f>
        <v>0</v>
      </c>
      <c r="G37" s="73">
        <f>+'34. Uscite personale'!F47</f>
        <v>0</v>
      </c>
      <c r="H37" s="73">
        <f>+'34. Uscite personale'!G47</f>
        <v>0</v>
      </c>
      <c r="I37" s="73">
        <f>+'34. Uscite personale'!H47</f>
        <v>0</v>
      </c>
      <c r="J37" s="73">
        <f>+'34. Uscite personale'!I47</f>
        <v>0</v>
      </c>
      <c r="K37" s="73">
        <f>+'34. Uscite personale'!J47</f>
        <v>0</v>
      </c>
      <c r="L37" s="73">
        <f>+'34. Uscite personale'!K47</f>
        <v>0</v>
      </c>
      <c r="M37" s="73">
        <f>+'34. Uscite personale'!L47</f>
        <v>0</v>
      </c>
      <c r="N37" s="73">
        <f>+'34. Uscite personale'!M47</f>
        <v>0</v>
      </c>
      <c r="O37" s="112">
        <f>+'34. Uscite personale'!N47</f>
        <v>0</v>
      </c>
    </row>
    <row r="38" spans="1:15" s="12" customFormat="1" hidden="1" outlineLevel="1" x14ac:dyDescent="0.2">
      <c r="A38" s="3"/>
      <c r="B38" s="122" t="s">
        <v>1250</v>
      </c>
      <c r="C38" s="123">
        <f>'34. Uscite personale'!C49</f>
        <v>142404.41069425532</v>
      </c>
      <c r="D38" s="111">
        <f>+'34. Uscite personale'!C53</f>
        <v>107333.48406967026</v>
      </c>
      <c r="E38" s="73">
        <f>+'34. Uscite personale'!D53</f>
        <v>117635.84800015204</v>
      </c>
      <c r="F38" s="73">
        <f>+'34. Uscite personale'!E53</f>
        <v>130663.98826199619</v>
      </c>
      <c r="G38" s="73">
        <f>+'34. Uscite personale'!F53</f>
        <v>121455.00550965591</v>
      </c>
      <c r="H38" s="73">
        <f>+'34. Uscite personale'!G53</f>
        <v>121455.00550965601</v>
      </c>
      <c r="I38" s="73">
        <f>+'34. Uscite personale'!H53</f>
        <v>239954.51845816671</v>
      </c>
      <c r="J38" s="73">
        <f>+'34. Uscite personale'!I53</f>
        <v>126059.49688582652</v>
      </c>
      <c r="K38" s="73">
        <f>+'34. Uscite personale'!J53</f>
        <v>80014.583124124518</v>
      </c>
      <c r="L38" s="73">
        <f>+'34. Uscite personale'!K53</f>
        <v>126059.49688582677</v>
      </c>
      <c r="M38" s="73">
        <f>+'34. Uscite personale'!L53</f>
        <v>121455.00550965669</v>
      </c>
      <c r="N38" s="73">
        <f>+'34. Uscite personale'!M53</f>
        <v>121455.00550965682</v>
      </c>
      <c r="O38" s="112">
        <f>+'34. Uscite personale'!N53</f>
        <v>170096.93640391217</v>
      </c>
    </row>
    <row r="39" spans="1:15" s="12" customFormat="1" hidden="1" outlineLevel="1" x14ac:dyDescent="0.2">
      <c r="A39" s="3"/>
      <c r="B39" s="122" t="s">
        <v>1251</v>
      </c>
      <c r="C39" s="123">
        <f>'34. Uscite personale'!C55</f>
        <v>107882.12931382978</v>
      </c>
      <c r="D39" s="111">
        <f>+'34. Uscite personale'!C58</f>
        <v>124565.38716264254</v>
      </c>
      <c r="E39" s="73">
        <f>+'34. Uscite personale'!D58</f>
        <v>131652.94525754434</v>
      </c>
      <c r="F39" s="73">
        <f>+'34. Uscite personale'!E58</f>
        <v>140751.57400007869</v>
      </c>
      <c r="G39" s="73">
        <f>+'34. Uscite personale'!F58</f>
        <v>134416.21245659358</v>
      </c>
      <c r="H39" s="73">
        <f>+'34. Uscite personale'!G58</f>
        <v>134416.21245659358</v>
      </c>
      <c r="I39" s="73">
        <f>+'34. Uscite personale'!H58</f>
        <v>207799.9238267403</v>
      </c>
      <c r="J39" s="73">
        <f>+'34. Uscite personale'!I58</f>
        <v>137583.89322833609</v>
      </c>
      <c r="K39" s="73">
        <f>+'34. Uscite personale'!J58</f>
        <v>105907.08551091055</v>
      </c>
      <c r="L39" s="73">
        <f>+'34. Uscite personale'!K58</f>
        <v>137583.89322833612</v>
      </c>
      <c r="M39" s="73">
        <f>+'34. Uscite personale'!L58</f>
        <v>134416.21245659358</v>
      </c>
      <c r="N39" s="73">
        <f>+'34. Uscite personale'!M58</f>
        <v>134416.21245659358</v>
      </c>
      <c r="O39" s="112">
        <f>+'34. Uscite personale'!N58</f>
        <v>167879.64991498232</v>
      </c>
    </row>
    <row r="40" spans="1:15" s="12" customFormat="1" hidden="1" outlineLevel="1" x14ac:dyDescent="0.2">
      <c r="A40" s="3"/>
      <c r="B40" s="122" t="s">
        <v>1252</v>
      </c>
      <c r="C40" s="123">
        <f>+'34. Uscite personale'!C60+'34. Uscite personale'!C67</f>
        <v>260974.4790817498</v>
      </c>
      <c r="D40" s="798">
        <f>'34. Uscite personale'!C65+'34. Uscite personale'!C72</f>
        <v>219630.92436937324</v>
      </c>
      <c r="E40" s="73">
        <f>'34. Uscite personale'!D65+'34. Uscite personale'!D72</f>
        <v>276863.7385372881</v>
      </c>
      <c r="F40" s="73">
        <f>'34. Uscite personale'!E65+'34. Uscite personale'!E72</f>
        <v>343085.39397932636</v>
      </c>
      <c r="G40" s="73">
        <f>'34. Uscite personale'!F65+'34. Uscite personale'!F72</f>
        <v>403548.64460031781</v>
      </c>
      <c r="H40" s="73">
        <f>'34. Uscite personale'!G65+'34. Uscite personale'!G72</f>
        <v>464011.89522130927</v>
      </c>
      <c r="I40" s="73">
        <f>'34. Uscite personale'!H65+'34. Uscite personale'!H72</f>
        <v>179616.47831728717</v>
      </c>
      <c r="J40" s="73">
        <f>'34. Uscite personale'!I65+'34. Uscite personale'!I72</f>
        <v>242958.93134880206</v>
      </c>
      <c r="K40" s="73">
        <f>'34. Uscite personale'!J65+'34. Uscite personale'!J72</f>
        <v>277509.36027508287</v>
      </c>
      <c r="L40" s="73">
        <f>'34. Uscite personale'!K65+'34. Uscite personale'!K72</f>
        <v>340851.81330659776</v>
      </c>
      <c r="M40" s="73">
        <f>'34. Uscite personale'!L65+'34. Uscite personale'!L72</f>
        <v>401315.06392758922</v>
      </c>
      <c r="N40" s="73">
        <f>'34. Uscite personale'!M65+'34. Uscite personale'!M72</f>
        <v>461778.31454858067</v>
      </c>
      <c r="O40" s="147">
        <f>'34. Uscite personale'!N65+'34. Uscite personale'!N72</f>
        <v>158356.13257878722</v>
      </c>
    </row>
    <row r="41" spans="1:15" s="90" customFormat="1" hidden="1" outlineLevel="1" x14ac:dyDescent="0.2">
      <c r="A41" s="3"/>
      <c r="B41" s="133" t="s">
        <v>103</v>
      </c>
      <c r="C41" s="126">
        <f>SUM(C37:C40)</f>
        <v>511261.01908983488</v>
      </c>
      <c r="D41" s="117">
        <f>SUM(D37:D40)</f>
        <v>451529.79560168606</v>
      </c>
      <c r="E41" s="117">
        <f t="shared" ref="E41:O41" si="6">SUM(E37:E40)</f>
        <v>526152.53179498448</v>
      </c>
      <c r="F41" s="117">
        <f t="shared" si="6"/>
        <v>614500.95624140126</v>
      </c>
      <c r="G41" s="117">
        <f t="shared" si="6"/>
        <v>659419.86256656726</v>
      </c>
      <c r="H41" s="117">
        <f t="shared" si="6"/>
        <v>719883.11318755883</v>
      </c>
      <c r="I41" s="117">
        <f t="shared" si="6"/>
        <v>627370.92060219415</v>
      </c>
      <c r="J41" s="117">
        <f t="shared" si="6"/>
        <v>506602.32146296464</v>
      </c>
      <c r="K41" s="117">
        <f t="shared" si="6"/>
        <v>463431.02891011792</v>
      </c>
      <c r="L41" s="117">
        <f t="shared" si="6"/>
        <v>604495.20342076058</v>
      </c>
      <c r="M41" s="117">
        <f t="shared" si="6"/>
        <v>657186.28189383948</v>
      </c>
      <c r="N41" s="117">
        <f t="shared" si="6"/>
        <v>717649.53251483105</v>
      </c>
      <c r="O41" s="118">
        <f t="shared" si="6"/>
        <v>496332.71889768174</v>
      </c>
    </row>
    <row r="42" spans="1:15" ht="4" hidden="1" customHeight="1" outlineLevel="1" x14ac:dyDescent="0.2">
      <c r="B42" s="122"/>
      <c r="C42" s="122"/>
      <c r="D42" s="17"/>
      <c r="O42" s="110"/>
    </row>
    <row r="43" spans="1:15" s="90" customFormat="1" hidden="1" outlineLevel="1" x14ac:dyDescent="0.2">
      <c r="A43" s="3"/>
      <c r="B43" s="133" t="s">
        <v>55</v>
      </c>
      <c r="C43" s="126">
        <f>'34. Uscite personale'!C74</f>
        <v>2660000</v>
      </c>
      <c r="D43" s="116">
        <f>+'34. Uscite personale'!C77</f>
        <v>2678490.5303829787</v>
      </c>
      <c r="E43" s="117">
        <f>+'34. Uscite personale'!D77</f>
        <v>2699035.5641418439</v>
      </c>
      <c r="F43" s="117">
        <f>+'34. Uscite personale'!E77</f>
        <v>2722807.3490244285</v>
      </c>
      <c r="G43" s="117">
        <f>+'34. Uscite personale'!F77</f>
        <v>2744512.022178093</v>
      </c>
      <c r="H43" s="117">
        <f>+'34. Uscite personale'!G77</f>
        <v>2766216.6953317574</v>
      </c>
      <c r="I43" s="117">
        <f>+'34. Uscite personale'!H77</f>
        <v>2788954.9243498822</v>
      </c>
      <c r="J43" s="117">
        <f>+'34. Uscite personale'!I77</f>
        <v>2811693.1533680069</v>
      </c>
      <c r="K43" s="117">
        <f>+'34. Uscite personale'!J77</f>
        <v>2824095.8237415296</v>
      </c>
      <c r="L43" s="117">
        <f>+'34. Uscite personale'!K77</f>
        <v>2846834.0527596544</v>
      </c>
      <c r="M43" s="117">
        <f>+'34. Uscite personale'!L77</f>
        <v>2868538.7259133188</v>
      </c>
      <c r="N43" s="117">
        <f>+'34. Uscite personale'!M77</f>
        <v>2890243.3990669833</v>
      </c>
      <c r="O43" s="118">
        <f>+'34. Uscite personale'!N77</f>
        <v>2902646.0694405059</v>
      </c>
    </row>
    <row r="44" spans="1:15" s="12" customFormat="1" ht="5" hidden="1" customHeight="1" outlineLevel="1" x14ac:dyDescent="0.2">
      <c r="A44" s="3"/>
      <c r="B44" s="132"/>
      <c r="C44" s="124"/>
      <c r="D44" s="113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114"/>
    </row>
    <row r="45" spans="1:15" s="90" customFormat="1" hidden="1" outlineLevel="1" x14ac:dyDescent="0.2">
      <c r="A45" s="3"/>
      <c r="B45" s="133" t="s">
        <v>75</v>
      </c>
      <c r="C45" s="126">
        <f>IF('36. IVA'!$C$21&gt;0,-'36. IVA'!$C$21,0)</f>
        <v>0</v>
      </c>
      <c r="D45" s="116">
        <f>+'36. IVA'!C26</f>
        <v>0</v>
      </c>
      <c r="E45" s="117">
        <f>+'36. IVA'!D26</f>
        <v>0</v>
      </c>
      <c r="F45" s="117">
        <f>+'36. IVA'!E26</f>
        <v>0</v>
      </c>
      <c r="G45" s="117">
        <f>+'36. IVA'!F26</f>
        <v>0</v>
      </c>
      <c r="H45" s="117">
        <f>+'36. IVA'!G26</f>
        <v>0</v>
      </c>
      <c r="I45" s="117">
        <f>+'36. IVA'!H26</f>
        <v>0</v>
      </c>
      <c r="J45" s="117">
        <f>+'36. IVA'!I26</f>
        <v>0</v>
      </c>
      <c r="K45" s="117">
        <f>+'36. IVA'!J26</f>
        <v>0</v>
      </c>
      <c r="L45" s="117">
        <f>+'36. IVA'!K26</f>
        <v>0</v>
      </c>
      <c r="M45" s="117">
        <f>+'36. IVA'!L26</f>
        <v>0</v>
      </c>
      <c r="N45" s="117">
        <f>+'36. IVA'!M26</f>
        <v>0</v>
      </c>
      <c r="O45" s="118">
        <f>+'36. IVA'!N26</f>
        <v>0</v>
      </c>
    </row>
    <row r="46" spans="1:15" s="12" customFormat="1" ht="6" customHeight="1" collapsed="1" x14ac:dyDescent="0.2">
      <c r="A46" s="3"/>
      <c r="B46" s="132"/>
      <c r="C46" s="124"/>
      <c r="D46" s="113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114"/>
    </row>
    <row r="47" spans="1:15" s="12" customFormat="1" x14ac:dyDescent="0.2">
      <c r="A47" s="88" t="s">
        <v>74</v>
      </c>
      <c r="B47" s="134" t="s">
        <v>109</v>
      </c>
      <c r="C47" s="127">
        <f t="shared" ref="C47:O47" si="7">+C33+C35+C41+C43+C45</f>
        <v>27974809.769089837</v>
      </c>
      <c r="D47" s="119">
        <f t="shared" si="7"/>
        <v>37237855.841513038</v>
      </c>
      <c r="E47" s="108">
        <f t="shared" si="7"/>
        <v>38621064.037783369</v>
      </c>
      <c r="F47" s="108">
        <f t="shared" si="7"/>
        <v>32353169.873630751</v>
      </c>
      <c r="G47" s="108">
        <f t="shared" si="7"/>
        <v>42698172.793183208</v>
      </c>
      <c r="H47" s="108">
        <f t="shared" si="7"/>
        <v>42962652.560698397</v>
      </c>
      <c r="I47" s="108">
        <f t="shared" si="7"/>
        <v>34183788.912452102</v>
      </c>
      <c r="J47" s="108">
        <f t="shared" si="7"/>
        <v>42095731.868798621</v>
      </c>
      <c r="K47" s="108">
        <f t="shared" si="7"/>
        <v>37570014.68257805</v>
      </c>
      <c r="L47" s="108">
        <f t="shared" si="7"/>
        <v>29276980.063180346</v>
      </c>
      <c r="M47" s="108">
        <f t="shared" si="7"/>
        <v>38464276.482131489</v>
      </c>
      <c r="N47" s="108">
        <f t="shared" si="7"/>
        <v>39753705.56285809</v>
      </c>
      <c r="O47" s="120">
        <f t="shared" si="7"/>
        <v>26814678.306199364</v>
      </c>
    </row>
    <row r="48" spans="1:15" x14ac:dyDescent="0.2">
      <c r="B48" s="122"/>
      <c r="C48" s="122"/>
      <c r="D48" s="17"/>
      <c r="O48" s="110"/>
    </row>
    <row r="49" spans="2:15" x14ac:dyDescent="0.2">
      <c r="B49" s="136" t="s">
        <v>38</v>
      </c>
      <c r="C49" s="137">
        <f t="shared" ref="C49:O49" si="8">+C21+C29-C47</f>
        <v>19973771.202465933</v>
      </c>
      <c r="D49" s="138">
        <f t="shared" si="8"/>
        <v>19752595.881470561</v>
      </c>
      <c r="E49" s="139">
        <f t="shared" si="8"/>
        <v>16238822.807078324</v>
      </c>
      <c r="F49" s="139">
        <f t="shared" si="8"/>
        <v>24210131.656351011</v>
      </c>
      <c r="G49" s="139">
        <f t="shared" si="8"/>
        <v>19974864.758840889</v>
      </c>
      <c r="H49" s="139">
        <f t="shared" si="8"/>
        <v>17201399.744089641</v>
      </c>
      <c r="I49" s="139">
        <f t="shared" si="8"/>
        <v>24002140.305200726</v>
      </c>
      <c r="J49" s="139">
        <f t="shared" si="8"/>
        <v>21336650.504492857</v>
      </c>
      <c r="K49" s="139">
        <f t="shared" si="8"/>
        <v>15730062.86262352</v>
      </c>
      <c r="L49" s="139">
        <f t="shared" si="8"/>
        <v>24947714.429938909</v>
      </c>
      <c r="M49" s="139">
        <f t="shared" si="8"/>
        <v>20060513.583990186</v>
      </c>
      <c r="N49" s="139">
        <f t="shared" si="8"/>
        <v>17078968.492712423</v>
      </c>
      <c r="O49" s="140">
        <f t="shared" si="8"/>
        <v>20581558.906255744</v>
      </c>
    </row>
    <row r="50" spans="2:15" ht="17" thickBot="1" x14ac:dyDescent="0.25">
      <c r="B50" s="122"/>
      <c r="C50" s="122"/>
      <c r="D50" s="17"/>
      <c r="O50" s="110"/>
    </row>
    <row r="51" spans="2:15" ht="17" thickBot="1" x14ac:dyDescent="0.25">
      <c r="B51" s="135" t="s">
        <v>106</v>
      </c>
      <c r="C51" s="128">
        <f t="shared" ref="C51" si="9">C7+C49</f>
        <v>32006881.202465933</v>
      </c>
      <c r="D51" s="129">
        <f>D7-D9+D49</f>
        <v>31563323.856059499</v>
      </c>
      <c r="E51" s="106">
        <f t="shared" ref="E51:O51" si="10">E7-E9+E49</f>
        <v>27822793.41993333</v>
      </c>
      <c r="F51" s="106">
        <f t="shared" si="10"/>
        <v>35550881.902987778</v>
      </c>
      <c r="G51" s="106">
        <f t="shared" si="10"/>
        <v>31119969.975582294</v>
      </c>
      <c r="H51" s="106">
        <f t="shared" si="10"/>
        <v>28114259.930935681</v>
      </c>
      <c r="I51" s="106">
        <f t="shared" si="10"/>
        <v>34677267.793989964</v>
      </c>
      <c r="J51" s="106">
        <f t="shared" si="10"/>
        <v>31774045.295225292</v>
      </c>
      <c r="K51" s="106">
        <f t="shared" si="10"/>
        <v>25984601.636913504</v>
      </c>
      <c r="L51" s="106">
        <f t="shared" si="10"/>
        <v>34964520.506172091</v>
      </c>
      <c r="M51" s="106">
        <f t="shared" si="10"/>
        <v>29845074.630328003</v>
      </c>
      <c r="N51" s="106">
        <f t="shared" si="10"/>
        <v>26631284.509154875</v>
      </c>
      <c r="O51" s="75">
        <f t="shared" si="10"/>
        <v>29951018.906255744</v>
      </c>
    </row>
    <row r="53" spans="2:15" ht="17" thickBot="1" x14ac:dyDescent="0.25">
      <c r="C53" s="73"/>
    </row>
    <row r="54" spans="2:15" x14ac:dyDescent="0.2">
      <c r="B54" s="13" t="s">
        <v>110</v>
      </c>
      <c r="C54" s="143">
        <v>5000000</v>
      </c>
      <c r="D54" s="144">
        <f>+C54</f>
        <v>5000000</v>
      </c>
      <c r="E54" s="144">
        <f t="shared" ref="E54:O54" si="11">+D54</f>
        <v>5000000</v>
      </c>
      <c r="F54" s="144">
        <f t="shared" si="11"/>
        <v>5000000</v>
      </c>
      <c r="G54" s="144">
        <f t="shared" si="11"/>
        <v>5000000</v>
      </c>
      <c r="H54" s="144">
        <f t="shared" si="11"/>
        <v>5000000</v>
      </c>
      <c r="I54" s="144">
        <f t="shared" si="11"/>
        <v>5000000</v>
      </c>
      <c r="J54" s="144">
        <f t="shared" si="11"/>
        <v>5000000</v>
      </c>
      <c r="K54" s="144">
        <f t="shared" si="11"/>
        <v>5000000</v>
      </c>
      <c r="L54" s="144">
        <f t="shared" si="11"/>
        <v>5000000</v>
      </c>
      <c r="M54" s="144">
        <f t="shared" si="11"/>
        <v>5000000</v>
      </c>
      <c r="N54" s="144">
        <f t="shared" si="11"/>
        <v>5000000</v>
      </c>
      <c r="O54" s="145">
        <f t="shared" si="11"/>
        <v>5000000</v>
      </c>
    </row>
    <row r="55" spans="2:15" x14ac:dyDescent="0.2">
      <c r="B55" s="146" t="s">
        <v>56</v>
      </c>
      <c r="C55" s="123">
        <v>4000000</v>
      </c>
      <c r="D55" s="73">
        <f>+C55+C56</f>
        <v>6000000</v>
      </c>
      <c r="E55" s="73">
        <f>+D55</f>
        <v>6000000</v>
      </c>
      <c r="F55" s="73">
        <f t="shared" ref="F55:O55" si="12">+E55</f>
        <v>6000000</v>
      </c>
      <c r="G55" s="73">
        <f t="shared" si="12"/>
        <v>6000000</v>
      </c>
      <c r="H55" s="73">
        <f t="shared" si="12"/>
        <v>6000000</v>
      </c>
      <c r="I55" s="73">
        <f t="shared" si="12"/>
        <v>6000000</v>
      </c>
      <c r="J55" s="73">
        <f t="shared" si="12"/>
        <v>6000000</v>
      </c>
      <c r="K55" s="73">
        <f t="shared" si="12"/>
        <v>6000000</v>
      </c>
      <c r="L55" s="73">
        <f t="shared" si="12"/>
        <v>6000000</v>
      </c>
      <c r="M55" s="73">
        <f t="shared" si="12"/>
        <v>6000000</v>
      </c>
      <c r="N55" s="73">
        <f t="shared" si="12"/>
        <v>6000000</v>
      </c>
      <c r="O55" s="147">
        <f t="shared" si="12"/>
        <v>6000000</v>
      </c>
    </row>
    <row r="56" spans="2:15" x14ac:dyDescent="0.2">
      <c r="B56" s="146" t="s">
        <v>111</v>
      </c>
      <c r="C56" s="123">
        <v>2000000</v>
      </c>
      <c r="D56" s="73">
        <f>+CE_3_mens!C37</f>
        <v>-120957.41543500859</v>
      </c>
      <c r="E56" s="73">
        <f>D56+CE_3_mens!D37</f>
        <v>78104.647642756405</v>
      </c>
      <c r="F56" s="73">
        <f>E56+CE_3_mens!E37</f>
        <v>721384.63397873403</v>
      </c>
      <c r="G56" s="73">
        <f>F56+CE_3_mens!F37</f>
        <v>1056647.9728254555</v>
      </c>
      <c r="H56" s="73">
        <f>G56+CE_3_mens!G37</f>
        <v>1396034.9258287414</v>
      </c>
      <c r="I56" s="73">
        <f>H56+CE_3_mens!H37</f>
        <v>1904871.8540767017</v>
      </c>
      <c r="J56" s="73">
        <f>I56+CE_3_mens!I37</f>
        <v>2353907.5003493358</v>
      </c>
      <c r="K56" s="73">
        <f>J56+CE_3_mens!J37</f>
        <v>1327963.8402568398</v>
      </c>
      <c r="L56" s="73">
        <f>K56+CE_3_mens!K37</f>
        <v>1800627.0976119603</v>
      </c>
      <c r="M56" s="73">
        <f>L56+CE_3_mens!L37</f>
        <v>2103356.6284314613</v>
      </c>
      <c r="N56" s="73">
        <f>M56+CE_3_mens!M37</f>
        <v>2424016.9928939752</v>
      </c>
      <c r="O56" s="147">
        <f>N56+CE_3_mens!N37</f>
        <v>1402254.7456579695</v>
      </c>
    </row>
    <row r="57" spans="2:15" ht="17" thickBot="1" x14ac:dyDescent="0.25">
      <c r="B57" s="155" t="s">
        <v>112</v>
      </c>
      <c r="C57" s="148">
        <f>SUM(C54:C56)</f>
        <v>11000000</v>
      </c>
      <c r="D57" s="149">
        <f t="shared" ref="D57:O57" si="13">SUM(D54:D56)</f>
        <v>10879042.584564991</v>
      </c>
      <c r="E57" s="149">
        <f t="shared" si="13"/>
        <v>11078104.647642756</v>
      </c>
      <c r="F57" s="149">
        <f t="shared" si="13"/>
        <v>11721384.633978734</v>
      </c>
      <c r="G57" s="149">
        <f t="shared" si="13"/>
        <v>12056647.972825456</v>
      </c>
      <c r="H57" s="149">
        <f t="shared" si="13"/>
        <v>12396034.925828742</v>
      </c>
      <c r="I57" s="149">
        <f t="shared" si="13"/>
        <v>12904871.854076702</v>
      </c>
      <c r="J57" s="149">
        <f t="shared" si="13"/>
        <v>13353907.500349335</v>
      </c>
      <c r="K57" s="149">
        <f t="shared" si="13"/>
        <v>12327963.84025684</v>
      </c>
      <c r="L57" s="149">
        <f t="shared" si="13"/>
        <v>12800627.09761196</v>
      </c>
      <c r="M57" s="149">
        <f t="shared" si="13"/>
        <v>13103356.628431462</v>
      </c>
      <c r="N57" s="149">
        <f t="shared" si="13"/>
        <v>13424016.992893975</v>
      </c>
      <c r="O57" s="150">
        <f t="shared" si="13"/>
        <v>12402254.745657969</v>
      </c>
    </row>
    <row r="58" spans="2:15" x14ac:dyDescent="0.2">
      <c r="B58" s="13"/>
      <c r="C58" s="157"/>
      <c r="D58" s="96"/>
      <c r="E58" s="144"/>
      <c r="F58" s="96"/>
      <c r="G58" s="96"/>
      <c r="H58" s="96"/>
      <c r="I58" s="96"/>
      <c r="J58" s="96"/>
      <c r="K58" s="96"/>
      <c r="L58" s="96"/>
      <c r="M58" s="96"/>
      <c r="N58" s="96"/>
      <c r="O58" s="151"/>
    </row>
    <row r="59" spans="2:15" x14ac:dyDescent="0.2">
      <c r="B59" s="146" t="s">
        <v>61</v>
      </c>
      <c r="C59" s="123">
        <f>'37. Budget dei fin. diretti'!C22</f>
        <v>5320668.3853013292</v>
      </c>
      <c r="D59" s="73">
        <f>'37. Budget dei fin. diretti'!C25</f>
        <v>5188667.7603082526</v>
      </c>
      <c r="E59" s="73">
        <f>'37. Budget dei fin. diretti'!D25</f>
        <v>5056195.6666082526</v>
      </c>
      <c r="F59" s="73">
        <f>'37. Budget dei fin. diretti'!E25</f>
        <v>4923250.3360831263</v>
      </c>
      <c r="G59" s="73">
        <f>'37. Budget dei fin. diretti'!F25</f>
        <v>4789829.9937383486</v>
      </c>
      <c r="H59" s="73">
        <f>'37. Budget dei fin. diretti'!G25</f>
        <v>4655932.8576756483</v>
      </c>
      <c r="I59" s="73">
        <f>'37. Budget dei fin. diretti'!H25</f>
        <v>4521557.1390654715</v>
      </c>
      <c r="J59" s="73">
        <f>'37. Budget dei fin. diretti'!I25</f>
        <v>4386701.0421193363</v>
      </c>
      <c r="K59" s="73">
        <f>'37. Budget dei fin. diretti'!J25</f>
        <v>4251362.7640620722</v>
      </c>
      <c r="L59" s="73">
        <f>'37. Budget dei fin. diretti'!K25</f>
        <v>4203291.731548598</v>
      </c>
      <c r="M59" s="73">
        <f>'37. Budget dei fin. diretti'!L25</f>
        <v>4155100.5214538402</v>
      </c>
      <c r="N59" s="73">
        <f>'37. Budget dei fin. diretti'!M25</f>
        <v>4106788.8333338457</v>
      </c>
      <c r="O59" s="147">
        <f>'37. Budget dei fin. diretti'!N25</f>
        <v>4058356.365993551</v>
      </c>
    </row>
    <row r="60" spans="2:15" x14ac:dyDescent="0.2">
      <c r="B60" s="146" t="s">
        <v>144</v>
      </c>
      <c r="C60" s="123">
        <f>+C51-C57-C59</f>
        <v>15686212.817164604</v>
      </c>
      <c r="D60" s="73">
        <f>+'BUDGET FINANZIARIO'!C46</f>
        <v>15495613.511186255</v>
      </c>
      <c r="E60" s="73">
        <f>+'BUDGET FINANZIARIO'!D46</f>
        <v>11688493.105682321</v>
      </c>
      <c r="F60" s="73">
        <f>+'BUDGET FINANZIARIO'!E46</f>
        <v>18906246.932925921</v>
      </c>
      <c r="G60" s="73">
        <f>+'BUDGET FINANZIARIO'!F46</f>
        <v>14273492.009018477</v>
      </c>
      <c r="H60" s="73">
        <f>+'BUDGET FINANZIARIO'!G46</f>
        <v>11062292.147431284</v>
      </c>
      <c r="I60" s="73">
        <f>+'BUDGET FINANZIARIO'!H46</f>
        <v>17250838.800847784</v>
      </c>
      <c r="J60" s="73">
        <f>+'BUDGET FINANZIARIO'!I46</f>
        <v>14033436.752756611</v>
      </c>
      <c r="K60" s="73">
        <f>+'BUDGET FINANZIARIO'!J46</f>
        <v>9405275.0325945839</v>
      </c>
      <c r="L60" s="73">
        <f>+'BUDGET FINANZIARIO'!K46</f>
        <v>17960601.677011527</v>
      </c>
      <c r="M60" s="73">
        <f>+'BUDGET FINANZIARIO'!L46</f>
        <v>12586617.480442693</v>
      </c>
      <c r="N60" s="73">
        <f>+'BUDGET FINANZIARIO'!M46</f>
        <v>9100478.6829270385</v>
      </c>
      <c r="O60" s="147">
        <f>+'BUDGET FINANZIARIO'!N46</f>
        <v>13490407.794604212</v>
      </c>
    </row>
    <row r="61" spans="2:15" x14ac:dyDescent="0.2">
      <c r="B61" s="156" t="s">
        <v>113</v>
      </c>
      <c r="C61" s="137">
        <f t="shared" ref="C61:O61" si="14">SUM(C59:C60)</f>
        <v>21006881.202465933</v>
      </c>
      <c r="D61" s="139">
        <f t="shared" si="14"/>
        <v>20684281.271494508</v>
      </c>
      <c r="E61" s="139">
        <f t="shared" si="14"/>
        <v>16744688.772290573</v>
      </c>
      <c r="F61" s="139">
        <f t="shared" si="14"/>
        <v>23829497.269009046</v>
      </c>
      <c r="G61" s="139">
        <f t="shared" si="14"/>
        <v>19063322.002756827</v>
      </c>
      <c r="H61" s="139">
        <f t="shared" si="14"/>
        <v>15718225.005106933</v>
      </c>
      <c r="I61" s="139">
        <f t="shared" si="14"/>
        <v>21772395.939913254</v>
      </c>
      <c r="J61" s="139">
        <f t="shared" si="14"/>
        <v>18420137.794875946</v>
      </c>
      <c r="K61" s="139">
        <f t="shared" si="14"/>
        <v>13656637.796656657</v>
      </c>
      <c r="L61" s="139">
        <f t="shared" si="14"/>
        <v>22163893.408560127</v>
      </c>
      <c r="M61" s="139">
        <f t="shared" si="14"/>
        <v>16741718.001896534</v>
      </c>
      <c r="N61" s="139">
        <f t="shared" si="14"/>
        <v>13207267.516260885</v>
      </c>
      <c r="O61" s="140">
        <f t="shared" si="14"/>
        <v>17548764.160597764</v>
      </c>
    </row>
    <row r="62" spans="2:15" ht="17" thickBot="1" x14ac:dyDescent="0.25">
      <c r="B62" s="146"/>
      <c r="C62" s="122"/>
      <c r="O62" s="152"/>
    </row>
    <row r="63" spans="2:15" ht="17" thickBot="1" x14ac:dyDescent="0.25">
      <c r="B63" s="102" t="s">
        <v>114</v>
      </c>
      <c r="C63" s="128">
        <f t="shared" ref="C63:O63" si="15">+C57+C61</f>
        <v>32006881.202465933</v>
      </c>
      <c r="D63" s="153">
        <f t="shared" si="15"/>
        <v>31563323.856059499</v>
      </c>
      <c r="E63" s="153">
        <f t="shared" si="15"/>
        <v>27822793.419933327</v>
      </c>
      <c r="F63" s="153">
        <f t="shared" si="15"/>
        <v>35550881.902987778</v>
      </c>
      <c r="G63" s="153">
        <f t="shared" si="15"/>
        <v>31119969.975582283</v>
      </c>
      <c r="H63" s="153">
        <f t="shared" si="15"/>
        <v>28114259.930935673</v>
      </c>
      <c r="I63" s="153">
        <f t="shared" si="15"/>
        <v>34677267.793989956</v>
      </c>
      <c r="J63" s="153">
        <f t="shared" si="15"/>
        <v>31774045.295225281</v>
      </c>
      <c r="K63" s="153">
        <f t="shared" si="15"/>
        <v>25984601.636913497</v>
      </c>
      <c r="L63" s="153">
        <f t="shared" si="15"/>
        <v>34964520.506172091</v>
      </c>
      <c r="M63" s="153">
        <f t="shared" si="15"/>
        <v>29845074.630327996</v>
      </c>
      <c r="N63" s="153">
        <f t="shared" si="15"/>
        <v>26631284.50915486</v>
      </c>
      <c r="O63" s="154">
        <f t="shared" si="15"/>
        <v>29951018.906255733</v>
      </c>
    </row>
    <row r="65" spans="2:15" x14ac:dyDescent="0.2">
      <c r="B65" s="3" t="s">
        <v>68</v>
      </c>
      <c r="C65" s="73">
        <f t="shared" ref="C65:N65" si="16">+C51-C63</f>
        <v>0</v>
      </c>
      <c r="D65" s="73">
        <f t="shared" si="16"/>
        <v>0</v>
      </c>
      <c r="E65" s="73">
        <f t="shared" si="16"/>
        <v>0</v>
      </c>
      <c r="F65" s="73">
        <f t="shared" si="16"/>
        <v>0</v>
      </c>
      <c r="G65" s="73">
        <f t="shared" si="16"/>
        <v>0</v>
      </c>
      <c r="H65" s="73">
        <f t="shared" si="16"/>
        <v>0</v>
      </c>
      <c r="I65" s="73">
        <f t="shared" si="16"/>
        <v>0</v>
      </c>
      <c r="J65" s="73">
        <f t="shared" si="16"/>
        <v>0</v>
      </c>
      <c r="K65" s="73">
        <f t="shared" si="16"/>
        <v>0</v>
      </c>
      <c r="L65" s="73">
        <f t="shared" si="16"/>
        <v>0</v>
      </c>
      <c r="M65" s="73">
        <f t="shared" si="16"/>
        <v>0</v>
      </c>
      <c r="N65" s="73">
        <f t="shared" si="16"/>
        <v>0</v>
      </c>
      <c r="O65" s="73">
        <f>+O51-O63</f>
        <v>0</v>
      </c>
    </row>
    <row r="66" spans="2:15" x14ac:dyDescent="0.2"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</row>
    <row r="68" spans="2:15" x14ac:dyDescent="0.2">
      <c r="F68" s="73"/>
    </row>
  </sheetData>
  <mergeCells count="1">
    <mergeCell ref="D2:O2"/>
  </mergeCells>
  <phoneticPr fontId="4" type="noConversion"/>
  <conditionalFormatting sqref="D60:O60">
    <cfRule type="cellIs" dxfId="0" priority="1" operator="lessThan">
      <formula>0</formula>
    </cfRule>
  </conditionalFormatting>
  <pageMargins left="0.75" right="0.75" top="1" bottom="1" header="0.5" footer="0.5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 codeName="Foglio6">
    <tabColor indexed="13"/>
  </sheetPr>
  <dimension ref="A2:M14"/>
  <sheetViews>
    <sheetView zoomScale="166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6" t="s">
        <v>63</v>
      </c>
    </row>
    <row r="3" spans="1:13" ht="14" thickBot="1" x14ac:dyDescent="0.2"/>
    <row r="4" spans="1:13" ht="16" x14ac:dyDescent="0.2">
      <c r="A4" s="304" t="s">
        <v>189</v>
      </c>
      <c r="B4" s="305" t="s">
        <v>11</v>
      </c>
      <c r="C4" s="305" t="s">
        <v>12</v>
      </c>
      <c r="D4" s="305" t="s">
        <v>13</v>
      </c>
      <c r="E4" s="305" t="s">
        <v>14</v>
      </c>
      <c r="F4" s="305" t="s">
        <v>15</v>
      </c>
      <c r="G4" s="305" t="s">
        <v>16</v>
      </c>
      <c r="H4" s="305" t="s">
        <v>17</v>
      </c>
      <c r="I4" s="305" t="s">
        <v>18</v>
      </c>
      <c r="J4" s="305" t="s">
        <v>19</v>
      </c>
      <c r="K4" s="305" t="s">
        <v>20</v>
      </c>
      <c r="L4" s="305" t="s">
        <v>21</v>
      </c>
      <c r="M4" s="306" t="s">
        <v>22</v>
      </c>
    </row>
    <row r="5" spans="1:13" ht="16" x14ac:dyDescent="0.2">
      <c r="A5" s="307" t="s">
        <v>166</v>
      </c>
      <c r="B5" s="57">
        <f>+'Tab 2'!$D$14</f>
        <v>180</v>
      </c>
      <c r="C5" s="57">
        <f>+'Tab 2'!$D$14</f>
        <v>180</v>
      </c>
      <c r="D5" s="57">
        <f>+'Tab 2'!$D$14</f>
        <v>180</v>
      </c>
      <c r="E5" s="57">
        <f>+'Tab 2'!$D$14</f>
        <v>180</v>
      </c>
      <c r="F5" s="57">
        <f>+'Tab 2'!$D$14</f>
        <v>180</v>
      </c>
      <c r="G5" s="57">
        <f>+'Tab 2'!$D$14</f>
        <v>180</v>
      </c>
      <c r="H5" s="57">
        <f>+'Tab 2'!$D$14</f>
        <v>180</v>
      </c>
      <c r="I5" s="57">
        <f>+'Tab 2'!$D$14</f>
        <v>180</v>
      </c>
      <c r="J5" s="57">
        <f>+'Tab 2'!$D$14</f>
        <v>180</v>
      </c>
      <c r="K5" s="57">
        <f>+'Tab 2'!$D$14</f>
        <v>180</v>
      </c>
      <c r="L5" s="57">
        <f>+'Tab 2'!$D$14</f>
        <v>180</v>
      </c>
      <c r="M5" s="309">
        <f>+'Tab 2'!$D$14</f>
        <v>180</v>
      </c>
    </row>
    <row r="6" spans="1:13" ht="16" x14ac:dyDescent="0.2">
      <c r="A6" s="307" t="s">
        <v>198</v>
      </c>
      <c r="B6" s="57">
        <f>'Tab 2'!$G$14</f>
        <v>180</v>
      </c>
      <c r="C6" s="57">
        <f>'Tab 2'!$G$14</f>
        <v>180</v>
      </c>
      <c r="D6" s="57">
        <f>'Tab 2'!$G$14</f>
        <v>180</v>
      </c>
      <c r="E6" s="57">
        <f>'Tab 2'!$G$14</f>
        <v>180</v>
      </c>
      <c r="F6" s="57">
        <f>'Tab 2'!$G$14</f>
        <v>180</v>
      </c>
      <c r="G6" s="57">
        <f>'Tab 2'!$G$14</f>
        <v>180</v>
      </c>
      <c r="H6" s="57">
        <f>'Tab 2'!$G$14</f>
        <v>180</v>
      </c>
      <c r="I6" s="57">
        <f>'Tab 2'!$G$14</f>
        <v>180</v>
      </c>
      <c r="J6" s="57">
        <f>'Tab 2'!$G$14</f>
        <v>180</v>
      </c>
      <c r="K6" s="57">
        <f>'Tab 2'!$G$14</f>
        <v>180</v>
      </c>
      <c r="L6" s="57">
        <f>'Tab 2'!$G$14</f>
        <v>180</v>
      </c>
      <c r="M6" s="309">
        <f>'Tab 2'!$G$14</f>
        <v>180</v>
      </c>
    </row>
    <row r="7" spans="1:13" ht="17" thickBot="1" x14ac:dyDescent="0.25">
      <c r="A7" s="308" t="s">
        <v>168</v>
      </c>
      <c r="B7" s="58">
        <f>'Tab 2'!$J$14</f>
        <v>180</v>
      </c>
      <c r="C7" s="58">
        <f>'Tab 2'!$J$14</f>
        <v>180</v>
      </c>
      <c r="D7" s="58">
        <f>'Tab 2'!$J$14</f>
        <v>180</v>
      </c>
      <c r="E7" s="58">
        <f>'Tab 2'!$J$14</f>
        <v>180</v>
      </c>
      <c r="F7" s="58">
        <f>'Tab 2'!$J$14</f>
        <v>180</v>
      </c>
      <c r="G7" s="58">
        <f>'Tab 2'!$J$14</f>
        <v>180</v>
      </c>
      <c r="H7" s="58">
        <f>'Tab 2'!$J$14</f>
        <v>180</v>
      </c>
      <c r="I7" s="58">
        <f>'Tab 2'!$J$14</f>
        <v>180</v>
      </c>
      <c r="J7" s="58">
        <f>'Tab 2'!$J$14</f>
        <v>180</v>
      </c>
      <c r="K7" s="58">
        <f>'Tab 2'!$J$14</f>
        <v>180</v>
      </c>
      <c r="L7" s="58">
        <f>'Tab 2'!$J$14</f>
        <v>180</v>
      </c>
      <c r="M7" s="310">
        <f>'Tab 2'!$J$14</f>
        <v>180</v>
      </c>
    </row>
    <row r="8" spans="1:13" ht="16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7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6" x14ac:dyDescent="0.2">
      <c r="A11" s="304" t="s">
        <v>190</v>
      </c>
      <c r="B11" s="305" t="s">
        <v>11</v>
      </c>
      <c r="C11" s="305" t="s">
        <v>12</v>
      </c>
      <c r="D11" s="305" t="s">
        <v>13</v>
      </c>
      <c r="E11" s="305" t="s">
        <v>14</v>
      </c>
      <c r="F11" s="305" t="s">
        <v>15</v>
      </c>
      <c r="G11" s="305" t="s">
        <v>16</v>
      </c>
      <c r="H11" s="305" t="s">
        <v>17</v>
      </c>
      <c r="I11" s="305" t="s">
        <v>18</v>
      </c>
      <c r="J11" s="305" t="s">
        <v>19</v>
      </c>
      <c r="K11" s="305" t="s">
        <v>20</v>
      </c>
      <c r="L11" s="305" t="s">
        <v>21</v>
      </c>
      <c r="M11" s="306" t="s">
        <v>22</v>
      </c>
    </row>
    <row r="12" spans="1:13" ht="16" x14ac:dyDescent="0.2">
      <c r="A12" s="307" t="s">
        <v>166</v>
      </c>
      <c r="B12" s="57">
        <f>'Tab 2'!$D$15</f>
        <v>500</v>
      </c>
      <c r="C12" s="57">
        <f>'Tab 2'!$D$15</f>
        <v>500</v>
      </c>
      <c r="D12" s="57">
        <f>'Tab 2'!$D$15</f>
        <v>500</v>
      </c>
      <c r="E12" s="57">
        <f>'Tab 2'!$D$15</f>
        <v>500</v>
      </c>
      <c r="F12" s="57">
        <f>'Tab 2'!$D$15</f>
        <v>500</v>
      </c>
      <c r="G12" s="57">
        <f>'Tab 2'!$D$15</f>
        <v>500</v>
      </c>
      <c r="H12" s="57">
        <f>'Tab 2'!$D$15</f>
        <v>500</v>
      </c>
      <c r="I12" s="57">
        <f>'Tab 2'!$D$15</f>
        <v>500</v>
      </c>
      <c r="J12" s="57">
        <f>'Tab 2'!$D$15</f>
        <v>500</v>
      </c>
      <c r="K12" s="57">
        <f>'Tab 2'!$D$15</f>
        <v>500</v>
      </c>
      <c r="L12" s="57">
        <f>'Tab 2'!$D$15</f>
        <v>500</v>
      </c>
      <c r="M12" s="309">
        <f>'Tab 2'!$D$15</f>
        <v>500</v>
      </c>
    </row>
    <row r="13" spans="1:13" ht="16" x14ac:dyDescent="0.2">
      <c r="A13" s="307" t="s">
        <v>198</v>
      </c>
      <c r="B13" s="57">
        <f>'Tab 2'!$G$15</f>
        <v>500</v>
      </c>
      <c r="C13" s="57">
        <f>'Tab 2'!$G$15</f>
        <v>500</v>
      </c>
      <c r="D13" s="57">
        <f>'Tab 2'!$G$15</f>
        <v>500</v>
      </c>
      <c r="E13" s="57">
        <f>'Tab 2'!$G$15</f>
        <v>500</v>
      </c>
      <c r="F13" s="57">
        <f>'Tab 2'!$G$15</f>
        <v>500</v>
      </c>
      <c r="G13" s="57">
        <f>'Tab 2'!$G$15</f>
        <v>500</v>
      </c>
      <c r="H13" s="57">
        <f>'Tab 2'!$G$15</f>
        <v>500</v>
      </c>
      <c r="I13" s="57">
        <f>'Tab 2'!$G$15</f>
        <v>500</v>
      </c>
      <c r="J13" s="57">
        <f>'Tab 2'!$G$15</f>
        <v>500</v>
      </c>
      <c r="K13" s="57">
        <f>'Tab 2'!$G$15</f>
        <v>500</v>
      </c>
      <c r="L13" s="57">
        <f>'Tab 2'!$G$15</f>
        <v>500</v>
      </c>
      <c r="M13" s="309">
        <f>'Tab 2'!$G$15</f>
        <v>500</v>
      </c>
    </row>
    <row r="14" spans="1:13" ht="17" thickBot="1" x14ac:dyDescent="0.25">
      <c r="A14" s="308" t="s">
        <v>168</v>
      </c>
      <c r="B14" s="58">
        <f>'Tab 2'!$J$15</f>
        <v>500</v>
      </c>
      <c r="C14" s="58">
        <f>'Tab 2'!$J$15</f>
        <v>500</v>
      </c>
      <c r="D14" s="58">
        <f>'Tab 2'!$J$15</f>
        <v>500</v>
      </c>
      <c r="E14" s="58">
        <f>'Tab 2'!$J$15</f>
        <v>500</v>
      </c>
      <c r="F14" s="58">
        <f>'Tab 2'!$J$15</f>
        <v>500</v>
      </c>
      <c r="G14" s="58">
        <f>'Tab 2'!$J$15</f>
        <v>500</v>
      </c>
      <c r="H14" s="58">
        <f>'Tab 2'!$J$15</f>
        <v>500</v>
      </c>
      <c r="I14" s="58">
        <f>'Tab 2'!$J$15</f>
        <v>500</v>
      </c>
      <c r="J14" s="58">
        <f>'Tab 2'!$J$15</f>
        <v>500</v>
      </c>
      <c r="K14" s="58">
        <f>'Tab 2'!$J$15</f>
        <v>500</v>
      </c>
      <c r="L14" s="58">
        <f>'Tab 2'!$J$15</f>
        <v>500</v>
      </c>
      <c r="M14" s="310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7">
    <tabColor indexed="13"/>
  </sheetPr>
  <dimension ref="A2:P79"/>
  <sheetViews>
    <sheetView topLeftCell="A37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3" customWidth="1"/>
    <col min="2" max="2" width="11.1640625" style="3" bestFit="1" customWidth="1"/>
    <col min="3" max="13" width="12.83203125" style="3" customWidth="1"/>
    <col min="14" max="14" width="12.6640625" style="3" customWidth="1"/>
    <col min="15" max="15" width="9.1640625" style="3"/>
    <col min="16" max="16" width="12.33203125" style="3" customWidth="1"/>
    <col min="17" max="16384" width="9.1640625" style="3"/>
  </cols>
  <sheetData>
    <row r="2" spans="1:16" ht="17" thickBot="1" x14ac:dyDescent="0.25"/>
    <row r="3" spans="1:16" x14ac:dyDescent="0.2">
      <c r="A3" s="5" t="s">
        <v>207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49" t="s">
        <v>10</v>
      </c>
    </row>
    <row r="4" spans="1:16" x14ac:dyDescent="0.2">
      <c r="A4" s="3" t="s">
        <v>35</v>
      </c>
      <c r="B4" s="50">
        <f>B29+B77+B52</f>
        <v>52287.943518874396</v>
      </c>
      <c r="C4" s="50">
        <f t="shared" ref="C4:M4" si="0">C29+C77+C52</f>
        <v>58097.715020971547</v>
      </c>
      <c r="D4" s="50">
        <f t="shared" si="0"/>
        <v>66812.372274117282</v>
      </c>
      <c r="E4" s="50">
        <f t="shared" si="0"/>
        <v>61002.600772020123</v>
      </c>
      <c r="F4" s="50">
        <f t="shared" si="0"/>
        <v>61002.600772020123</v>
      </c>
      <c r="G4" s="50">
        <f t="shared" si="0"/>
        <v>63907.486523068699</v>
      </c>
      <c r="H4" s="50">
        <f t="shared" si="0"/>
        <v>63907.486523068699</v>
      </c>
      <c r="I4" s="50">
        <f t="shared" si="0"/>
        <v>34858.629012582925</v>
      </c>
      <c r="J4" s="50">
        <f t="shared" si="0"/>
        <v>63907.486523068699</v>
      </c>
      <c r="K4" s="50">
        <f t="shared" si="0"/>
        <v>61002.600772020123</v>
      </c>
      <c r="L4" s="50">
        <f t="shared" si="0"/>
        <v>61002.600772020123</v>
      </c>
      <c r="M4" s="50">
        <f t="shared" si="0"/>
        <v>34858.629012582925</v>
      </c>
      <c r="N4" s="51">
        <f>SUM(B4:M4)</f>
        <v>682648.15149641572</v>
      </c>
    </row>
    <row r="5" spans="1:16" x14ac:dyDescent="0.2">
      <c r="A5" s="3" t="s">
        <v>36</v>
      </c>
      <c r="B5" s="69">
        <f>B6/B4</f>
        <v>179.99999999999997</v>
      </c>
      <c r="C5" s="69">
        <f t="shared" ref="C5:M5" si="1">C6/C4</f>
        <v>180</v>
      </c>
      <c r="D5" s="69">
        <f t="shared" si="1"/>
        <v>179.99999999999997</v>
      </c>
      <c r="E5" s="69">
        <f t="shared" si="1"/>
        <v>180</v>
      </c>
      <c r="F5" s="69">
        <f t="shared" si="1"/>
        <v>180</v>
      </c>
      <c r="G5" s="69">
        <f t="shared" si="1"/>
        <v>180</v>
      </c>
      <c r="H5" s="69">
        <f t="shared" si="1"/>
        <v>180</v>
      </c>
      <c r="I5" s="69">
        <f t="shared" si="1"/>
        <v>180</v>
      </c>
      <c r="J5" s="69">
        <f t="shared" si="1"/>
        <v>180</v>
      </c>
      <c r="K5" s="69">
        <f t="shared" si="1"/>
        <v>180</v>
      </c>
      <c r="L5" s="69">
        <f t="shared" si="1"/>
        <v>180</v>
      </c>
      <c r="M5" s="69">
        <f t="shared" si="1"/>
        <v>180</v>
      </c>
      <c r="N5" s="70">
        <f>N6/N4</f>
        <v>180</v>
      </c>
      <c r="P5" s="3" t="s">
        <v>202</v>
      </c>
    </row>
    <row r="6" spans="1:16" x14ac:dyDescent="0.2">
      <c r="A6" s="12" t="s">
        <v>40</v>
      </c>
      <c r="B6" s="52">
        <f>B31+B79+B54</f>
        <v>9411829.8333973903</v>
      </c>
      <c r="C6" s="52">
        <f t="shared" ref="C6:M6" si="2">C31+C79+C54</f>
        <v>10457588.703774879</v>
      </c>
      <c r="D6" s="52">
        <f t="shared" si="2"/>
        <v>12026227.00934111</v>
      </c>
      <c r="E6" s="52">
        <f t="shared" si="2"/>
        <v>10980468.138963623</v>
      </c>
      <c r="F6" s="52">
        <f t="shared" si="2"/>
        <v>10980468.138963623</v>
      </c>
      <c r="G6" s="52">
        <f t="shared" si="2"/>
        <v>11503347.574152365</v>
      </c>
      <c r="H6" s="52">
        <f t="shared" si="2"/>
        <v>11503347.574152365</v>
      </c>
      <c r="I6" s="52">
        <f t="shared" si="2"/>
        <v>6274553.2222649269</v>
      </c>
      <c r="J6" s="52">
        <f t="shared" si="2"/>
        <v>11503347.574152365</v>
      </c>
      <c r="K6" s="52">
        <f t="shared" si="2"/>
        <v>10980468.138963623</v>
      </c>
      <c r="L6" s="52">
        <f t="shared" si="2"/>
        <v>10980468.138963623</v>
      </c>
      <c r="M6" s="52">
        <f t="shared" si="2"/>
        <v>6274553.2222649269</v>
      </c>
      <c r="N6" s="53">
        <f>SUM(B6:M6)</f>
        <v>122876667.26935484</v>
      </c>
      <c r="P6" s="103">
        <f>+N6-'Tab 3'!AA36</f>
        <v>0</v>
      </c>
    </row>
    <row r="27" spans="1:14" ht="17" thickBot="1" x14ac:dyDescent="0.25"/>
    <row r="28" spans="1:14" x14ac:dyDescent="0.2">
      <c r="A28" s="5" t="s">
        <v>208</v>
      </c>
      <c r="B28" s="5" t="s">
        <v>11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49" t="s">
        <v>10</v>
      </c>
    </row>
    <row r="29" spans="1:14" x14ac:dyDescent="0.2">
      <c r="A29" s="3" t="s">
        <v>35</v>
      </c>
      <c r="B29" s="50">
        <f>QUANTITÀ!B8</f>
        <v>18863.320540150991</v>
      </c>
      <c r="C29" s="50">
        <f>QUANTITÀ!C8</f>
        <v>20959.245044612213</v>
      </c>
      <c r="D29" s="50">
        <f>QUANTITÀ!D8</f>
        <v>24103.131801304044</v>
      </c>
      <c r="E29" s="50">
        <f>QUANTITÀ!E8</f>
        <v>22007.207296842822</v>
      </c>
      <c r="F29" s="50">
        <f>QUANTITÀ!F8</f>
        <v>22007.207296842822</v>
      </c>
      <c r="G29" s="50">
        <f>QUANTITÀ!G8</f>
        <v>23055.169549073435</v>
      </c>
      <c r="H29" s="50">
        <f>QUANTITÀ!H8</f>
        <v>23055.169549073435</v>
      </c>
      <c r="I29" s="50">
        <f>QUANTITÀ!I8</f>
        <v>12575.547026767326</v>
      </c>
      <c r="J29" s="50">
        <f>QUANTITÀ!J8</f>
        <v>23055.169549073435</v>
      </c>
      <c r="K29" s="50">
        <f>QUANTITÀ!K8</f>
        <v>22007.207296842822</v>
      </c>
      <c r="L29" s="50">
        <f>QUANTITÀ!L8</f>
        <v>22007.207296842822</v>
      </c>
      <c r="M29" s="50">
        <f>QUANTITÀ!M8</f>
        <v>12575.547026767326</v>
      </c>
      <c r="N29" s="51">
        <f>SUM(B29:M29)</f>
        <v>246271.12927419355</v>
      </c>
    </row>
    <row r="30" spans="1:14" x14ac:dyDescent="0.2">
      <c r="A30" s="3" t="s">
        <v>36</v>
      </c>
      <c r="B30" s="69">
        <f>PREZZI!B5</f>
        <v>180</v>
      </c>
      <c r="C30" s="69">
        <f>PREZZI!C5</f>
        <v>180</v>
      </c>
      <c r="D30" s="69">
        <f>PREZZI!D5</f>
        <v>180</v>
      </c>
      <c r="E30" s="69">
        <f>PREZZI!E5</f>
        <v>180</v>
      </c>
      <c r="F30" s="69">
        <f>PREZZI!F5</f>
        <v>180</v>
      </c>
      <c r="G30" s="69">
        <f>PREZZI!G5</f>
        <v>180</v>
      </c>
      <c r="H30" s="69">
        <f>PREZZI!H5</f>
        <v>180</v>
      </c>
      <c r="I30" s="69">
        <f>PREZZI!I5</f>
        <v>180</v>
      </c>
      <c r="J30" s="69">
        <f>PREZZI!J5</f>
        <v>180</v>
      </c>
      <c r="K30" s="69">
        <f>PREZZI!K5</f>
        <v>180</v>
      </c>
      <c r="L30" s="69">
        <f>PREZZI!L5</f>
        <v>180</v>
      </c>
      <c r="M30" s="69">
        <f>PREZZI!M5</f>
        <v>180</v>
      </c>
      <c r="N30" s="70">
        <f>(N31)/N29</f>
        <v>180.00000000000003</v>
      </c>
    </row>
    <row r="31" spans="1:14" x14ac:dyDescent="0.2">
      <c r="A31" s="12" t="s">
        <v>40</v>
      </c>
      <c r="B31" s="52">
        <f>B29*B30</f>
        <v>3395397.6972271786</v>
      </c>
      <c r="C31" s="52">
        <f t="shared" ref="C31:M31" si="3">C29*C30</f>
        <v>3772664.1080301981</v>
      </c>
      <c r="D31" s="52">
        <f t="shared" si="3"/>
        <v>4338563.7242347281</v>
      </c>
      <c r="E31" s="52">
        <f t="shared" si="3"/>
        <v>3961297.3134317081</v>
      </c>
      <c r="F31" s="52">
        <f t="shared" si="3"/>
        <v>3961297.3134317081</v>
      </c>
      <c r="G31" s="52">
        <f t="shared" si="3"/>
        <v>4149930.5188332181</v>
      </c>
      <c r="H31" s="52">
        <f t="shared" si="3"/>
        <v>4149930.5188332181</v>
      </c>
      <c r="I31" s="52">
        <f t="shared" si="3"/>
        <v>2263598.4648181186</v>
      </c>
      <c r="J31" s="52">
        <f t="shared" si="3"/>
        <v>4149930.5188332181</v>
      </c>
      <c r="K31" s="52">
        <f t="shared" si="3"/>
        <v>3961297.3134317081</v>
      </c>
      <c r="L31" s="52">
        <f t="shared" si="3"/>
        <v>3961297.3134317081</v>
      </c>
      <c r="M31" s="52">
        <f t="shared" si="3"/>
        <v>2263598.4648181186</v>
      </c>
      <c r="N31" s="53">
        <f>SUM(B31:M31)</f>
        <v>44328803.269354843</v>
      </c>
    </row>
    <row r="50" spans="1:14" ht="17" thickBot="1" x14ac:dyDescent="0.25"/>
    <row r="51" spans="1:14" x14ac:dyDescent="0.2">
      <c r="A51" s="5" t="s">
        <v>209</v>
      </c>
      <c r="B51" s="5" t="s">
        <v>11</v>
      </c>
      <c r="C51" s="5" t="s">
        <v>12</v>
      </c>
      <c r="D51" s="5" t="s">
        <v>13</v>
      </c>
      <c r="E51" s="5" t="s">
        <v>14</v>
      </c>
      <c r="F51" s="5" t="s">
        <v>15</v>
      </c>
      <c r="G51" s="5" t="s">
        <v>16</v>
      </c>
      <c r="H51" s="5" t="s">
        <v>17</v>
      </c>
      <c r="I51" s="5" t="s">
        <v>18</v>
      </c>
      <c r="J51" s="5" t="s">
        <v>19</v>
      </c>
      <c r="K51" s="5" t="s">
        <v>20</v>
      </c>
      <c r="L51" s="5" t="s">
        <v>21</v>
      </c>
      <c r="M51" s="5" t="s">
        <v>22</v>
      </c>
      <c r="N51" s="49" t="s">
        <v>10</v>
      </c>
    </row>
    <row r="52" spans="1:14" x14ac:dyDescent="0.2">
      <c r="A52" s="3" t="s">
        <v>35</v>
      </c>
      <c r="B52" s="50">
        <f>+QUANTITÀ!B9</f>
        <v>33131.005957446803</v>
      </c>
      <c r="C52" s="50">
        <f>+QUANTITÀ!C9</f>
        <v>36812.228841607561</v>
      </c>
      <c r="D52" s="50">
        <f>+QUANTITÀ!D9</f>
        <v>42334.063167848697</v>
      </c>
      <c r="E52" s="50">
        <f>+QUANTITÀ!E9</f>
        <v>38652.84028368794</v>
      </c>
      <c r="F52" s="50">
        <f>+QUANTITÀ!F9</f>
        <v>38652.84028368794</v>
      </c>
      <c r="G52" s="50">
        <f>+QUANTITÀ!G9</f>
        <v>40493.451725768318</v>
      </c>
      <c r="H52" s="50">
        <f>+QUANTITÀ!H9</f>
        <v>40493.451725768318</v>
      </c>
      <c r="I52" s="50">
        <f>+QUANTITÀ!I9</f>
        <v>22087.337304964538</v>
      </c>
      <c r="J52" s="50">
        <f>+QUANTITÀ!J9</f>
        <v>40493.451725768318</v>
      </c>
      <c r="K52" s="50">
        <f>+QUANTITÀ!K9</f>
        <v>38652.84028368794</v>
      </c>
      <c r="L52" s="50">
        <f>+QUANTITÀ!L9</f>
        <v>38652.84028368794</v>
      </c>
      <c r="M52" s="50">
        <f>+QUANTITÀ!M9</f>
        <v>22087.337304964538</v>
      </c>
      <c r="N52" s="51">
        <f>SUM(B52:M52)</f>
        <v>432543.68888888886</v>
      </c>
    </row>
    <row r="53" spans="1:14" x14ac:dyDescent="0.2">
      <c r="A53" s="3" t="s">
        <v>36</v>
      </c>
      <c r="B53" s="69">
        <f>+PREZZI!B6</f>
        <v>180</v>
      </c>
      <c r="C53" s="69">
        <f>+PREZZI!C6</f>
        <v>180</v>
      </c>
      <c r="D53" s="69">
        <f>+PREZZI!D6</f>
        <v>180</v>
      </c>
      <c r="E53" s="69">
        <f>+PREZZI!E6</f>
        <v>180</v>
      </c>
      <c r="F53" s="69">
        <f>+PREZZI!F6</f>
        <v>180</v>
      </c>
      <c r="G53" s="69">
        <f>+PREZZI!G6</f>
        <v>180</v>
      </c>
      <c r="H53" s="69">
        <f>+PREZZI!H6</f>
        <v>180</v>
      </c>
      <c r="I53" s="69">
        <f>+PREZZI!I6</f>
        <v>180</v>
      </c>
      <c r="J53" s="69">
        <f>+PREZZI!J6</f>
        <v>180</v>
      </c>
      <c r="K53" s="69">
        <f>+PREZZI!K6</f>
        <v>180</v>
      </c>
      <c r="L53" s="69">
        <f>+PREZZI!L6</f>
        <v>180</v>
      </c>
      <c r="M53" s="69">
        <f>+PREZZI!M6</f>
        <v>180</v>
      </c>
      <c r="N53" s="70">
        <f>(N54)/N52</f>
        <v>180</v>
      </c>
    </row>
    <row r="54" spans="1:14" x14ac:dyDescent="0.2">
      <c r="A54" s="12" t="s">
        <v>40</v>
      </c>
      <c r="B54" s="52">
        <f>B52*B53</f>
        <v>5963581.0723404242</v>
      </c>
      <c r="C54" s="52">
        <f t="shared" ref="C54:M54" si="4">C52*C53</f>
        <v>6626201.1914893612</v>
      </c>
      <c r="D54" s="52">
        <f t="shared" si="4"/>
        <v>7620131.3702127654</v>
      </c>
      <c r="E54" s="52">
        <f t="shared" si="4"/>
        <v>6957511.2510638293</v>
      </c>
      <c r="F54" s="52">
        <f t="shared" si="4"/>
        <v>6957511.2510638293</v>
      </c>
      <c r="G54" s="52">
        <f t="shared" si="4"/>
        <v>7288821.3106382973</v>
      </c>
      <c r="H54" s="52">
        <f t="shared" si="4"/>
        <v>7288821.3106382973</v>
      </c>
      <c r="I54" s="52">
        <f t="shared" si="4"/>
        <v>3975720.7148936167</v>
      </c>
      <c r="J54" s="52">
        <f t="shared" si="4"/>
        <v>7288821.3106382973</v>
      </c>
      <c r="K54" s="52">
        <f t="shared" si="4"/>
        <v>6957511.2510638293</v>
      </c>
      <c r="L54" s="52">
        <f t="shared" si="4"/>
        <v>6957511.2510638293</v>
      </c>
      <c r="M54" s="52">
        <f t="shared" si="4"/>
        <v>3975720.7148936167</v>
      </c>
      <c r="N54" s="53">
        <f>SUM(B54:M54)</f>
        <v>77857864</v>
      </c>
    </row>
    <row r="75" spans="1:14" ht="17" thickBot="1" x14ac:dyDescent="0.25"/>
    <row r="76" spans="1:14" x14ac:dyDescent="0.2">
      <c r="A76" s="5" t="s">
        <v>210</v>
      </c>
      <c r="B76" s="5" t="s">
        <v>11</v>
      </c>
      <c r="C76" s="5" t="s">
        <v>12</v>
      </c>
      <c r="D76" s="5" t="s">
        <v>13</v>
      </c>
      <c r="E76" s="5" t="s">
        <v>14</v>
      </c>
      <c r="F76" s="5" t="s">
        <v>15</v>
      </c>
      <c r="G76" s="5" t="s">
        <v>16</v>
      </c>
      <c r="H76" s="5" t="s">
        <v>17</v>
      </c>
      <c r="I76" s="5" t="s">
        <v>18</v>
      </c>
      <c r="J76" s="5" t="s">
        <v>19</v>
      </c>
      <c r="K76" s="5" t="s">
        <v>20</v>
      </c>
      <c r="L76" s="5" t="s">
        <v>21</v>
      </c>
      <c r="M76" s="5" t="s">
        <v>22</v>
      </c>
      <c r="N76" s="49" t="s">
        <v>10</v>
      </c>
    </row>
    <row r="77" spans="1:14" x14ac:dyDescent="0.2">
      <c r="A77" s="3" t="s">
        <v>35</v>
      </c>
      <c r="B77" s="50">
        <f>QUANTITÀ!B10</f>
        <v>293.61702127659601</v>
      </c>
      <c r="C77" s="50">
        <f>QUANTITÀ!C10</f>
        <v>326.2411347517733</v>
      </c>
      <c r="D77" s="50">
        <f>QUANTITÀ!D10</f>
        <v>375.1773049645393</v>
      </c>
      <c r="E77" s="50">
        <f>QUANTITÀ!E10</f>
        <v>342.55319148936201</v>
      </c>
      <c r="F77" s="50">
        <f>QUANTITÀ!F10</f>
        <v>342.55319148936201</v>
      </c>
      <c r="G77" s="50">
        <f>QUANTITÀ!G10</f>
        <v>358.86524822695065</v>
      </c>
      <c r="H77" s="50">
        <f>QUANTITÀ!H10</f>
        <v>358.86524822695065</v>
      </c>
      <c r="I77" s="50">
        <f>QUANTITÀ!I10</f>
        <v>195.744680851064</v>
      </c>
      <c r="J77" s="50">
        <f>QUANTITÀ!J10</f>
        <v>358.86524822695065</v>
      </c>
      <c r="K77" s="50">
        <f>QUANTITÀ!K10</f>
        <v>342.55319148936201</v>
      </c>
      <c r="L77" s="50">
        <f>QUANTITÀ!L10</f>
        <v>342.55319148936201</v>
      </c>
      <c r="M77" s="50">
        <f>QUANTITÀ!M10</f>
        <v>195.744680851064</v>
      </c>
      <c r="N77" s="51">
        <f>SUM(B77:M77)</f>
        <v>3833.3333333333367</v>
      </c>
    </row>
    <row r="78" spans="1:14" x14ac:dyDescent="0.2">
      <c r="A78" s="3" t="s">
        <v>36</v>
      </c>
      <c r="B78" s="69">
        <f>PREZZI!B7</f>
        <v>180</v>
      </c>
      <c r="C78" s="69">
        <f>PREZZI!C7</f>
        <v>180</v>
      </c>
      <c r="D78" s="69">
        <f>PREZZI!D7</f>
        <v>180</v>
      </c>
      <c r="E78" s="69">
        <f>PREZZI!E7</f>
        <v>180</v>
      </c>
      <c r="F78" s="69">
        <f>PREZZI!F7</f>
        <v>180</v>
      </c>
      <c r="G78" s="69">
        <f>PREZZI!G7</f>
        <v>180</v>
      </c>
      <c r="H78" s="69">
        <f>PREZZI!H7</f>
        <v>180</v>
      </c>
      <c r="I78" s="69">
        <f>PREZZI!I7</f>
        <v>180</v>
      </c>
      <c r="J78" s="69">
        <f>PREZZI!J7</f>
        <v>180</v>
      </c>
      <c r="K78" s="69">
        <f>PREZZI!K7</f>
        <v>180</v>
      </c>
      <c r="L78" s="69">
        <f>PREZZI!L7</f>
        <v>180</v>
      </c>
      <c r="M78" s="69">
        <f>PREZZI!M7</f>
        <v>180</v>
      </c>
      <c r="N78" s="70">
        <f>(N79*1000)/N77</f>
        <v>180000.00000000003</v>
      </c>
    </row>
    <row r="79" spans="1:14" x14ac:dyDescent="0.2">
      <c r="A79" s="12" t="s">
        <v>40</v>
      </c>
      <c r="B79" s="52">
        <f>B77*B78</f>
        <v>52851.063829787279</v>
      </c>
      <c r="C79" s="52">
        <f t="shared" ref="C79:M79" si="5">C77*C78</f>
        <v>58723.404255319198</v>
      </c>
      <c r="D79" s="52">
        <f t="shared" si="5"/>
        <v>67531.914893617068</v>
      </c>
      <c r="E79" s="52">
        <f t="shared" si="5"/>
        <v>61659.574468085164</v>
      </c>
      <c r="F79" s="52">
        <f t="shared" si="5"/>
        <v>61659.574468085164</v>
      </c>
      <c r="G79" s="52">
        <f t="shared" si="5"/>
        <v>64595.744680851116</v>
      </c>
      <c r="H79" s="52">
        <f t="shared" si="5"/>
        <v>64595.744680851116</v>
      </c>
      <c r="I79" s="52">
        <f t="shared" si="5"/>
        <v>35234.042553191524</v>
      </c>
      <c r="J79" s="52">
        <f t="shared" si="5"/>
        <v>64595.744680851116</v>
      </c>
      <c r="K79" s="52">
        <f t="shared" si="5"/>
        <v>61659.574468085164</v>
      </c>
      <c r="L79" s="52">
        <f t="shared" si="5"/>
        <v>61659.574468085164</v>
      </c>
      <c r="M79" s="52">
        <f t="shared" si="5"/>
        <v>35234.042553191524</v>
      </c>
      <c r="N79" s="53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>
    <tabColor indexed="13"/>
  </sheetPr>
  <dimension ref="A2:P84"/>
  <sheetViews>
    <sheetView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6" bestFit="1" customWidth="1"/>
    <col min="2" max="5" width="11.5" style="3" bestFit="1" customWidth="1"/>
    <col min="6" max="13" width="10.5" style="3" bestFit="1" customWidth="1"/>
    <col min="14" max="14" width="13.5" style="3" bestFit="1" customWidth="1"/>
    <col min="15" max="16384" width="9.1640625" style="3"/>
  </cols>
  <sheetData>
    <row r="2" spans="1:16" ht="17" thickBot="1" x14ac:dyDescent="0.25"/>
    <row r="3" spans="1:16" x14ac:dyDescent="0.2">
      <c r="A3" s="304" t="s">
        <v>203</v>
      </c>
      <c r="B3" s="305" t="s">
        <v>11</v>
      </c>
      <c r="C3" s="305" t="s">
        <v>12</v>
      </c>
      <c r="D3" s="305" t="s">
        <v>13</v>
      </c>
      <c r="E3" s="305" t="s">
        <v>14</v>
      </c>
      <c r="F3" s="305" t="s">
        <v>15</v>
      </c>
      <c r="G3" s="305" t="s">
        <v>16</v>
      </c>
      <c r="H3" s="305" t="s">
        <v>17</v>
      </c>
      <c r="I3" s="305" t="s">
        <v>18</v>
      </c>
      <c r="J3" s="305" t="s">
        <v>19</v>
      </c>
      <c r="K3" s="305" t="s">
        <v>20</v>
      </c>
      <c r="L3" s="305" t="s">
        <v>21</v>
      </c>
      <c r="M3" s="305" t="s">
        <v>22</v>
      </c>
      <c r="N3" s="311" t="s">
        <v>10</v>
      </c>
    </row>
    <row r="4" spans="1:16" x14ac:dyDescent="0.2">
      <c r="A4" s="307" t="s">
        <v>35</v>
      </c>
      <c r="B4" s="50">
        <f t="shared" ref="B4:M4" si="0">B29+B54+B79</f>
        <v>3206.7160833768021</v>
      </c>
      <c r="C4" s="50">
        <f t="shared" si="0"/>
        <v>3563.0178704186692</v>
      </c>
      <c r="D4" s="50">
        <f t="shared" si="0"/>
        <v>4097.4705509814694</v>
      </c>
      <c r="E4" s="50">
        <f t="shared" si="0"/>
        <v>3741.1687639396023</v>
      </c>
      <c r="F4" s="50">
        <f t="shared" si="0"/>
        <v>3741.1687639396023</v>
      </c>
      <c r="G4" s="50">
        <f t="shared" si="0"/>
        <v>3919.3196574605354</v>
      </c>
      <c r="H4" s="50">
        <f t="shared" si="0"/>
        <v>3919.3196574605354</v>
      </c>
      <c r="I4" s="50">
        <f t="shared" si="0"/>
        <v>2137.8107222512012</v>
      </c>
      <c r="J4" s="50">
        <f t="shared" si="0"/>
        <v>3919.3196574605354</v>
      </c>
      <c r="K4" s="50">
        <f t="shared" si="0"/>
        <v>3741.1687639396023</v>
      </c>
      <c r="L4" s="50">
        <f t="shared" si="0"/>
        <v>3741.1687639396023</v>
      </c>
      <c r="M4" s="50">
        <f t="shared" si="0"/>
        <v>2137.8107222512012</v>
      </c>
      <c r="N4" s="312">
        <f>SUM(B4:M4)</f>
        <v>41865.459977419363</v>
      </c>
    </row>
    <row r="5" spans="1:16" x14ac:dyDescent="0.2">
      <c r="A5" s="307" t="s">
        <v>36</v>
      </c>
      <c r="B5" s="59">
        <f>B6/B4</f>
        <v>500</v>
      </c>
      <c r="C5" s="59">
        <f t="shared" ref="C5:M5" si="1">C6/C4</f>
        <v>499.99999999999994</v>
      </c>
      <c r="D5" s="59">
        <f t="shared" si="1"/>
        <v>500</v>
      </c>
      <c r="E5" s="59">
        <f t="shared" si="1"/>
        <v>500</v>
      </c>
      <c r="F5" s="59">
        <f t="shared" si="1"/>
        <v>500</v>
      </c>
      <c r="G5" s="59">
        <f t="shared" si="1"/>
        <v>499.99999999999994</v>
      </c>
      <c r="H5" s="59">
        <f t="shared" si="1"/>
        <v>499.99999999999994</v>
      </c>
      <c r="I5" s="59">
        <f t="shared" si="1"/>
        <v>499.99999999999994</v>
      </c>
      <c r="J5" s="59">
        <f t="shared" si="1"/>
        <v>499.99999999999994</v>
      </c>
      <c r="K5" s="59">
        <f t="shared" si="1"/>
        <v>500</v>
      </c>
      <c r="L5" s="59">
        <f t="shared" si="1"/>
        <v>500</v>
      </c>
      <c r="M5" s="59">
        <f t="shared" si="1"/>
        <v>499.99999999999994</v>
      </c>
      <c r="N5" s="313">
        <f>N6/N4</f>
        <v>499.99999999999989</v>
      </c>
      <c r="P5" s="3" t="s">
        <v>202</v>
      </c>
    </row>
    <row r="6" spans="1:16" ht="17" thickBot="1" x14ac:dyDescent="0.25">
      <c r="A6" s="37" t="s">
        <v>40</v>
      </c>
      <c r="B6" s="314">
        <f t="shared" ref="B6:M6" si="2">B31+B56+B81</f>
        <v>1603358.041688401</v>
      </c>
      <c r="C6" s="314">
        <f t="shared" si="2"/>
        <v>1781508.9352093344</v>
      </c>
      <c r="D6" s="314">
        <f t="shared" si="2"/>
        <v>2048735.2754907347</v>
      </c>
      <c r="E6" s="314">
        <f t="shared" si="2"/>
        <v>1870584.3819698012</v>
      </c>
      <c r="F6" s="314">
        <f t="shared" si="2"/>
        <v>1870584.3819698012</v>
      </c>
      <c r="G6" s="314">
        <f t="shared" si="2"/>
        <v>1959659.8287302675</v>
      </c>
      <c r="H6" s="314">
        <f t="shared" si="2"/>
        <v>1959659.8287302675</v>
      </c>
      <c r="I6" s="314">
        <f t="shared" si="2"/>
        <v>1068905.3611256005</v>
      </c>
      <c r="J6" s="314">
        <f t="shared" si="2"/>
        <v>1959659.8287302675</v>
      </c>
      <c r="K6" s="314">
        <f t="shared" si="2"/>
        <v>1870584.3819698012</v>
      </c>
      <c r="L6" s="314">
        <f t="shared" si="2"/>
        <v>1870584.3819698012</v>
      </c>
      <c r="M6" s="314">
        <f t="shared" si="2"/>
        <v>1068905.3611256005</v>
      </c>
      <c r="N6" s="315">
        <f>SUM(B6:M6)</f>
        <v>20932729.988709677</v>
      </c>
      <c r="P6" s="103">
        <f>+N6-'Tab 3'!AA42</f>
        <v>0</v>
      </c>
    </row>
    <row r="25" spans="1:14" ht="17" thickBot="1" x14ac:dyDescent="0.25">
      <c r="A25" s="7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1:14" ht="17" thickTop="1" x14ac:dyDescent="0.2"/>
    <row r="27" spans="1:14" ht="17" thickBot="1" x14ac:dyDescent="0.25"/>
    <row r="28" spans="1:14" x14ac:dyDescent="0.2">
      <c r="A28" s="304" t="s">
        <v>204</v>
      </c>
      <c r="B28" s="305" t="s">
        <v>11</v>
      </c>
      <c r="C28" s="305" t="s">
        <v>12</v>
      </c>
      <c r="D28" s="305" t="s">
        <v>13</v>
      </c>
      <c r="E28" s="305" t="s">
        <v>14</v>
      </c>
      <c r="F28" s="305" t="s">
        <v>15</v>
      </c>
      <c r="G28" s="305" t="s">
        <v>16</v>
      </c>
      <c r="H28" s="305" t="s">
        <v>17</v>
      </c>
      <c r="I28" s="305" t="s">
        <v>18</v>
      </c>
      <c r="J28" s="305" t="s">
        <v>19</v>
      </c>
      <c r="K28" s="305" t="s">
        <v>20</v>
      </c>
      <c r="L28" s="305" t="s">
        <v>21</v>
      </c>
      <c r="M28" s="305" t="s">
        <v>22</v>
      </c>
      <c r="N28" s="311" t="s">
        <v>10</v>
      </c>
    </row>
    <row r="29" spans="1:14" x14ac:dyDescent="0.2">
      <c r="A29" s="307" t="s">
        <v>35</v>
      </c>
      <c r="B29" s="50">
        <f>QUANTITÀ!B15</f>
        <v>1198.375657844887</v>
      </c>
      <c r="C29" s="50">
        <f>QUANTITÀ!C15</f>
        <v>1331.528508716541</v>
      </c>
      <c r="D29" s="50">
        <f>QUANTITÀ!D15</f>
        <v>1531.257785024022</v>
      </c>
      <c r="E29" s="50">
        <f>QUANTITÀ!E15</f>
        <v>1398.1049341523681</v>
      </c>
      <c r="F29" s="50">
        <f>QUANTITÀ!F15</f>
        <v>1398.1049341523681</v>
      </c>
      <c r="G29" s="50">
        <f>QUANTITÀ!G15</f>
        <v>1464.6813595881949</v>
      </c>
      <c r="H29" s="50">
        <f>QUANTITÀ!H15</f>
        <v>1464.6813595881949</v>
      </c>
      <c r="I29" s="50">
        <f>QUANTITÀ!I15</f>
        <v>798.91710522992457</v>
      </c>
      <c r="J29" s="50">
        <f>QUANTITÀ!J15</f>
        <v>1464.6813595881949</v>
      </c>
      <c r="K29" s="50">
        <f>QUANTITÀ!K15</f>
        <v>1398.1049341523681</v>
      </c>
      <c r="L29" s="50">
        <f>QUANTITÀ!L15</f>
        <v>1398.1049341523681</v>
      </c>
      <c r="M29" s="50">
        <f>QUANTITÀ!M15</f>
        <v>798.91710522992457</v>
      </c>
      <c r="N29" s="312">
        <f>SUM(B29:M29)</f>
        <v>15645.459977419356</v>
      </c>
    </row>
    <row r="30" spans="1:14" x14ac:dyDescent="0.2">
      <c r="A30" s="307" t="s">
        <v>36</v>
      </c>
      <c r="B30" s="59">
        <f>PREZZI!B12</f>
        <v>500</v>
      </c>
      <c r="C30" s="59">
        <f>PREZZI!C12</f>
        <v>500</v>
      </c>
      <c r="D30" s="59">
        <f>PREZZI!D12</f>
        <v>500</v>
      </c>
      <c r="E30" s="59">
        <f>PREZZI!E12</f>
        <v>500</v>
      </c>
      <c r="F30" s="59">
        <f>PREZZI!F12</f>
        <v>500</v>
      </c>
      <c r="G30" s="59">
        <f>PREZZI!G12</f>
        <v>500</v>
      </c>
      <c r="H30" s="59">
        <f>PREZZI!H12</f>
        <v>500</v>
      </c>
      <c r="I30" s="59">
        <f>PREZZI!I12</f>
        <v>500</v>
      </c>
      <c r="J30" s="59">
        <f>PREZZI!J12</f>
        <v>500</v>
      </c>
      <c r="K30" s="59">
        <f>PREZZI!K12</f>
        <v>500</v>
      </c>
      <c r="L30" s="59">
        <f>PREZZI!L12</f>
        <v>500</v>
      </c>
      <c r="M30" s="59">
        <f>PREZZI!M12</f>
        <v>500</v>
      </c>
      <c r="N30" s="313">
        <f>N31/N29</f>
        <v>500.00000000000006</v>
      </c>
    </row>
    <row r="31" spans="1:14" ht="17" thickBot="1" x14ac:dyDescent="0.25">
      <c r="A31" s="37" t="s">
        <v>40</v>
      </c>
      <c r="B31" s="314">
        <f>B29*B30</f>
        <v>599187.82892244344</v>
      </c>
      <c r="C31" s="314">
        <f t="shared" ref="C31:M31" si="3">C29*C30</f>
        <v>665764.25435827044</v>
      </c>
      <c r="D31" s="314">
        <f t="shared" si="3"/>
        <v>765628.89251201099</v>
      </c>
      <c r="E31" s="314">
        <f t="shared" si="3"/>
        <v>699052.467076184</v>
      </c>
      <c r="F31" s="314">
        <f t="shared" si="3"/>
        <v>699052.467076184</v>
      </c>
      <c r="G31" s="314">
        <f t="shared" si="3"/>
        <v>732340.67979409744</v>
      </c>
      <c r="H31" s="314">
        <f t="shared" si="3"/>
        <v>732340.67979409744</v>
      </c>
      <c r="I31" s="314">
        <f t="shared" si="3"/>
        <v>399458.55261496227</v>
      </c>
      <c r="J31" s="314">
        <f t="shared" si="3"/>
        <v>732340.67979409744</v>
      </c>
      <c r="K31" s="314">
        <f t="shared" si="3"/>
        <v>699052.467076184</v>
      </c>
      <c r="L31" s="314">
        <f t="shared" si="3"/>
        <v>699052.467076184</v>
      </c>
      <c r="M31" s="314">
        <f t="shared" si="3"/>
        <v>399458.55261496227</v>
      </c>
      <c r="N31" s="315">
        <f>SUM(B31:M31)</f>
        <v>7822729.9887096789</v>
      </c>
    </row>
    <row r="52" spans="1:14" ht="17" thickBot="1" x14ac:dyDescent="0.25"/>
    <row r="53" spans="1:14" x14ac:dyDescent="0.2">
      <c r="A53" s="304" t="s">
        <v>205</v>
      </c>
      <c r="B53" s="305" t="s">
        <v>11</v>
      </c>
      <c r="C53" s="305" t="s">
        <v>12</v>
      </c>
      <c r="D53" s="305" t="s">
        <v>13</v>
      </c>
      <c r="E53" s="305" t="s">
        <v>14</v>
      </c>
      <c r="F53" s="305" t="s">
        <v>15</v>
      </c>
      <c r="G53" s="305" t="s">
        <v>16</v>
      </c>
      <c r="H53" s="305" t="s">
        <v>17</v>
      </c>
      <c r="I53" s="305" t="s">
        <v>18</v>
      </c>
      <c r="J53" s="305" t="s">
        <v>19</v>
      </c>
      <c r="K53" s="305" t="s">
        <v>20</v>
      </c>
      <c r="L53" s="305" t="s">
        <v>21</v>
      </c>
      <c r="M53" s="305" t="s">
        <v>22</v>
      </c>
      <c r="N53" s="311" t="s">
        <v>10</v>
      </c>
    </row>
    <row r="54" spans="1:14" x14ac:dyDescent="0.2">
      <c r="A54" s="307" t="s">
        <v>35</v>
      </c>
      <c r="B54" s="50">
        <f>QUANTITÀ!B16</f>
        <v>0</v>
      </c>
      <c r="C54" s="50">
        <f>QUANTITÀ!C16</f>
        <v>0</v>
      </c>
      <c r="D54" s="50">
        <f>QUANTITÀ!D16</f>
        <v>0</v>
      </c>
      <c r="E54" s="50">
        <f>QUANTITÀ!E16</f>
        <v>0</v>
      </c>
      <c r="F54" s="50">
        <f>QUANTITÀ!F16</f>
        <v>0</v>
      </c>
      <c r="G54" s="50">
        <f>QUANTITÀ!G16</f>
        <v>0</v>
      </c>
      <c r="H54" s="50">
        <f>QUANTITÀ!H16</f>
        <v>0</v>
      </c>
      <c r="I54" s="50">
        <f>QUANTITÀ!I16</f>
        <v>0</v>
      </c>
      <c r="J54" s="50">
        <f>QUANTITÀ!J16</f>
        <v>0</v>
      </c>
      <c r="K54" s="50">
        <f>QUANTITÀ!K16</f>
        <v>0</v>
      </c>
      <c r="L54" s="50">
        <f>QUANTITÀ!L16</f>
        <v>0</v>
      </c>
      <c r="M54" s="50">
        <f>QUANTITÀ!M16</f>
        <v>0</v>
      </c>
      <c r="N54" s="312">
        <f>SUM(B54:M54)</f>
        <v>0</v>
      </c>
    </row>
    <row r="55" spans="1:14" x14ac:dyDescent="0.2">
      <c r="A55" s="307" t="s">
        <v>36</v>
      </c>
      <c r="B55" s="59">
        <f>PREZZI!B13</f>
        <v>500</v>
      </c>
      <c r="C55" s="59">
        <f>PREZZI!C13</f>
        <v>500</v>
      </c>
      <c r="D55" s="59">
        <f>PREZZI!D13</f>
        <v>500</v>
      </c>
      <c r="E55" s="59">
        <f>PREZZI!E13</f>
        <v>500</v>
      </c>
      <c r="F55" s="59">
        <f>PREZZI!F13</f>
        <v>500</v>
      </c>
      <c r="G55" s="59">
        <f>PREZZI!G13</f>
        <v>500</v>
      </c>
      <c r="H55" s="59">
        <f>PREZZI!H13</f>
        <v>500</v>
      </c>
      <c r="I55" s="59">
        <f>PREZZI!I13</f>
        <v>500</v>
      </c>
      <c r="J55" s="59">
        <f>PREZZI!J13</f>
        <v>500</v>
      </c>
      <c r="K55" s="59">
        <f>PREZZI!K13</f>
        <v>500</v>
      </c>
      <c r="L55" s="59">
        <f>PREZZI!L13</f>
        <v>500</v>
      </c>
      <c r="M55" s="59">
        <f>PREZZI!M13</f>
        <v>500</v>
      </c>
      <c r="N55" s="313">
        <f>IFERROR(N56/N54,0)</f>
        <v>0</v>
      </c>
    </row>
    <row r="56" spans="1:14" ht="17" thickBot="1" x14ac:dyDescent="0.25">
      <c r="A56" s="37" t="s">
        <v>40</v>
      </c>
      <c r="B56" s="314">
        <f>B54*B55</f>
        <v>0</v>
      </c>
      <c r="C56" s="314">
        <f t="shared" ref="C56:M56" si="4">C54*C55</f>
        <v>0</v>
      </c>
      <c r="D56" s="314">
        <f t="shared" si="4"/>
        <v>0</v>
      </c>
      <c r="E56" s="314">
        <f t="shared" si="4"/>
        <v>0</v>
      </c>
      <c r="F56" s="314">
        <f t="shared" si="4"/>
        <v>0</v>
      </c>
      <c r="G56" s="314">
        <f t="shared" si="4"/>
        <v>0</v>
      </c>
      <c r="H56" s="314">
        <f t="shared" si="4"/>
        <v>0</v>
      </c>
      <c r="I56" s="314">
        <f t="shared" si="4"/>
        <v>0</v>
      </c>
      <c r="J56" s="314">
        <f t="shared" si="4"/>
        <v>0</v>
      </c>
      <c r="K56" s="314">
        <f t="shared" si="4"/>
        <v>0</v>
      </c>
      <c r="L56" s="314">
        <f t="shared" si="4"/>
        <v>0</v>
      </c>
      <c r="M56" s="314">
        <f t="shared" si="4"/>
        <v>0</v>
      </c>
      <c r="N56" s="315">
        <f>SUM(B56:M56)</f>
        <v>0</v>
      </c>
    </row>
    <row r="77" spans="1:14" ht="17" thickBot="1" x14ac:dyDescent="0.25"/>
    <row r="78" spans="1:14" x14ac:dyDescent="0.2">
      <c r="A78" s="304" t="s">
        <v>206</v>
      </c>
      <c r="B78" s="305" t="s">
        <v>11</v>
      </c>
      <c r="C78" s="305" t="s">
        <v>12</v>
      </c>
      <c r="D78" s="305" t="s">
        <v>13</v>
      </c>
      <c r="E78" s="305" t="s">
        <v>14</v>
      </c>
      <c r="F78" s="305" t="s">
        <v>15</v>
      </c>
      <c r="G78" s="305" t="s">
        <v>16</v>
      </c>
      <c r="H78" s="305" t="s">
        <v>17</v>
      </c>
      <c r="I78" s="305" t="s">
        <v>18</v>
      </c>
      <c r="J78" s="305" t="s">
        <v>19</v>
      </c>
      <c r="K78" s="305" t="s">
        <v>20</v>
      </c>
      <c r="L78" s="305" t="s">
        <v>21</v>
      </c>
      <c r="M78" s="305" t="s">
        <v>22</v>
      </c>
      <c r="N78" s="311" t="s">
        <v>10</v>
      </c>
    </row>
    <row r="79" spans="1:14" x14ac:dyDescent="0.2">
      <c r="A79" s="307" t="s">
        <v>35</v>
      </c>
      <c r="B79" s="50">
        <f>QUANTITÀ!B17</f>
        <v>2008.3404255319151</v>
      </c>
      <c r="C79" s="50">
        <f>QUANTITÀ!C17</f>
        <v>2231.489361702128</v>
      </c>
      <c r="D79" s="50">
        <f>QUANTITÀ!D17</f>
        <v>2566.2127659574471</v>
      </c>
      <c r="E79" s="50">
        <f>QUANTITÀ!E17</f>
        <v>2343.0638297872342</v>
      </c>
      <c r="F79" s="50">
        <f>QUANTITÀ!F17</f>
        <v>2343.0638297872342</v>
      </c>
      <c r="G79" s="50">
        <f>QUANTITÀ!G17</f>
        <v>2454.6382978723404</v>
      </c>
      <c r="H79" s="50">
        <f>QUANTITÀ!H17</f>
        <v>2454.6382978723404</v>
      </c>
      <c r="I79" s="50">
        <f>QUANTITÀ!I17</f>
        <v>1338.8936170212767</v>
      </c>
      <c r="J79" s="50">
        <f>QUANTITÀ!J17</f>
        <v>2454.6382978723404</v>
      </c>
      <c r="K79" s="50">
        <f>QUANTITÀ!K17</f>
        <v>2343.0638297872342</v>
      </c>
      <c r="L79" s="50">
        <f>QUANTITÀ!L17</f>
        <v>2343.0638297872342</v>
      </c>
      <c r="M79" s="50">
        <f>QUANTITÀ!M17</f>
        <v>1338.8936170212767</v>
      </c>
      <c r="N79" s="312">
        <f>SUM(B79:M79)</f>
        <v>26220.000000000004</v>
      </c>
    </row>
    <row r="80" spans="1:14" x14ac:dyDescent="0.2">
      <c r="A80" s="307" t="s">
        <v>36</v>
      </c>
      <c r="B80" s="59">
        <f>PREZZI!B14</f>
        <v>500</v>
      </c>
      <c r="C80" s="59">
        <f>PREZZI!C14</f>
        <v>500</v>
      </c>
      <c r="D80" s="59">
        <f>PREZZI!D14</f>
        <v>500</v>
      </c>
      <c r="E80" s="59">
        <f>PREZZI!E14</f>
        <v>500</v>
      </c>
      <c r="F80" s="59">
        <f>PREZZI!F14</f>
        <v>500</v>
      </c>
      <c r="G80" s="59">
        <f>PREZZI!G14</f>
        <v>500</v>
      </c>
      <c r="H80" s="59">
        <f>PREZZI!H14</f>
        <v>500</v>
      </c>
      <c r="I80" s="59">
        <f>PREZZI!I14</f>
        <v>500</v>
      </c>
      <c r="J80" s="59">
        <f>PREZZI!J14</f>
        <v>500</v>
      </c>
      <c r="K80" s="59">
        <f>PREZZI!K14</f>
        <v>500</v>
      </c>
      <c r="L80" s="59">
        <f>PREZZI!L14</f>
        <v>500</v>
      </c>
      <c r="M80" s="59">
        <f>PREZZI!M14</f>
        <v>500</v>
      </c>
      <c r="N80" s="313">
        <f>(N81*1000)/N79</f>
        <v>500000.00000000006</v>
      </c>
    </row>
    <row r="81" spans="1:14" ht="17" thickBot="1" x14ac:dyDescent="0.25">
      <c r="A81" s="37" t="s">
        <v>40</v>
      </c>
      <c r="B81" s="314">
        <f>B79*B80</f>
        <v>1004170.2127659576</v>
      </c>
      <c r="C81" s="314">
        <f t="shared" ref="C81:M81" si="5">C79*C80</f>
        <v>1115744.6808510639</v>
      </c>
      <c r="D81" s="314">
        <f t="shared" si="5"/>
        <v>1283106.3829787236</v>
      </c>
      <c r="E81" s="314">
        <f t="shared" si="5"/>
        <v>1171531.9148936172</v>
      </c>
      <c r="F81" s="314">
        <f t="shared" si="5"/>
        <v>1171531.9148936172</v>
      </c>
      <c r="G81" s="314">
        <f t="shared" si="5"/>
        <v>1227319.1489361702</v>
      </c>
      <c r="H81" s="314">
        <f t="shared" si="5"/>
        <v>1227319.1489361702</v>
      </c>
      <c r="I81" s="314">
        <f t="shared" si="5"/>
        <v>669446.80851063831</v>
      </c>
      <c r="J81" s="314">
        <f t="shared" si="5"/>
        <v>1227319.1489361702</v>
      </c>
      <c r="K81" s="314">
        <f t="shared" si="5"/>
        <v>1171531.9148936172</v>
      </c>
      <c r="L81" s="314">
        <f t="shared" si="5"/>
        <v>1171531.9148936172</v>
      </c>
      <c r="M81" s="314">
        <f t="shared" si="5"/>
        <v>669446.80851063831</v>
      </c>
      <c r="N81" s="315">
        <f>SUM(B81:M81)</f>
        <v>13110000.000000004</v>
      </c>
    </row>
    <row r="84" spans="1:14" x14ac:dyDescent="0.2">
      <c r="N84" s="55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B88E-9545-244E-8F0A-82F16023F649}">
  <sheetPr codeName="Foglio9">
    <pageSetUpPr fitToPage="1"/>
  </sheetPr>
  <dimension ref="B2:O13"/>
  <sheetViews>
    <sheetView zoomScale="180" zoomScaleNormal="180" workbookViewId="0">
      <selection activeCell="C9" sqref="C9"/>
    </sheetView>
  </sheetViews>
  <sheetFormatPr baseColWidth="10" defaultRowHeight="16" x14ac:dyDescent="0.2"/>
  <cols>
    <col min="1" max="1" width="10.83203125" style="3"/>
    <col min="2" max="2" width="19" style="3" customWidth="1"/>
    <col min="3" max="14" width="12.33203125" style="3" customWidth="1"/>
    <col min="15" max="15" width="15" style="3" customWidth="1"/>
    <col min="16" max="16384" width="10.83203125" style="3"/>
  </cols>
  <sheetData>
    <row r="2" spans="2:15" x14ac:dyDescent="0.2">
      <c r="B2" s="3" t="s">
        <v>224</v>
      </c>
    </row>
    <row r="3" spans="2:15" ht="17" thickBot="1" x14ac:dyDescent="0.25"/>
    <row r="4" spans="2:15" x14ac:dyDescent="0.2">
      <c r="B4" s="13"/>
      <c r="C4" s="1056" t="s">
        <v>196</v>
      </c>
      <c r="D4" s="1044"/>
      <c r="E4" s="1044"/>
      <c r="F4" s="1044"/>
      <c r="G4" s="1044"/>
      <c r="H4" s="1044"/>
      <c r="I4" s="1044"/>
      <c r="J4" s="1044"/>
      <c r="K4" s="1044"/>
      <c r="L4" s="1044"/>
      <c r="M4" s="1044"/>
      <c r="N4" s="1044"/>
      <c r="O4" s="1045"/>
    </row>
    <row r="5" spans="2:15" x14ac:dyDescent="0.2">
      <c r="B5" s="320"/>
      <c r="C5" s="22" t="s">
        <v>211</v>
      </c>
      <c r="D5" s="20" t="s">
        <v>212</v>
      </c>
      <c r="E5" s="20" t="s">
        <v>213</v>
      </c>
      <c r="F5" s="20" t="s">
        <v>214</v>
      </c>
      <c r="G5" s="20" t="s">
        <v>215</v>
      </c>
      <c r="H5" s="20" t="s">
        <v>216</v>
      </c>
      <c r="I5" s="20" t="s">
        <v>217</v>
      </c>
      <c r="J5" s="20" t="s">
        <v>218</v>
      </c>
      <c r="K5" s="20" t="s">
        <v>219</v>
      </c>
      <c r="L5" s="20" t="s">
        <v>220</v>
      </c>
      <c r="M5" s="20" t="s">
        <v>221</v>
      </c>
      <c r="N5" s="20" t="s">
        <v>222</v>
      </c>
      <c r="O5" s="321" t="s">
        <v>179</v>
      </c>
    </row>
    <row r="6" spans="2:15" x14ac:dyDescent="0.2">
      <c r="B6" s="322" t="s">
        <v>199</v>
      </c>
      <c r="C6" s="317">
        <f>MOLLE!B31+POLIUR!B31</f>
        <v>3994585.5261496222</v>
      </c>
      <c r="D6" s="282">
        <f>MOLLE!C31+POLIUR!C31</f>
        <v>4438428.3623884683</v>
      </c>
      <c r="E6" s="282">
        <f>MOLLE!D31+POLIUR!D31</f>
        <v>5104192.6167467395</v>
      </c>
      <c r="F6" s="282">
        <f>MOLLE!E31+POLIUR!E31</f>
        <v>4660349.7805078924</v>
      </c>
      <c r="G6" s="282">
        <f>MOLLE!F31+POLIUR!F31</f>
        <v>4660349.7805078924</v>
      </c>
      <c r="H6" s="282">
        <f>MOLLE!G31+POLIUR!G31</f>
        <v>4882271.1986273155</v>
      </c>
      <c r="I6" s="282">
        <f>MOLLE!H31+POLIUR!H31</f>
        <v>4882271.1986273155</v>
      </c>
      <c r="J6" s="282">
        <f>MOLLE!I31+POLIUR!I31</f>
        <v>2663057.0174330808</v>
      </c>
      <c r="K6" s="282">
        <f>MOLLE!J31+POLIUR!J31</f>
        <v>4882271.1986273155</v>
      </c>
      <c r="L6" s="282">
        <f>MOLLE!K31+POLIUR!K31</f>
        <v>4660349.7805078924</v>
      </c>
      <c r="M6" s="282">
        <f>MOLLE!L31+POLIUR!L31</f>
        <v>4660349.7805078924</v>
      </c>
      <c r="N6" s="282">
        <f>MOLLE!M31+POLIUR!M31</f>
        <v>2663057.0174330808</v>
      </c>
      <c r="O6" s="323">
        <f>SUM(C6:N6)</f>
        <v>52151533.258064508</v>
      </c>
    </row>
    <row r="7" spans="2:15" x14ac:dyDescent="0.2">
      <c r="B7" s="146" t="s">
        <v>200</v>
      </c>
      <c r="C7" s="316">
        <f>MOLLE!B54+POLIUR!B56</f>
        <v>5963581.0723404242</v>
      </c>
      <c r="D7" s="100">
        <f>MOLLE!C54+POLIUR!C56</f>
        <v>6626201.1914893612</v>
      </c>
      <c r="E7" s="100">
        <f>MOLLE!D54+POLIUR!D56</f>
        <v>7620131.3702127654</v>
      </c>
      <c r="F7" s="100">
        <f>MOLLE!E54+POLIUR!E56</f>
        <v>6957511.2510638293</v>
      </c>
      <c r="G7" s="100">
        <f>MOLLE!F54+POLIUR!F56</f>
        <v>6957511.2510638293</v>
      </c>
      <c r="H7" s="100">
        <f>MOLLE!G54+POLIUR!G56</f>
        <v>7288821.3106382973</v>
      </c>
      <c r="I7" s="100">
        <f>MOLLE!H54+POLIUR!H56</f>
        <v>7288821.3106382973</v>
      </c>
      <c r="J7" s="100">
        <f>MOLLE!I54+POLIUR!I56</f>
        <v>3975720.7148936167</v>
      </c>
      <c r="K7" s="100">
        <f>MOLLE!J54+POLIUR!J56</f>
        <v>7288821.3106382973</v>
      </c>
      <c r="L7" s="100">
        <f>MOLLE!K54+POLIUR!K56</f>
        <v>6957511.2510638293</v>
      </c>
      <c r="M7" s="100">
        <f>MOLLE!L54+POLIUR!L56</f>
        <v>6957511.2510638293</v>
      </c>
      <c r="N7" s="100">
        <f>MOLLE!M54+POLIUR!M56</f>
        <v>3975720.7148936167</v>
      </c>
      <c r="O7" s="324">
        <f t="shared" ref="O7:O8" si="0">SUM(C7:N7)</f>
        <v>77857864</v>
      </c>
    </row>
    <row r="8" spans="2:15" x14ac:dyDescent="0.2">
      <c r="B8" s="17" t="s">
        <v>201</v>
      </c>
      <c r="C8" s="318">
        <f>MOLLE!B79+POLIUR!B81</f>
        <v>1057021.2765957448</v>
      </c>
      <c r="D8" s="319">
        <f>MOLLE!C79+POLIUR!C81</f>
        <v>1174468.0851063831</v>
      </c>
      <c r="E8" s="319">
        <f>MOLLE!D79+POLIUR!D81</f>
        <v>1350638.2978723408</v>
      </c>
      <c r="F8" s="319">
        <f>MOLLE!E79+POLIUR!E81</f>
        <v>1233191.4893617022</v>
      </c>
      <c r="G8" s="319">
        <f>MOLLE!F79+POLIUR!F81</f>
        <v>1233191.4893617022</v>
      </c>
      <c r="H8" s="319">
        <f>MOLLE!G79+POLIUR!G81</f>
        <v>1291914.8936170214</v>
      </c>
      <c r="I8" s="319">
        <f>MOLLE!H79+POLIUR!H81</f>
        <v>1291914.8936170214</v>
      </c>
      <c r="J8" s="319">
        <f>MOLLE!I79+POLIUR!I81</f>
        <v>704680.85106382985</v>
      </c>
      <c r="K8" s="319">
        <f>MOLLE!J79+POLIUR!J81</f>
        <v>1291914.8936170214</v>
      </c>
      <c r="L8" s="319">
        <f>MOLLE!K79+POLIUR!K81</f>
        <v>1233191.4893617022</v>
      </c>
      <c r="M8" s="319">
        <f>MOLLE!L79+POLIUR!L81</f>
        <v>1233191.4893617022</v>
      </c>
      <c r="N8" s="319">
        <f>MOLLE!M79+POLIUR!M81</f>
        <v>704680.85106382985</v>
      </c>
      <c r="O8" s="325">
        <f t="shared" si="0"/>
        <v>13800000</v>
      </c>
    </row>
    <row r="9" spans="2:15" ht="17" thickBot="1" x14ac:dyDescent="0.25">
      <c r="B9" s="326" t="s">
        <v>40</v>
      </c>
      <c r="C9" s="327">
        <f>SUM(C6:C8)</f>
        <v>11015187.875085792</v>
      </c>
      <c r="D9" s="314">
        <f t="shared" ref="D9:O9" si="1">SUM(D6:D8)</f>
        <v>12239097.638984215</v>
      </c>
      <c r="E9" s="314">
        <f t="shared" si="1"/>
        <v>14074962.284831846</v>
      </c>
      <c r="F9" s="314">
        <f t="shared" si="1"/>
        <v>12851052.520933423</v>
      </c>
      <c r="G9" s="314">
        <f t="shared" si="1"/>
        <v>12851052.520933423</v>
      </c>
      <c r="H9" s="314">
        <f t="shared" si="1"/>
        <v>13463007.402882634</v>
      </c>
      <c r="I9" s="314">
        <f t="shared" si="1"/>
        <v>13463007.402882634</v>
      </c>
      <c r="J9" s="314">
        <f t="shared" si="1"/>
        <v>7343458.5833905274</v>
      </c>
      <c r="K9" s="314">
        <f t="shared" si="1"/>
        <v>13463007.402882634</v>
      </c>
      <c r="L9" s="314">
        <f t="shared" si="1"/>
        <v>12851052.520933423</v>
      </c>
      <c r="M9" s="314">
        <f t="shared" si="1"/>
        <v>12851052.520933423</v>
      </c>
      <c r="N9" s="314">
        <f t="shared" si="1"/>
        <v>7343458.5833905274</v>
      </c>
      <c r="O9" s="328">
        <f t="shared" si="1"/>
        <v>143809397.25806451</v>
      </c>
    </row>
    <row r="10" spans="2:15" x14ac:dyDescent="0.2">
      <c r="B10" s="322" t="s">
        <v>199</v>
      </c>
      <c r="C10" s="317">
        <f>C6*'Tab 0'!$B$46</f>
        <v>39945.855261496225</v>
      </c>
      <c r="D10" s="282">
        <f>D6*'Tab 0'!$B$46</f>
        <v>44384.283623884687</v>
      </c>
      <c r="E10" s="282">
        <f>E6*'Tab 0'!$B$46</f>
        <v>51041.926167467398</v>
      </c>
      <c r="F10" s="282">
        <f>F6*'Tab 0'!$B$46</f>
        <v>46603.497805078921</v>
      </c>
      <c r="G10" s="282">
        <f>G6*'Tab 0'!$B$46</f>
        <v>46603.497805078921</v>
      </c>
      <c r="H10" s="282">
        <f>H6*'Tab 0'!$B$46</f>
        <v>48822.711986273156</v>
      </c>
      <c r="I10" s="282">
        <f>I6*'Tab 0'!$B$46</f>
        <v>48822.711986273156</v>
      </c>
      <c r="J10" s="282">
        <f>J6*'Tab 0'!$B$46</f>
        <v>26630.570174330809</v>
      </c>
      <c r="K10" s="282">
        <f>K6*'Tab 0'!$B$46</f>
        <v>48822.711986273156</v>
      </c>
      <c r="L10" s="282">
        <f>L6*'Tab 0'!$B$46</f>
        <v>46603.497805078921</v>
      </c>
      <c r="M10" s="282">
        <f>M6*'Tab 0'!$B$46</f>
        <v>46603.497805078921</v>
      </c>
      <c r="N10" s="282">
        <f>N6*'Tab 0'!$B$46</f>
        <v>26630.570174330809</v>
      </c>
      <c r="O10" s="323">
        <f>SUM(C10:N10)</f>
        <v>521515.3325806451</v>
      </c>
    </row>
    <row r="11" spans="2:15" x14ac:dyDescent="0.2">
      <c r="B11" s="146" t="s">
        <v>200</v>
      </c>
      <c r="C11" s="316">
        <f>C7*'Tab 0'!$C$46</f>
        <v>0</v>
      </c>
      <c r="D11" s="100">
        <f>D7*'Tab 0'!$C$46</f>
        <v>0</v>
      </c>
      <c r="E11" s="100">
        <f>E7*'Tab 0'!$C$46</f>
        <v>0</v>
      </c>
      <c r="F11" s="100">
        <f>F7*'Tab 0'!$C$46</f>
        <v>0</v>
      </c>
      <c r="G11" s="100">
        <f>G7*'Tab 0'!$C$46</f>
        <v>0</v>
      </c>
      <c r="H11" s="100">
        <f>H7*'Tab 0'!$C$46</f>
        <v>0</v>
      </c>
      <c r="I11" s="100">
        <f>I7*'Tab 0'!$C$46</f>
        <v>0</v>
      </c>
      <c r="J11" s="100">
        <f>J7*'Tab 0'!$C$46</f>
        <v>0</v>
      </c>
      <c r="K11" s="100">
        <f>K7*'Tab 0'!$C$46</f>
        <v>0</v>
      </c>
      <c r="L11" s="100">
        <f>L7*'Tab 0'!$C$46</f>
        <v>0</v>
      </c>
      <c r="M11" s="100">
        <f>M7*'Tab 0'!$C$46</f>
        <v>0</v>
      </c>
      <c r="N11" s="100">
        <f>N7*'Tab 0'!$C$46</f>
        <v>0</v>
      </c>
      <c r="O11" s="324">
        <f t="shared" ref="O11:O12" si="2">SUM(C11:N11)</f>
        <v>0</v>
      </c>
    </row>
    <row r="12" spans="2:15" x14ac:dyDescent="0.2">
      <c r="B12" s="17" t="s">
        <v>201</v>
      </c>
      <c r="C12" s="318">
        <f>C8*'Tab 0'!$D$46</f>
        <v>105702.12765957449</v>
      </c>
      <c r="D12" s="319">
        <f>D8*'Tab 0'!$D$46</f>
        <v>117446.80851063831</v>
      </c>
      <c r="E12" s="319">
        <f>E8*'Tab 0'!$D$46</f>
        <v>135063.82978723408</v>
      </c>
      <c r="F12" s="319">
        <f>F8*'Tab 0'!$D$46</f>
        <v>123319.14893617023</v>
      </c>
      <c r="G12" s="319">
        <f>G8*'Tab 0'!$D$46</f>
        <v>123319.14893617023</v>
      </c>
      <c r="H12" s="319">
        <f>H8*'Tab 0'!$D$46</f>
        <v>129191.48936170214</v>
      </c>
      <c r="I12" s="319">
        <f>I8*'Tab 0'!$D$46</f>
        <v>129191.48936170214</v>
      </c>
      <c r="J12" s="319">
        <f>J8*'Tab 0'!$D$46</f>
        <v>70468.08510638299</v>
      </c>
      <c r="K12" s="319">
        <f>K8*'Tab 0'!$D$46</f>
        <v>129191.48936170214</v>
      </c>
      <c r="L12" s="319">
        <f>L8*'Tab 0'!$D$46</f>
        <v>123319.14893617023</v>
      </c>
      <c r="M12" s="319">
        <f>M8*'Tab 0'!$D$46</f>
        <v>123319.14893617023</v>
      </c>
      <c r="N12" s="319">
        <f>N8*'Tab 0'!$D$46</f>
        <v>70468.08510638299</v>
      </c>
      <c r="O12" s="325">
        <f t="shared" si="2"/>
        <v>1380000</v>
      </c>
    </row>
    <row r="13" spans="2:15" ht="17" thickBot="1" x14ac:dyDescent="0.25">
      <c r="B13" s="326" t="s">
        <v>223</v>
      </c>
      <c r="C13" s="327">
        <f>SUM(C10:C12)</f>
        <v>145647.98292107071</v>
      </c>
      <c r="D13" s="314">
        <f t="shared" ref="D13" si="3">SUM(D10:D12)</f>
        <v>161831.092134523</v>
      </c>
      <c r="E13" s="314">
        <f t="shared" ref="E13" si="4">SUM(E10:E12)</f>
        <v>186105.75595470148</v>
      </c>
      <c r="F13" s="314">
        <f t="shared" ref="F13" si="5">SUM(F10:F12)</f>
        <v>169922.64674124913</v>
      </c>
      <c r="G13" s="314">
        <f t="shared" ref="G13" si="6">SUM(G10:G12)</f>
        <v>169922.64674124913</v>
      </c>
      <c r="H13" s="314">
        <f t="shared" ref="H13" si="7">SUM(H10:H12)</f>
        <v>178014.20134797529</v>
      </c>
      <c r="I13" s="314">
        <f t="shared" ref="I13" si="8">SUM(I10:I12)</f>
        <v>178014.20134797529</v>
      </c>
      <c r="J13" s="314">
        <f t="shared" ref="J13" si="9">SUM(J10:J12)</f>
        <v>97098.655280713807</v>
      </c>
      <c r="K13" s="314">
        <f t="shared" ref="K13" si="10">SUM(K10:K12)</f>
        <v>178014.20134797529</v>
      </c>
      <c r="L13" s="314">
        <f t="shared" ref="L13" si="11">SUM(L10:L12)</f>
        <v>169922.64674124913</v>
      </c>
      <c r="M13" s="314">
        <f t="shared" ref="M13" si="12">SUM(M10:M12)</f>
        <v>169922.64674124913</v>
      </c>
      <c r="N13" s="314">
        <f t="shared" ref="N13" si="13">SUM(N10:N12)</f>
        <v>97098.655280713807</v>
      </c>
      <c r="O13" s="328">
        <f t="shared" ref="O13" si="14">SUM(O10:O12)</f>
        <v>1901515.3325806451</v>
      </c>
    </row>
  </sheetData>
  <mergeCells count="1">
    <mergeCell ref="C4:O4"/>
  </mergeCells>
  <phoneticPr fontId="4" type="noConversion"/>
  <pageMargins left="0.25" right="0.25" top="0.75" bottom="0.75" header="0.3" footer="0.3"/>
  <pageSetup paperSize="9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59</vt:i4>
      </vt:variant>
    </vt:vector>
  </HeadingPairs>
  <TitlesOfParts>
    <vt:vector size="59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Tab. 4</vt:lpstr>
      <vt:lpstr>Tab 5</vt:lpstr>
      <vt:lpstr>All. 1-2-3</vt:lpstr>
      <vt:lpstr>Tab. 6</vt:lpstr>
      <vt:lpstr>Tab. 7</vt:lpstr>
      <vt:lpstr>Tab. 8</vt:lpstr>
      <vt:lpstr>Tab. 9</vt:lpstr>
      <vt:lpstr>All. 4</vt:lpstr>
      <vt:lpstr>Tab. 10</vt:lpstr>
      <vt:lpstr>Tab. 11</vt:lpstr>
      <vt:lpstr>All. 6</vt:lpstr>
      <vt:lpstr>All. 7</vt:lpstr>
      <vt:lpstr>All. 8</vt:lpstr>
      <vt:lpstr>All. 9</vt:lpstr>
      <vt:lpstr>All. 10</vt:lpstr>
      <vt:lpstr>All. 11</vt:lpstr>
      <vt:lpstr>Tab. 12</vt:lpstr>
      <vt:lpstr>Tab. 13</vt:lpstr>
      <vt:lpstr>Tab. 14</vt:lpstr>
      <vt:lpstr>Tab. 15</vt:lpstr>
      <vt:lpstr>Tab. 16</vt:lpstr>
      <vt:lpstr>Tab. 17</vt:lpstr>
      <vt:lpstr>Mens costi industriali DIR</vt:lpstr>
      <vt:lpstr>Mens costi industriali IND</vt:lpstr>
      <vt:lpstr>All. 12</vt:lpstr>
      <vt:lpstr>Tab. 18</vt:lpstr>
      <vt:lpstr>Tab. 19</vt:lpstr>
      <vt:lpstr>Tab. 20</vt:lpstr>
      <vt:lpstr>Tab. 21</vt:lpstr>
      <vt:lpstr>Tab. 22</vt:lpstr>
      <vt:lpstr>Tab. 23</vt:lpstr>
      <vt:lpstr>CE_1</vt:lpstr>
      <vt:lpstr>CE_2</vt:lpstr>
      <vt:lpstr>CE_3</vt:lpstr>
      <vt:lpstr>CE_1_mens</vt:lpstr>
      <vt:lpstr>CE_2_mens</vt:lpstr>
      <vt:lpstr>CE_3_mens</vt:lpstr>
      <vt:lpstr>All. 13</vt:lpstr>
      <vt:lpstr>All. 14</vt:lpstr>
      <vt:lpstr>30.Entrate Operative</vt:lpstr>
      <vt:lpstr>31.Uscite mp</vt:lpstr>
      <vt:lpstr>32. Uscite altro</vt:lpstr>
      <vt:lpstr>33. Uscite amministratori</vt:lpstr>
      <vt:lpstr>34. Uscite personale</vt:lpstr>
      <vt:lpstr>35. Budget degli investimenti</vt:lpstr>
      <vt:lpstr>36. IVA</vt:lpstr>
      <vt:lpstr>All. 15</vt:lpstr>
      <vt:lpstr>All. 16</vt:lpstr>
      <vt:lpstr>37. Budget dei fin. diretti</vt:lpstr>
      <vt:lpstr>BUDGET FINANZIARIO</vt:lpstr>
      <vt:lpstr>BUDGET PATRIMONIALE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2024-05-23T09:20:25Z</dcterms:modified>
</cp:coreProperties>
</file>