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its-my.sharepoint.com/personal/16814_ds_units_it/Documents/__DIDATTICA/__VALUTAZIONE ECONOMICA PIANI E PROGETTI/CONSEGNA ROSATO/Valutazione EPP/Materiali Presentazioni/"/>
    </mc:Choice>
  </mc:AlternateContent>
  <xr:revisionPtr revIDLastSave="16" documentId="11_D23C49DB67A1AE2711367B73385BEDA91CFD790C" xr6:coauthVersionLast="47" xr6:coauthVersionMax="47" xr10:uidLastSave="{27B7F2EE-F2B2-4237-BC57-9AE178D773F3}"/>
  <bookViews>
    <workbookView xWindow="38295" yWindow="0" windowWidth="19410" windowHeight="20955" activeTab="2" xr2:uid="{00000000-000D-0000-FFFF-FFFF00000000}"/>
  </bookViews>
  <sheets>
    <sheet name="CV" sheetId="1" r:id="rId1"/>
    <sheet name="CV vs TCM" sheetId="2" r:id="rId2"/>
    <sheet name="Value Transf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D6" i="1"/>
  <c r="D7" i="1"/>
  <c r="D8" i="1"/>
  <c r="D9" i="1"/>
  <c r="D10" i="1"/>
  <c r="D11" i="1"/>
  <c r="D12" i="1"/>
  <c r="D13" i="1"/>
  <c r="D14" i="1"/>
  <c r="D15" i="1"/>
  <c r="C7" i="1" l="1"/>
  <c r="C8" i="1"/>
  <c r="C9" i="1"/>
  <c r="C10" i="1"/>
  <c r="C11" i="1"/>
  <c r="C12" i="1"/>
  <c r="C13" i="1"/>
  <c r="C14" i="1"/>
  <c r="C15" i="1"/>
  <c r="C6" i="1"/>
  <c r="B19" i="1"/>
  <c r="D17" i="2" l="1"/>
  <c r="F16" i="2"/>
  <c r="F17" i="2" s="1"/>
  <c r="E16" i="2"/>
  <c r="E17" i="2" s="1"/>
  <c r="D16" i="2"/>
  <c r="B16" i="2"/>
  <c r="C16" i="2" s="1"/>
  <c r="B11" i="2"/>
  <c r="C17" i="2" l="1"/>
  <c r="G16" i="2"/>
  <c r="B17" i="2"/>
  <c r="B20" i="1"/>
  <c r="B23" i="2" s="1"/>
  <c r="G17" i="2" l="1"/>
  <c r="B24" i="2" s="1"/>
  <c r="B4" i="3" s="1"/>
  <c r="B6" i="3" s="1"/>
  <c r="B11" i="3" s="1"/>
  <c r="B25" i="2"/>
</calcChain>
</file>

<file path=xl/sharedStrings.xml><?xml version="1.0" encoding="utf-8"?>
<sst xmlns="http://schemas.openxmlformats.org/spreadsheetml/2006/main" count="62" uniqueCount="60">
  <si>
    <t>Numero interviste</t>
  </si>
  <si>
    <t>Popolazione</t>
  </si>
  <si>
    <t>Offerta di pagamento</t>
  </si>
  <si>
    <t>Cifra proposta</t>
  </si>
  <si>
    <t>Risposte affermative</t>
  </si>
  <si>
    <t>Totale</t>
  </si>
  <si>
    <t>TCM</t>
  </si>
  <si>
    <t>DAP annua</t>
  </si>
  <si>
    <t>Tasso sconto</t>
  </si>
  <si>
    <t>Anni</t>
  </si>
  <si>
    <t>Valore attuale</t>
  </si>
  <si>
    <t>Modello 1: Logistico, usando le osservazioni 1-10</t>
  </si>
  <si>
    <t>Statistiche basate sui dati trasformati:</t>
  </si>
  <si>
    <t>Note: SQM = scarto quadratico medio; E.S. = errore standard</t>
  </si>
  <si>
    <t>Statistiche basate sui dati originali:</t>
  </si>
  <si>
    <t>Anno</t>
  </si>
  <si>
    <t xml:space="preserve">Danno </t>
  </si>
  <si>
    <t>Valore attuale (r =3,5%)</t>
  </si>
  <si>
    <t>Valutazione contingente</t>
  </si>
  <si>
    <t>Costo di viaggio</t>
  </si>
  <si>
    <t>Metodo di stima danno</t>
  </si>
  <si>
    <t>Differenza</t>
  </si>
  <si>
    <t>Importi (€)</t>
  </si>
  <si>
    <t>Valore stimato</t>
  </si>
  <si>
    <t>Economico totale</t>
  </si>
  <si>
    <t>Dimensione sito sorgente(ha)</t>
  </si>
  <si>
    <t>Danno unitario sito sorgente (€/ha)</t>
  </si>
  <si>
    <t>Valore totale danno sito sorgente (€)</t>
  </si>
  <si>
    <t>Valore totale danno sito atterraggio (€)</t>
  </si>
  <si>
    <t>Danno unitario sito atterraggio (€/ha)</t>
  </si>
  <si>
    <t>Importi</t>
  </si>
  <si>
    <t>Reddito procapite sito sorgente (€/anno)</t>
  </si>
  <si>
    <t>Dimensioni sito atterraggio (ha)</t>
  </si>
  <si>
    <t>Reddito procapite sito atterraggio (€/anno)</t>
  </si>
  <si>
    <t>Ubicazione</t>
  </si>
  <si>
    <t>Provincia Treviso</t>
  </si>
  <si>
    <t>Provincia Gorizia</t>
  </si>
  <si>
    <t>Variabile dipendente: NUM__SI</t>
  </si>
  <si>
    <t xml:space="preserve">             coefficiente   errore std.   rapporto t   p-value </t>
  </si>
  <si>
    <t xml:space="preserve">  -------------------------------------------------------------</t>
  </si>
  <si>
    <t>Modello 2: Logistico, usando le osservazioni 1-10</t>
  </si>
  <si>
    <t>Variabile dipendente: PCT__SI</t>
  </si>
  <si>
    <t>yhat = 1 / (1 + exp(-X*b))</t>
  </si>
  <si>
    <t xml:space="preserve">  const         3,70689      0,177874        20,84     2,95e-08 ***</t>
  </si>
  <si>
    <t xml:space="preserve">  CIFRA        −3,44099      0,114668       −30,01     1,65e-09 ***</t>
  </si>
  <si>
    <t>Somma quadr. residui    0,542385   E.S. della regressione  0,260381</t>
  </si>
  <si>
    <t>R-quadro                0,991194   R-quadro corretto       0,990094</t>
  </si>
  <si>
    <t>F(1, 8)                 900,4998   P-value(F)              1,65e-09</t>
  </si>
  <si>
    <t>Log-verosimiglianza     0,382438   Criterio di Akaike      3,235124</t>
  </si>
  <si>
    <t>Criterio di Schwarz     3,840294   Hannan-Quinn            2,571254</t>
  </si>
  <si>
    <t>Media var. dipendente   0,371000   SQM var. dipendente     0,376665</t>
  </si>
  <si>
    <t>Somma quadr. residui    0,011072   E.S. della regressione  0,037203</t>
  </si>
  <si>
    <t>D'uso diretto</t>
  </si>
  <si>
    <t>Altri valori</t>
  </si>
  <si>
    <t>Percentuale rilevata</t>
  </si>
  <si>
    <t>Percentuale stimata</t>
  </si>
  <si>
    <t>Media (€/ab.)</t>
  </si>
  <si>
    <t>Popolazione (ab.)</t>
  </si>
  <si>
    <t>Totale (€)</t>
  </si>
  <si>
    <t>DAP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</si>
</sst>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165" fontId="0" fillId="0" borderId="0" xfId="1" applyNumberFormat="1" applyFont="1"/>
    <xf numFmtId="1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0" applyNumberFormat="1"/>
    <xf numFmtId="165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/>
    <xf numFmtId="0" fontId="0" fillId="0" borderId="2" xfId="0" applyBorder="1"/>
    <xf numFmtId="165" fontId="0" fillId="0" borderId="4" xfId="1" applyNumberFormat="1" applyFont="1" applyBorder="1" applyAlignment="1"/>
    <xf numFmtId="0" fontId="0" fillId="0" borderId="6" xfId="0" applyBorder="1"/>
    <xf numFmtId="0" fontId="0" fillId="0" borderId="7" xfId="0" applyBorder="1"/>
    <xf numFmtId="1" fontId="0" fillId="0" borderId="8" xfId="1" applyNumberFormat="1" applyFont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/>
    <xf numFmtId="165" fontId="0" fillId="0" borderId="7" xfId="1" applyNumberFormat="1" applyFont="1" applyBorder="1" applyAlignment="1"/>
    <xf numFmtId="165" fontId="0" fillId="0" borderId="6" xfId="1" applyNumberFormat="1" applyFont="1" applyBorder="1"/>
    <xf numFmtId="165" fontId="0" fillId="0" borderId="7" xfId="1" applyNumberFormat="1" applyFont="1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5" fontId="0" fillId="0" borderId="3" xfId="1" applyNumberFormat="1" applyFont="1" applyBorder="1" applyAlignment="1">
      <alignment horizontal="right" vertical="center"/>
    </xf>
    <xf numFmtId="165" fontId="0" fillId="0" borderId="12" xfId="1" applyNumberFormat="1" applyFont="1" applyBorder="1" applyAlignment="1">
      <alignment horizontal="right" vertical="center"/>
    </xf>
    <xf numFmtId="0" fontId="0" fillId="0" borderId="5" xfId="0" applyBorder="1"/>
    <xf numFmtId="165" fontId="0" fillId="0" borderId="11" xfId="1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2" xfId="0" applyBorder="1" applyAlignment="1">
      <alignment horizontal="center" wrapText="1"/>
    </xf>
    <xf numFmtId="9" fontId="0" fillId="0" borderId="0" xfId="2" applyFont="1" applyBorder="1"/>
    <xf numFmtId="0" fontId="0" fillId="0" borderId="14" xfId="0" applyBorder="1" applyAlignment="1">
      <alignment horizontal="center" wrapText="1"/>
    </xf>
    <xf numFmtId="9" fontId="0" fillId="0" borderId="4" xfId="2" applyFont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wrapText="1"/>
    </xf>
    <xf numFmtId="9" fontId="0" fillId="0" borderId="6" xfId="2" applyFont="1" applyBorder="1"/>
    <xf numFmtId="9" fontId="0" fillId="0" borderId="7" xfId="2" applyFont="1" applyBorder="1"/>
    <xf numFmtId="165" fontId="0" fillId="0" borderId="13" xfId="1" applyNumberFormat="1" applyFont="1" applyBorder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0" fillId="0" borderId="14" xfId="1" applyNumberFormat="1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165" fontId="0" fillId="0" borderId="5" xfId="1" applyNumberFormat="1" applyFont="1" applyBorder="1"/>
    <xf numFmtId="164" fontId="0" fillId="0" borderId="5" xfId="0" applyNumberFormat="1" applyBorder="1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1D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CV!$B$5</c:f>
              <c:strCache>
                <c:ptCount val="1"/>
                <c:pt idx="0">
                  <c:v> Risposte affermative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xVal>
            <c:numRef>
              <c:f>CV!$A$6:$A$15</c:f>
              <c:numCache>
                <c:formatCode>General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CV!$B$6:$B$15</c:f>
              <c:numCache>
                <c:formatCode>_-* #,##0\ _€_-;\-* #,##0\ _€_-;_-* "-"??\ _€_-;_-@_-</c:formatCode>
                <c:ptCount val="10"/>
                <c:pt idx="0">
                  <c:v>48</c:v>
                </c:pt>
                <c:pt idx="1">
                  <c:v>45</c:v>
                </c:pt>
                <c:pt idx="2">
                  <c:v>37</c:v>
                </c:pt>
                <c:pt idx="3">
                  <c:v>24</c:v>
                </c:pt>
                <c:pt idx="4">
                  <c:v>17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6-47FD-8344-E706511F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348088"/>
        <c:axId val="671347432"/>
      </c:scatterChart>
      <c:scatterChart>
        <c:scatterStyle val="lineMarker"/>
        <c:varyColors val="0"/>
        <c:ser>
          <c:idx val="1"/>
          <c:order val="1"/>
          <c:tx>
            <c:v>Prob(SI)</c:v>
          </c:tx>
          <c:spPr>
            <a:ln w="25400" cap="rnd">
              <a:solidFill>
                <a:srgbClr val="1D36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1D365D"/>
              </a:solidFill>
              <a:ln w="9525">
                <a:solidFill>
                  <a:srgbClr val="1D365D"/>
                </a:solidFill>
              </a:ln>
              <a:effectLst/>
            </c:spPr>
          </c:marker>
          <c:xVal>
            <c:numRef>
              <c:f>CV!$A$6:$A$15</c:f>
              <c:numCache>
                <c:formatCode>General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CV!$D$6:$D$15</c:f>
              <c:numCache>
                <c:formatCode>0%</c:formatCode>
                <c:ptCount val="10"/>
                <c:pt idx="0">
                  <c:v>0.9451448696277106</c:v>
                </c:pt>
                <c:pt idx="1">
                  <c:v>0.87936122360168012</c:v>
                </c:pt>
                <c:pt idx="2">
                  <c:v>0.75512723331509723</c:v>
                </c:pt>
                <c:pt idx="3">
                  <c:v>0.56608608539637317</c:v>
                </c:pt>
                <c:pt idx="4">
                  <c:v>0.35563795884458221</c:v>
                </c:pt>
                <c:pt idx="5">
                  <c:v>0.18929539819208074</c:v>
                </c:pt>
                <c:pt idx="6">
                  <c:v>8.9901148903482719E-2</c:v>
                </c:pt>
                <c:pt idx="7">
                  <c:v>4.0113966379361314E-2</c:v>
                </c:pt>
                <c:pt idx="8">
                  <c:v>1.7372570162576977E-2</c:v>
                </c:pt>
                <c:pt idx="9">
                  <c:v>7.4240043362439317E-3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73-4504-9A0E-AF4236460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427952"/>
        <c:axId val="452428936"/>
      </c:scatterChart>
      <c:valAx>
        <c:axId val="67134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Open Sans ExtraBold" pitchFamily="2" charset="0"/>
                    <a:ea typeface="Open Sans ExtraBold" pitchFamily="2" charset="0"/>
                    <a:cs typeface="Open Sans ExtraBold" pitchFamily="2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Open Sans ExtraBold" pitchFamily="2" charset="0"/>
                    <a:ea typeface="Open Sans ExtraBold" pitchFamily="2" charset="0"/>
                    <a:cs typeface="Open Sans ExtraBold" pitchFamily="2" charset="0"/>
                  </a:rPr>
                  <a:t>Offerta di pagamento [€]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000" b="0" i="0" u="none" strike="noStrike" kern="1200" baseline="0">
                  <a:solidFill>
                    <a:sysClr val="windowText" lastClr="000000"/>
                  </a:solidFill>
                  <a:latin typeface="Open Sans ExtraBold" pitchFamily="2" charset="0"/>
                  <a:ea typeface="Open Sans ExtraBold" pitchFamily="2" charset="0"/>
                  <a:cs typeface="Open Sans ExtraBold" pitchFamily="2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671347432"/>
        <c:crosses val="autoZero"/>
        <c:crossBetween val="midCat"/>
      </c:valAx>
      <c:valAx>
        <c:axId val="67134743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Open Sans ExtraBold" pitchFamily="2" charset="0"/>
                    <a:ea typeface="Open Sans ExtraBold" pitchFamily="2" charset="0"/>
                    <a:cs typeface="Open Sans ExtraBold" pitchFamily="2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Open Sans ExtraBold" pitchFamily="2" charset="0"/>
                    <a:ea typeface="Open Sans ExtraBold" pitchFamily="2" charset="0"/>
                    <a:cs typeface="Open Sans ExtraBold" pitchFamily="2" charset="0"/>
                  </a:rPr>
                  <a:t>Risposte affermative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000" b="0" i="0" u="none" strike="noStrike" kern="1200" baseline="0">
                  <a:solidFill>
                    <a:sysClr val="windowText" lastClr="000000"/>
                  </a:solidFill>
                  <a:latin typeface="Open Sans ExtraBold" pitchFamily="2" charset="0"/>
                  <a:ea typeface="Open Sans ExtraBold" pitchFamily="2" charset="0"/>
                  <a:cs typeface="Open Sans ExtraBold" pitchFamily="2" charset="0"/>
                </a:defRPr>
              </a:pPr>
              <a:endParaRPr lang="it-IT"/>
            </a:p>
          </c:txPr>
        </c:title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671348088"/>
        <c:crosses val="autoZero"/>
        <c:crossBetween val="midCat"/>
      </c:valAx>
      <c:valAx>
        <c:axId val="452428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 ExtraBold" pitchFamily="2" charset="0"/>
                    <a:ea typeface="Open Sans ExtraBold" pitchFamily="2" charset="0"/>
                    <a:cs typeface="Open Sans ExtraBold" pitchFamily="2" charset="0"/>
                  </a:defRPr>
                </a:pPr>
                <a:r>
                  <a:rPr lang="en-US">
                    <a:latin typeface="Open Sans ExtraBold" pitchFamily="2" charset="0"/>
                    <a:ea typeface="Open Sans ExtraBold" pitchFamily="2" charset="0"/>
                    <a:cs typeface="Open Sans ExtraBold" pitchFamily="2" charset="0"/>
                  </a:rPr>
                  <a:t>Prob. (sì)</a:t>
                </a:r>
              </a:p>
            </c:rich>
          </c:tx>
          <c:layout>
            <c:manualLayout>
              <c:xMode val="edge"/>
              <c:yMode val="edge"/>
              <c:x val="0.957352115824465"/>
              <c:y val="0.3625994319417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 ExtraBold" pitchFamily="2" charset="0"/>
                  <a:ea typeface="Open Sans ExtraBold" pitchFamily="2" charset="0"/>
                  <a:cs typeface="Open Sans ExtraBold" pitchFamily="2" charset="0"/>
                </a:defRPr>
              </a:pPr>
              <a:endParaRPr lang="it-IT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452427952"/>
        <c:crosses val="max"/>
        <c:crossBetween val="midCat"/>
      </c:valAx>
      <c:valAx>
        <c:axId val="452427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428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55301470748381"/>
          <c:y val="0.43808271538873172"/>
          <c:w val="0.20263981460961308"/>
          <c:h val="0.11736207731315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 SemiBold" pitchFamily="2" charset="0"/>
              <a:ea typeface="Open Sans SemiBold" pitchFamily="2" charset="0"/>
              <a:cs typeface="Open Sans SemiBold" pitchFamily="2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 SemiBold" pitchFamily="2" charset="0"/>
          <a:ea typeface="Open Sans SemiBold" pitchFamily="2" charset="0"/>
          <a:cs typeface="Open Sans SemiBold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21</xdr:row>
      <xdr:rowOff>66675</xdr:rowOff>
    </xdr:from>
    <xdr:to>
      <xdr:col>10</xdr:col>
      <xdr:colOff>276224</xdr:colOff>
      <xdr:row>41</xdr:row>
      <xdr:rowOff>180975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opLeftCell="B8" zoomScale="145" zoomScaleNormal="145" workbookViewId="0">
      <selection activeCell="AB11" sqref="AB11"/>
    </sheetView>
  </sheetViews>
  <sheetFormatPr defaultRowHeight="15" x14ac:dyDescent="0.25"/>
  <cols>
    <col min="1" max="1" width="17.42578125" style="3" customWidth="1"/>
    <col min="2" max="2" width="13" style="1" customWidth="1"/>
    <col min="3" max="3" width="15.140625" customWidth="1"/>
    <col min="4" max="4" width="15.42578125" customWidth="1"/>
    <col min="5" max="5" width="9.7109375" bestFit="1" customWidth="1"/>
  </cols>
  <sheetData>
    <row r="1" spans="1:28" x14ac:dyDescent="0.25">
      <c r="A1" s="52"/>
      <c r="B1" s="53" t="s">
        <v>1</v>
      </c>
      <c r="C1" s="52" t="s">
        <v>0</v>
      </c>
      <c r="D1" s="54" t="s">
        <v>2</v>
      </c>
      <c r="E1" s="54"/>
      <c r="F1" s="54"/>
      <c r="G1" s="54"/>
      <c r="H1" s="54"/>
      <c r="I1" s="54"/>
      <c r="J1" s="54"/>
      <c r="K1" s="54"/>
      <c r="L1" s="54"/>
      <c r="M1" s="54"/>
    </row>
    <row r="2" spans="1:28" ht="30" customHeight="1" x14ac:dyDescent="0.25">
      <c r="A2" s="52"/>
      <c r="B2" s="53"/>
      <c r="C2" s="52"/>
      <c r="D2" s="30">
        <v>0.25</v>
      </c>
      <c r="E2" s="30">
        <v>0.5</v>
      </c>
      <c r="F2" s="30">
        <v>0.75</v>
      </c>
      <c r="G2" s="30">
        <v>1</v>
      </c>
      <c r="H2" s="30">
        <v>1.25</v>
      </c>
      <c r="I2" s="30">
        <v>1.5</v>
      </c>
      <c r="J2" s="30">
        <v>1.75</v>
      </c>
      <c r="K2" s="30">
        <v>2</v>
      </c>
      <c r="L2" s="30">
        <v>2.25</v>
      </c>
      <c r="M2" s="30">
        <v>2.5</v>
      </c>
    </row>
    <row r="3" spans="1:28" x14ac:dyDescent="0.25">
      <c r="A3" s="8"/>
      <c r="B3" s="10">
        <v>7680000</v>
      </c>
      <c r="C3" s="11">
        <v>500</v>
      </c>
      <c r="D3" s="11">
        <v>50</v>
      </c>
      <c r="E3" s="11">
        <v>50</v>
      </c>
      <c r="F3" s="11">
        <v>50</v>
      </c>
      <c r="G3" s="11">
        <v>50</v>
      </c>
      <c r="H3" s="11">
        <v>50</v>
      </c>
      <c r="I3" s="11">
        <v>50</v>
      </c>
      <c r="J3" s="11">
        <v>50</v>
      </c>
      <c r="K3" s="11">
        <v>50</v>
      </c>
      <c r="L3" s="11">
        <v>50</v>
      </c>
      <c r="M3" s="11">
        <v>50</v>
      </c>
      <c r="T3" t="s">
        <v>11</v>
      </c>
    </row>
    <row r="4" spans="1:28" x14ac:dyDescent="0.25">
      <c r="C4" s="2"/>
      <c r="T4" t="s">
        <v>37</v>
      </c>
    </row>
    <row r="5" spans="1:28" ht="30" x14ac:dyDescent="0.25">
      <c r="A5" s="41" t="s">
        <v>3</v>
      </c>
      <c r="B5" s="43" t="s">
        <v>4</v>
      </c>
      <c r="C5" s="42" t="s">
        <v>54</v>
      </c>
      <c r="D5" s="30" t="s">
        <v>55</v>
      </c>
      <c r="S5" t="s">
        <v>40</v>
      </c>
    </row>
    <row r="6" spans="1:28" x14ac:dyDescent="0.25">
      <c r="A6" s="37">
        <v>0.25</v>
      </c>
      <c r="B6" s="22">
        <v>48</v>
      </c>
      <c r="C6" s="38">
        <f t="shared" ref="C6:C15" si="0">+B6/50</f>
        <v>0.96</v>
      </c>
      <c r="D6" s="44">
        <f>EXP($AB$10+$AB$11*A6)/(1+EXP($AB$10+$AB$11*A6))</f>
        <v>0.9451448696277106</v>
      </c>
      <c r="S6" t="s">
        <v>41</v>
      </c>
    </row>
    <row r="7" spans="1:28" x14ac:dyDescent="0.25">
      <c r="A7" s="37">
        <v>0.5</v>
      </c>
      <c r="B7" s="22">
        <v>45</v>
      </c>
      <c r="C7" s="38">
        <f t="shared" si="0"/>
        <v>0.9</v>
      </c>
      <c r="D7" s="44">
        <f t="shared" ref="D7:D15" si="1">EXP($AB$10+$AB$11*A7)/(1+EXP($AB$10+$AB$11*A7))</f>
        <v>0.87936122360168012</v>
      </c>
      <c r="S7" t="s">
        <v>42</v>
      </c>
    </row>
    <row r="8" spans="1:28" x14ac:dyDescent="0.25">
      <c r="A8" s="37">
        <v>0.75</v>
      </c>
      <c r="B8" s="22">
        <v>37</v>
      </c>
      <c r="C8" s="38">
        <f t="shared" si="0"/>
        <v>0.74</v>
      </c>
      <c r="D8" s="44">
        <f t="shared" si="1"/>
        <v>0.75512723331509723</v>
      </c>
    </row>
    <row r="9" spans="1:28" x14ac:dyDescent="0.25">
      <c r="A9" s="37">
        <v>1</v>
      </c>
      <c r="B9" s="22">
        <v>24</v>
      </c>
      <c r="C9" s="38">
        <f t="shared" si="0"/>
        <v>0.48</v>
      </c>
      <c r="D9" s="44">
        <f t="shared" si="1"/>
        <v>0.56608608539637317</v>
      </c>
      <c r="S9" t="s">
        <v>38</v>
      </c>
    </row>
    <row r="10" spans="1:28" x14ac:dyDescent="0.25">
      <c r="A10" s="37">
        <v>1.25</v>
      </c>
      <c r="B10" s="22">
        <v>17</v>
      </c>
      <c r="C10" s="38">
        <f t="shared" si="0"/>
        <v>0.34</v>
      </c>
      <c r="D10" s="44">
        <f t="shared" si="1"/>
        <v>0.35563795884458221</v>
      </c>
      <c r="S10" t="s">
        <v>39</v>
      </c>
      <c r="AB10">
        <v>3.70689</v>
      </c>
    </row>
    <row r="11" spans="1:28" x14ac:dyDescent="0.25">
      <c r="A11" s="37">
        <v>1.5</v>
      </c>
      <c r="B11" s="22">
        <v>7</v>
      </c>
      <c r="C11" s="38">
        <f t="shared" si="0"/>
        <v>0.14000000000000001</v>
      </c>
      <c r="D11" s="44">
        <f t="shared" si="1"/>
        <v>0.18929539819208074</v>
      </c>
      <c r="S11" t="s">
        <v>43</v>
      </c>
      <c r="AB11">
        <v>-3.4409900000000002</v>
      </c>
    </row>
    <row r="12" spans="1:28" x14ac:dyDescent="0.25">
      <c r="A12" s="37">
        <v>1.75</v>
      </c>
      <c r="B12" s="22">
        <v>4</v>
      </c>
      <c r="C12" s="38">
        <f t="shared" si="0"/>
        <v>0.08</v>
      </c>
      <c r="D12" s="44">
        <f t="shared" si="1"/>
        <v>8.9901148903482719E-2</v>
      </c>
      <c r="S12" t="s">
        <v>44</v>
      </c>
    </row>
    <row r="13" spans="1:28" x14ac:dyDescent="0.25">
      <c r="A13" s="37">
        <v>2</v>
      </c>
      <c r="B13" s="22">
        <v>2</v>
      </c>
      <c r="C13" s="38">
        <f t="shared" si="0"/>
        <v>0.04</v>
      </c>
      <c r="D13" s="44">
        <f t="shared" si="1"/>
        <v>4.0113966379361314E-2</v>
      </c>
    </row>
    <row r="14" spans="1:28" x14ac:dyDescent="0.25">
      <c r="A14" s="37">
        <v>2.25</v>
      </c>
      <c r="B14" s="22">
        <v>1</v>
      </c>
      <c r="C14" s="38">
        <f t="shared" si="0"/>
        <v>0.02</v>
      </c>
      <c r="D14" s="44">
        <f t="shared" si="1"/>
        <v>1.7372570162576977E-2</v>
      </c>
      <c r="S14" t="s">
        <v>12</v>
      </c>
    </row>
    <row r="15" spans="1:28" x14ac:dyDescent="0.25">
      <c r="A15" s="39">
        <v>2.5</v>
      </c>
      <c r="B15" s="23">
        <v>0</v>
      </c>
      <c r="C15" s="40">
        <f t="shared" si="0"/>
        <v>0</v>
      </c>
      <c r="D15" s="45">
        <f t="shared" si="1"/>
        <v>7.4240043362439317E-3</v>
      </c>
    </row>
    <row r="16" spans="1:28" x14ac:dyDescent="0.25">
      <c r="B16" s="4"/>
      <c r="D16" s="4"/>
      <c r="S16" t="s">
        <v>45</v>
      </c>
    </row>
    <row r="17" spans="1:19" x14ac:dyDescent="0.25">
      <c r="A17" s="49" t="s">
        <v>59</v>
      </c>
      <c r="B17" s="50" t="s">
        <v>30</v>
      </c>
      <c r="S17" t="s">
        <v>46</v>
      </c>
    </row>
    <row r="18" spans="1:19" x14ac:dyDescent="0.25">
      <c r="A18" s="46" t="s">
        <v>56</v>
      </c>
      <c r="B18" s="51">
        <v>1.1000000000000001</v>
      </c>
      <c r="S18" t="s">
        <v>47</v>
      </c>
    </row>
    <row r="19" spans="1:19" x14ac:dyDescent="0.25">
      <c r="A19" s="47" t="s">
        <v>57</v>
      </c>
      <c r="B19" s="22">
        <f>+B3</f>
        <v>7680000</v>
      </c>
      <c r="S19" t="s">
        <v>48</v>
      </c>
    </row>
    <row r="20" spans="1:19" x14ac:dyDescent="0.25">
      <c r="A20" s="48" t="s">
        <v>58</v>
      </c>
      <c r="B20" s="23">
        <f>+B18*B3</f>
        <v>8448000</v>
      </c>
      <c r="S20" t="s">
        <v>49</v>
      </c>
    </row>
    <row r="21" spans="1:19" x14ac:dyDescent="0.25">
      <c r="B21" s="3"/>
      <c r="C21" s="3"/>
      <c r="S21" t="s">
        <v>13</v>
      </c>
    </row>
    <row r="22" spans="1:19" x14ac:dyDescent="0.25">
      <c r="C22" s="36"/>
    </row>
    <row r="23" spans="1:19" x14ac:dyDescent="0.25">
      <c r="C23" s="36"/>
      <c r="S23" t="s">
        <v>14</v>
      </c>
    </row>
    <row r="24" spans="1:19" x14ac:dyDescent="0.25">
      <c r="C24" s="36"/>
    </row>
    <row r="25" spans="1:19" x14ac:dyDescent="0.25">
      <c r="C25" s="36"/>
      <c r="S25" t="s">
        <v>50</v>
      </c>
    </row>
    <row r="26" spans="1:19" x14ac:dyDescent="0.25">
      <c r="C26" s="36"/>
      <c r="S26" t="s">
        <v>51</v>
      </c>
    </row>
    <row r="27" spans="1:19" x14ac:dyDescent="0.25">
      <c r="C27" s="36"/>
      <c r="S27" t="s">
        <v>13</v>
      </c>
    </row>
    <row r="28" spans="1:19" x14ac:dyDescent="0.25">
      <c r="C28" s="36"/>
    </row>
    <row r="29" spans="1:19" x14ac:dyDescent="0.25">
      <c r="C29" s="36"/>
    </row>
    <row r="30" spans="1:19" x14ac:dyDescent="0.25">
      <c r="C30" s="36"/>
    </row>
    <row r="31" spans="1:19" x14ac:dyDescent="0.25">
      <c r="C31" s="36"/>
    </row>
  </sheetData>
  <mergeCells count="4">
    <mergeCell ref="A1:A2"/>
    <mergeCell ref="B1:B2"/>
    <mergeCell ref="C1:C2"/>
    <mergeCell ref="D1:M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5"/>
  <sheetViews>
    <sheetView topLeftCell="A6" workbookViewId="0">
      <selection activeCell="A22" sqref="A22:C25"/>
    </sheetView>
  </sheetViews>
  <sheetFormatPr defaultRowHeight="15" x14ac:dyDescent="0.25"/>
  <cols>
    <col min="1" max="1" width="26" customWidth="1"/>
    <col min="2" max="2" width="12.42578125" customWidth="1"/>
    <col min="3" max="3" width="17.28515625" customWidth="1"/>
    <col min="4" max="7" width="12.42578125" customWidth="1"/>
    <col min="8" max="8" width="10.42578125" bestFit="1" customWidth="1"/>
  </cols>
  <sheetData>
    <row r="7" spans="1:7" x14ac:dyDescent="0.25">
      <c r="A7" s="3" t="s">
        <v>6</v>
      </c>
    </row>
    <row r="8" spans="1:7" x14ac:dyDescent="0.25">
      <c r="A8" s="1" t="s">
        <v>7</v>
      </c>
      <c r="B8" s="6">
        <v>229579</v>
      </c>
    </row>
    <row r="9" spans="1:7" x14ac:dyDescent="0.25">
      <c r="A9" s="1" t="s">
        <v>8</v>
      </c>
      <c r="B9" s="7">
        <v>3.5000000000000003E-2</v>
      </c>
    </row>
    <row r="10" spans="1:7" x14ac:dyDescent="0.25">
      <c r="A10" s="1" t="s">
        <v>9</v>
      </c>
      <c r="B10" s="7">
        <v>5</v>
      </c>
    </row>
    <row r="11" spans="1:7" x14ac:dyDescent="0.25">
      <c r="A11" s="1" t="s">
        <v>10</v>
      </c>
      <c r="B11" s="5">
        <f>+B8*(((1+B9)^B10-1)/(B9*(1+B9)^B10))</f>
        <v>1036561.2093081966</v>
      </c>
    </row>
    <row r="14" spans="1:7" x14ac:dyDescent="0.25">
      <c r="A14" s="59"/>
      <c r="B14" s="55" t="s">
        <v>15</v>
      </c>
      <c r="C14" s="56"/>
      <c r="D14" s="56"/>
      <c r="E14" s="56"/>
      <c r="F14" s="56"/>
      <c r="G14" s="57" t="s">
        <v>5</v>
      </c>
    </row>
    <row r="15" spans="1:7" x14ac:dyDescent="0.25">
      <c r="A15" s="60"/>
      <c r="B15" s="18">
        <v>1</v>
      </c>
      <c r="C15" s="12">
        <v>2</v>
      </c>
      <c r="D15" s="19">
        <v>3</v>
      </c>
      <c r="E15" s="12">
        <v>4</v>
      </c>
      <c r="F15" s="19">
        <v>5</v>
      </c>
      <c r="G15" s="58"/>
    </row>
    <row r="16" spans="1:7" x14ac:dyDescent="0.25">
      <c r="A16" s="16" t="s">
        <v>16</v>
      </c>
      <c r="B16" s="13">
        <f>+B8</f>
        <v>229579</v>
      </c>
      <c r="C16" s="20">
        <f>+B16*0.75</f>
        <v>172184.25</v>
      </c>
      <c r="D16" s="13">
        <f>+B8*0.5</f>
        <v>114789.5</v>
      </c>
      <c r="E16" s="20">
        <f>+B8*0.25</f>
        <v>57394.75</v>
      </c>
      <c r="F16" s="13">
        <f>+B8*0.125</f>
        <v>28697.375</v>
      </c>
      <c r="G16" s="22">
        <f>SUM(B16:F16)</f>
        <v>602644.875</v>
      </c>
    </row>
    <row r="17" spans="1:7" x14ac:dyDescent="0.25">
      <c r="A17" s="17" t="s">
        <v>17</v>
      </c>
      <c r="B17" s="15">
        <f>+B16/(1+$B$9)^B15</f>
        <v>221815.4589371981</v>
      </c>
      <c r="C17" s="21">
        <f t="shared" ref="C17:F17" si="0">+C16/(1+$B$9)^C15</f>
        <v>160735.83980956383</v>
      </c>
      <c r="D17" s="15">
        <f t="shared" si="0"/>
        <v>103533.55221227945</v>
      </c>
      <c r="E17" s="21">
        <f t="shared" si="0"/>
        <v>50016.208798202635</v>
      </c>
      <c r="F17" s="15">
        <f t="shared" si="0"/>
        <v>24162.419709276641</v>
      </c>
      <c r="G17" s="23">
        <f>SUM(B17:F17)</f>
        <v>560263.47946652072</v>
      </c>
    </row>
    <row r="22" spans="1:7" x14ac:dyDescent="0.25">
      <c r="A22" s="24" t="s">
        <v>20</v>
      </c>
      <c r="B22" s="9" t="s">
        <v>22</v>
      </c>
      <c r="C22" s="25" t="s">
        <v>23</v>
      </c>
    </row>
    <row r="23" spans="1:7" x14ac:dyDescent="0.25">
      <c r="A23" s="14" t="s">
        <v>18</v>
      </c>
      <c r="B23" s="27">
        <f>+CV!B20</f>
        <v>8448000</v>
      </c>
      <c r="C23" s="26" t="s">
        <v>24</v>
      </c>
    </row>
    <row r="24" spans="1:7" x14ac:dyDescent="0.25">
      <c r="A24" s="14" t="s">
        <v>19</v>
      </c>
      <c r="B24" s="28">
        <f>+G17</f>
        <v>560263.47946652072</v>
      </c>
      <c r="C24" s="26" t="s">
        <v>52</v>
      </c>
    </row>
    <row r="25" spans="1:7" x14ac:dyDescent="0.25">
      <c r="A25" s="24" t="s">
        <v>21</v>
      </c>
      <c r="B25" s="29">
        <f>+B23-B24</f>
        <v>7887736.5205334798</v>
      </c>
      <c r="C25" s="25" t="s">
        <v>53</v>
      </c>
    </row>
  </sheetData>
  <mergeCells count="3">
    <mergeCell ref="B14:F14"/>
    <mergeCell ref="G14:G15"/>
    <mergeCell ref="A14:A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1"/>
  <sheetViews>
    <sheetView tabSelected="1" workbookViewId="0">
      <selection activeCell="B9" sqref="B9"/>
    </sheetView>
  </sheetViews>
  <sheetFormatPr defaultRowHeight="15" x14ac:dyDescent="0.25"/>
  <cols>
    <col min="1" max="1" width="39.7109375" customWidth="1"/>
    <col min="2" max="2" width="12.85546875" customWidth="1"/>
    <col min="3" max="3" width="11.7109375" customWidth="1"/>
  </cols>
  <sheetData>
    <row r="3" spans="1:3" x14ac:dyDescent="0.25">
      <c r="A3" s="34"/>
      <c r="B3" s="31" t="s">
        <v>30</v>
      </c>
      <c r="C3" s="34" t="s">
        <v>34</v>
      </c>
    </row>
    <row r="4" spans="1:3" x14ac:dyDescent="0.25">
      <c r="A4" s="34" t="s">
        <v>27</v>
      </c>
      <c r="B4" s="35">
        <f>+'CV vs TCM'!B24</f>
        <v>560263.47946652072</v>
      </c>
      <c r="C4" s="61" t="s">
        <v>35</v>
      </c>
    </row>
    <row r="5" spans="1:3" x14ac:dyDescent="0.25">
      <c r="A5" s="16" t="s">
        <v>25</v>
      </c>
      <c r="B5" s="32">
        <v>42</v>
      </c>
      <c r="C5" s="62"/>
    </row>
    <row r="6" spans="1:3" x14ac:dyDescent="0.25">
      <c r="A6" s="16" t="s">
        <v>26</v>
      </c>
      <c r="B6" s="32">
        <f>+B4/B5</f>
        <v>13339.606653964778</v>
      </c>
      <c r="C6" s="62"/>
    </row>
    <row r="7" spans="1:3" x14ac:dyDescent="0.25">
      <c r="A7" s="17" t="s">
        <v>31</v>
      </c>
      <c r="B7" s="33">
        <v>15400</v>
      </c>
      <c r="C7" s="63"/>
    </row>
    <row r="8" spans="1:3" x14ac:dyDescent="0.25">
      <c r="A8" s="16" t="s">
        <v>33</v>
      </c>
      <c r="B8" s="32">
        <v>16001</v>
      </c>
      <c r="C8" s="62" t="s">
        <v>36</v>
      </c>
    </row>
    <row r="9" spans="1:3" x14ac:dyDescent="0.25">
      <c r="A9" s="16" t="s">
        <v>29</v>
      </c>
      <c r="B9" s="32">
        <f>+B6*(B8/B7)^1</f>
        <v>13860.197796759117</v>
      </c>
      <c r="C9" s="62"/>
    </row>
    <row r="10" spans="1:3" x14ac:dyDescent="0.25">
      <c r="A10" s="16" t="s">
        <v>32</v>
      </c>
      <c r="B10" s="32">
        <v>35</v>
      </c>
      <c r="C10" s="62"/>
    </row>
    <row r="11" spans="1:3" x14ac:dyDescent="0.25">
      <c r="A11" s="17" t="s">
        <v>28</v>
      </c>
      <c r="B11" s="33">
        <f>+B10*B9</f>
        <v>485106.92288656911</v>
      </c>
      <c r="C11" s="63"/>
    </row>
  </sheetData>
  <mergeCells count="2">
    <mergeCell ref="C4:C7"/>
    <mergeCell ref="C8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CV</vt:lpstr>
      <vt:lpstr>CV vs TCM</vt:lpstr>
      <vt:lpstr>Value 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Revisore</dc:creator>
  <cp:lastModifiedBy>BERTO RAUL</cp:lastModifiedBy>
  <dcterms:created xsi:type="dcterms:W3CDTF">2019-03-10T16:13:05Z</dcterms:created>
  <dcterms:modified xsi:type="dcterms:W3CDTF">2025-04-30T07:57:07Z</dcterms:modified>
</cp:coreProperties>
</file>