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22020" windowHeight="9288"/>
  </bookViews>
  <sheets>
    <sheet name="Semplificato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23" i="1" l="1"/>
  <c r="E24" i="1"/>
  <c r="E25" i="1"/>
  <c r="E26" i="1"/>
  <c r="E27" i="1" s="1"/>
  <c r="E28" i="1" s="1"/>
  <c r="E22" i="1"/>
  <c r="E21" i="1"/>
  <c r="F14" i="1"/>
  <c r="F8" i="1"/>
  <c r="E8" i="1"/>
  <c r="B14" i="1"/>
  <c r="B8" i="1"/>
  <c r="A21" i="1"/>
  <c r="A22" i="1" s="1"/>
  <c r="A23" i="1" s="1"/>
  <c r="E14" i="1"/>
  <c r="D13" i="1"/>
  <c r="C13" i="1"/>
  <c r="B13" i="1"/>
  <c r="D12" i="1"/>
  <c r="C12" i="1"/>
  <c r="B12" i="1"/>
  <c r="D11" i="1"/>
  <c r="C11" i="1"/>
  <c r="B11" i="1"/>
  <c r="F11" i="1" s="1"/>
  <c r="D10" i="1"/>
  <c r="D9" i="1"/>
  <c r="C10" i="1"/>
  <c r="B10" i="1"/>
  <c r="E10" i="1" s="1"/>
  <c r="C9" i="1"/>
  <c r="B9" i="1"/>
  <c r="B5" i="1"/>
  <c r="B4" i="1"/>
  <c r="D4" i="1" s="1"/>
  <c r="B3" i="1"/>
  <c r="B2" i="1"/>
  <c r="B21" i="1" s="1"/>
  <c r="D21" i="1" s="1"/>
  <c r="F13" i="1" l="1"/>
  <c r="A24" i="1"/>
  <c r="A25" i="1" s="1"/>
  <c r="A26" i="1" s="1"/>
  <c r="A27" i="1" s="1"/>
  <c r="A28" i="1" s="1"/>
  <c r="E11" i="1"/>
  <c r="E9" i="1"/>
  <c r="E12" i="1"/>
  <c r="F9" i="1"/>
  <c r="E13" i="1"/>
  <c r="D2" i="1"/>
  <c r="E3" i="1" s="1"/>
  <c r="C21" i="1" s="1"/>
  <c r="E5" i="1"/>
  <c r="F12" i="1"/>
  <c r="F10" i="1"/>
  <c r="F15" i="1" s="1"/>
  <c r="E15" i="1" l="1"/>
  <c r="B17" i="1" s="1"/>
  <c r="B22" i="1" s="1"/>
  <c r="B18" i="1"/>
  <c r="C22" i="1" s="1"/>
  <c r="C23" i="1" s="1"/>
  <c r="C24" i="1" s="1"/>
  <c r="C25" i="1" s="1"/>
  <c r="C26" i="1" s="1"/>
  <c r="C27" i="1" s="1"/>
  <c r="C28" i="1" s="1"/>
  <c r="B23" i="1"/>
  <c r="D22" i="1"/>
  <c r="B24" i="1" l="1"/>
  <c r="D23" i="1"/>
  <c r="B25" i="1" l="1"/>
  <c r="D24" i="1"/>
  <c r="B26" i="1" l="1"/>
  <c r="D25" i="1"/>
  <c r="B27" i="1" l="1"/>
  <c r="D26" i="1"/>
  <c r="B28" i="1" l="1"/>
  <c r="D28" i="1" s="1"/>
  <c r="D27" i="1"/>
</calcChain>
</file>

<file path=xl/sharedStrings.xml><?xml version="1.0" encoding="utf-8"?>
<sst xmlns="http://schemas.openxmlformats.org/spreadsheetml/2006/main" count="33" uniqueCount="28">
  <si>
    <r>
      <t>t</t>
    </r>
    <r>
      <rPr>
        <vertAlign val="subscript"/>
        <sz val="11"/>
        <color theme="1"/>
        <rFont val="Calibri"/>
        <family val="2"/>
        <scheme val="minor"/>
      </rPr>
      <t>int</t>
    </r>
  </si>
  <si>
    <t>°C</t>
  </si>
  <si>
    <t>-</t>
  </si>
  <si>
    <r>
      <t>f</t>
    </r>
    <r>
      <rPr>
        <vertAlign val="subscript"/>
        <sz val="11"/>
        <color theme="1"/>
        <rFont val="Calibri"/>
        <family val="2"/>
        <scheme val="minor"/>
      </rPr>
      <t>int</t>
    </r>
  </si>
  <si>
    <t>Dati climatici</t>
  </si>
  <si>
    <t>Materiale</t>
  </si>
  <si>
    <t>L [m]</t>
  </si>
  <si>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 [W/(mK)]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</si>
  <si>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 [kg/(smPa)]</t>
    </r>
  </si>
  <si>
    <t>Intonaco</t>
  </si>
  <si>
    <t>Laterizio</t>
  </si>
  <si>
    <t>Polistirene</t>
  </si>
  <si>
    <t>Mattoni</t>
  </si>
  <si>
    <r>
      <t>R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"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K/W]</t>
    </r>
  </si>
  <si>
    <r>
      <t>R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"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sPa/kg]</t>
    </r>
  </si>
  <si>
    <t>Interno</t>
  </si>
  <si>
    <t>Esterno</t>
  </si>
  <si>
    <t>q"</t>
  </si>
  <si>
    <r>
      <t>W/m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</si>
  <si>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</t>
    </r>
    <r>
      <rPr>
        <vertAlign val="subscript"/>
        <sz val="11"/>
        <color theme="1"/>
        <rFont val="Calibri"/>
        <family val="2"/>
        <scheme val="minor"/>
      </rPr>
      <t>sat</t>
    </r>
  </si>
  <si>
    <r>
      <t>p</t>
    </r>
    <r>
      <rPr>
        <vertAlign val="subscript"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 xml:space="preserve"> [Pa]</t>
    </r>
  </si>
  <si>
    <r>
      <t>p</t>
    </r>
    <r>
      <rPr>
        <vertAlign val="subscript"/>
        <sz val="11"/>
        <color theme="1"/>
        <rFont val="Calibri"/>
        <family val="2"/>
        <scheme val="minor"/>
      </rPr>
      <t>vap</t>
    </r>
    <r>
      <rPr>
        <sz val="11"/>
        <color theme="1"/>
        <rFont val="Calibri"/>
        <family val="2"/>
        <scheme val="minor"/>
      </rPr>
      <t xml:space="preserve"> [Pa]</t>
    </r>
  </si>
  <si>
    <t>g"</t>
  </si>
  <si>
    <r>
      <t>kg/(m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s)</t>
    </r>
  </si>
  <si>
    <t>x</t>
  </si>
  <si>
    <t>t</t>
  </si>
  <si>
    <r>
      <t>p</t>
    </r>
    <r>
      <rPr>
        <vertAlign val="subscript"/>
        <sz val="11"/>
        <color theme="1"/>
        <rFont val="Calibri"/>
        <family val="2"/>
        <scheme val="minor"/>
      </rPr>
      <t>vap</t>
    </r>
  </si>
  <si>
    <r>
      <t>R</t>
    </r>
    <r>
      <rPr>
        <vertAlign val="subscript"/>
        <sz val="11"/>
        <color theme="1"/>
        <rFont val="Calibri"/>
        <family val="2"/>
        <scheme val="minor"/>
      </rPr>
      <t>vx</t>
    </r>
    <r>
      <rPr>
        <sz val="11"/>
        <color theme="1"/>
        <rFont val="Calibri"/>
        <family val="2"/>
        <scheme val="minor"/>
      </rPr>
      <t>"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sPa/kg]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</si>
</sst>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00"/>
    <numFmt numFmtId="171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9" fontId="0" fillId="0" borderId="0" xfId="0" applyNumberFormat="1"/>
    <xf numFmtId="11" fontId="0" fillId="0" borderId="0" xfId="0" applyNumberFormat="1"/>
    <xf numFmtId="11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right"/>
    </xf>
    <xf numFmtId="11" fontId="0" fillId="0" borderId="0" xfId="0" applyNumberFormat="1" applyFill="1" applyBorder="1" applyAlignment="1">
      <alignment horizontal="right"/>
    </xf>
    <xf numFmtId="11" fontId="0" fillId="0" borderId="0" xfId="0" applyNumberFormat="1" applyBorder="1" applyAlignment="1">
      <alignment horizontal="right"/>
    </xf>
    <xf numFmtId="169" fontId="0" fillId="0" borderId="0" xfId="0" applyNumberFormat="1" applyAlignment="1">
      <alignment horizontal="right"/>
    </xf>
    <xf numFmtId="169" fontId="0" fillId="0" borderId="0" xfId="0" applyNumberForma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0" fillId="0" borderId="1" xfId="0" applyNumberFormat="1" applyBorder="1" applyAlignment="1">
      <alignment horizontal="right"/>
    </xf>
    <xf numFmtId="11" fontId="0" fillId="0" borderId="1" xfId="0" applyNumberFormat="1" applyBorder="1" applyAlignment="1">
      <alignment horizontal="right"/>
    </xf>
    <xf numFmtId="171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Border="1" applyAlignment="1">
      <alignment horizontal="right"/>
    </xf>
    <xf numFmtId="1" fontId="0" fillId="0" borderId="0" xfId="0" applyNumberFormat="1"/>
    <xf numFmtId="171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28018372703412"/>
          <c:y val="6.08472583461004E-2"/>
          <c:w val="0.81132370953630806"/>
          <c:h val="0.71161783510092913"/>
        </c:manualLayout>
      </c:layout>
      <c:scatterChart>
        <c:scatterStyle val="lineMarker"/>
        <c:varyColors val="0"/>
        <c:ser>
          <c:idx val="0"/>
          <c:order val="0"/>
          <c:tx>
            <c:v>p_sat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Semplificato!$A$21:$A$28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0.1</c:v>
                </c:pt>
                <c:pt idx="4">
                  <c:v>0.14000000000000001</c:v>
                </c:pt>
                <c:pt idx="5">
                  <c:v>0.39</c:v>
                </c:pt>
                <c:pt idx="6">
                  <c:v>0.41000000000000003</c:v>
                </c:pt>
                <c:pt idx="7">
                  <c:v>0.41000000000000003</c:v>
                </c:pt>
              </c:numCache>
            </c:numRef>
          </c:xVal>
          <c:yVal>
            <c:numRef>
              <c:f>Semplificato!$D$21:$D$28</c:f>
              <c:numCache>
                <c:formatCode>0</c:formatCode>
                <c:ptCount val="8"/>
                <c:pt idx="0">
                  <c:v>2348.1908535933267</c:v>
                </c:pt>
                <c:pt idx="1">
                  <c:v>1974.2357787107865</c:v>
                </c:pt>
                <c:pt idx="2">
                  <c:v>1935.0176689690068</c:v>
                </c:pt>
                <c:pt idx="3">
                  <c:v>1610.5844529531637</c:v>
                </c:pt>
                <c:pt idx="4">
                  <c:v>773.69078269995032</c:v>
                </c:pt>
                <c:pt idx="5">
                  <c:v>440.4771391126452</c:v>
                </c:pt>
                <c:pt idx="6">
                  <c:v>435.2322057178049</c:v>
                </c:pt>
                <c:pt idx="7">
                  <c:v>420.83975492191996</c:v>
                </c:pt>
              </c:numCache>
            </c:numRef>
          </c:yVal>
          <c:smooth val="0"/>
        </c:ser>
        <c:ser>
          <c:idx val="1"/>
          <c:order val="1"/>
          <c:tx>
            <c:v>p_vap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Semplificato!$A$21:$A$28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0.1</c:v>
                </c:pt>
                <c:pt idx="4">
                  <c:v>0.14000000000000001</c:v>
                </c:pt>
                <c:pt idx="5">
                  <c:v>0.39</c:v>
                </c:pt>
                <c:pt idx="6">
                  <c:v>0.41000000000000003</c:v>
                </c:pt>
                <c:pt idx="7">
                  <c:v>0.41000000000000003</c:v>
                </c:pt>
              </c:numCache>
            </c:numRef>
          </c:xVal>
          <c:yVal>
            <c:numRef>
              <c:f>Semplificato!$C$21:$C$28</c:f>
              <c:numCache>
                <c:formatCode>0</c:formatCode>
                <c:ptCount val="8"/>
                <c:pt idx="0">
                  <c:v>1174.0954267966633</c:v>
                </c:pt>
                <c:pt idx="1">
                  <c:v>1174.0954267966633</c:v>
                </c:pt>
                <c:pt idx="2">
                  <c:v>1144.7783817847537</c:v>
                </c:pt>
                <c:pt idx="3">
                  <c:v>1082.8868423151669</c:v>
                </c:pt>
                <c:pt idx="4">
                  <c:v>576.50151938218437</c:v>
                </c:pt>
                <c:pt idx="5">
                  <c:v>383.09045853972577</c:v>
                </c:pt>
                <c:pt idx="6">
                  <c:v>336.67180393753574</c:v>
                </c:pt>
                <c:pt idx="7">
                  <c:v>336.67180393753574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106560"/>
        <c:axId val="206052736"/>
      </c:scatterChart>
      <c:valAx>
        <c:axId val="2211065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b="0"/>
                  <a:t>x [m]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06052736"/>
        <c:crosses val="autoZero"/>
        <c:crossBetween val="midCat"/>
      </c:valAx>
      <c:valAx>
        <c:axId val="206052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 b="0"/>
                  <a:t>p [Pa]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21106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390244969378831"/>
          <c:y val="0.10239862551117762"/>
          <c:w val="0.15220866141732284"/>
          <c:h val="0.181829194427619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Temperatura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Semplificato!$A$21:$A$28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0.1</c:v>
                </c:pt>
                <c:pt idx="4">
                  <c:v>0.14000000000000001</c:v>
                </c:pt>
                <c:pt idx="5">
                  <c:v>0.39</c:v>
                </c:pt>
                <c:pt idx="6">
                  <c:v>0.41000000000000003</c:v>
                </c:pt>
                <c:pt idx="7">
                  <c:v>0.41000000000000003</c:v>
                </c:pt>
              </c:numCache>
            </c:numRef>
          </c:xVal>
          <c:yVal>
            <c:numRef>
              <c:f>Semplificato!$B$21:$B$28</c:f>
              <c:numCache>
                <c:formatCode>#,#00</c:formatCode>
                <c:ptCount val="8"/>
                <c:pt idx="0">
                  <c:v>20</c:v>
                </c:pt>
                <c:pt idx="1">
                  <c:v>17.235706885740811</c:v>
                </c:pt>
                <c:pt idx="2">
                  <c:v>16.919787672682617</c:v>
                </c:pt>
                <c:pt idx="3">
                  <c:v>14.066323812802164</c:v>
                </c:pt>
                <c:pt idx="4">
                  <c:v>3.2788384888638671</c:v>
                </c:pt>
                <c:pt idx="5">
                  <c:v>-4.3997534951894348</c:v>
                </c:pt>
                <c:pt idx="6">
                  <c:v>-4.5577131017185311</c:v>
                </c:pt>
                <c:pt idx="7">
                  <c:v>-5.0000000000000009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657792"/>
        <c:axId val="142656256"/>
      </c:scatterChart>
      <c:valAx>
        <c:axId val="142657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b="0"/>
                  <a:t>x [m]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2656256"/>
        <c:crossesAt val="-10"/>
        <c:crossBetween val="midCat"/>
      </c:valAx>
      <c:valAx>
        <c:axId val="142656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 b="0"/>
                  <a:t>Temperatura [°C]</a:t>
                </a:r>
              </a:p>
            </c:rich>
          </c:tx>
          <c:layout/>
          <c:overlay val="0"/>
        </c:title>
        <c:numFmt formatCode="#,#00" sourceLinked="1"/>
        <c:majorTickMark val="out"/>
        <c:minorTickMark val="none"/>
        <c:tickLblPos val="nextTo"/>
        <c:crossAx val="142657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59951881014874"/>
          <c:y val="5.1400554097404488E-2"/>
          <c:w val="0.76127559055118099"/>
          <c:h val="0.73366052390198577"/>
        </c:manualLayout>
      </c:layout>
      <c:scatterChart>
        <c:scatterStyle val="lineMarker"/>
        <c:varyColors val="0"/>
        <c:ser>
          <c:idx val="0"/>
          <c:order val="0"/>
          <c:tx>
            <c:v>p_sat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Semplificato!$E$21:$E$28</c:f>
              <c:numCache>
                <c:formatCode>0.00E+00</c:formatCode>
                <c:ptCount val="8"/>
                <c:pt idx="0" formatCode="General">
                  <c:v>0</c:v>
                </c:pt>
                <c:pt idx="1">
                  <c:v>0</c:v>
                </c:pt>
                <c:pt idx="2">
                  <c:v>1052631578.9473685</c:v>
                </c:pt>
                <c:pt idx="3">
                  <c:v>3274853801.169591</c:v>
                </c:pt>
                <c:pt idx="4">
                  <c:v>21456671982.98777</c:v>
                </c:pt>
                <c:pt idx="5">
                  <c:v>28401116427.432213</c:v>
                </c:pt>
                <c:pt idx="6">
                  <c:v>30067783094.098881</c:v>
                </c:pt>
                <c:pt idx="7">
                  <c:v>30067783094.098881</c:v>
                </c:pt>
              </c:numCache>
            </c:numRef>
          </c:xVal>
          <c:yVal>
            <c:numRef>
              <c:f>Semplificato!$D$21:$D$28</c:f>
              <c:numCache>
                <c:formatCode>0</c:formatCode>
                <c:ptCount val="8"/>
                <c:pt idx="0">
                  <c:v>2348.1908535933267</c:v>
                </c:pt>
                <c:pt idx="1">
                  <c:v>1974.2357787107865</c:v>
                </c:pt>
                <c:pt idx="2">
                  <c:v>1935.0176689690068</c:v>
                </c:pt>
                <c:pt idx="3">
                  <c:v>1610.5844529531637</c:v>
                </c:pt>
                <c:pt idx="4">
                  <c:v>773.69078269995032</c:v>
                </c:pt>
                <c:pt idx="5">
                  <c:v>440.4771391126452</c:v>
                </c:pt>
                <c:pt idx="6">
                  <c:v>435.2322057178049</c:v>
                </c:pt>
                <c:pt idx="7">
                  <c:v>420.83975492191996</c:v>
                </c:pt>
              </c:numCache>
            </c:numRef>
          </c:yVal>
          <c:smooth val="0"/>
        </c:ser>
        <c:ser>
          <c:idx val="1"/>
          <c:order val="1"/>
          <c:tx>
            <c:v>p_vap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Semplificato!$E$21:$E$28</c:f>
              <c:numCache>
                <c:formatCode>0.00E+00</c:formatCode>
                <c:ptCount val="8"/>
                <c:pt idx="0" formatCode="General">
                  <c:v>0</c:v>
                </c:pt>
                <c:pt idx="1">
                  <c:v>0</c:v>
                </c:pt>
                <c:pt idx="2">
                  <c:v>1052631578.9473685</c:v>
                </c:pt>
                <c:pt idx="3">
                  <c:v>3274853801.169591</c:v>
                </c:pt>
                <c:pt idx="4">
                  <c:v>21456671982.98777</c:v>
                </c:pt>
                <c:pt idx="5">
                  <c:v>28401116427.432213</c:v>
                </c:pt>
                <c:pt idx="6">
                  <c:v>30067783094.098881</c:v>
                </c:pt>
                <c:pt idx="7">
                  <c:v>30067783094.098881</c:v>
                </c:pt>
              </c:numCache>
            </c:numRef>
          </c:xVal>
          <c:yVal>
            <c:numRef>
              <c:f>Semplificato!$C$21:$C$28</c:f>
              <c:numCache>
                <c:formatCode>0</c:formatCode>
                <c:ptCount val="8"/>
                <c:pt idx="0">
                  <c:v>1174.0954267966633</c:v>
                </c:pt>
                <c:pt idx="1">
                  <c:v>1174.0954267966633</c:v>
                </c:pt>
                <c:pt idx="2">
                  <c:v>1144.7783817847537</c:v>
                </c:pt>
                <c:pt idx="3">
                  <c:v>1082.8868423151669</c:v>
                </c:pt>
                <c:pt idx="4">
                  <c:v>576.50151938218437</c:v>
                </c:pt>
                <c:pt idx="5">
                  <c:v>383.09045853972577</c:v>
                </c:pt>
                <c:pt idx="6">
                  <c:v>336.67180393753574</c:v>
                </c:pt>
                <c:pt idx="7">
                  <c:v>336.67180393753574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36832"/>
        <c:axId val="144134528"/>
      </c:scatterChart>
      <c:valAx>
        <c:axId val="1441368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b="0"/>
                  <a:t>R</a:t>
                </a:r>
                <a:r>
                  <a:rPr lang="it-IT" b="0" baseline="-25000"/>
                  <a:t>vx</a:t>
                </a:r>
                <a:r>
                  <a:rPr lang="it-IT" b="0"/>
                  <a:t>" [m</a:t>
                </a:r>
                <a:r>
                  <a:rPr lang="it-IT" b="0" baseline="30000"/>
                  <a:t>2</a:t>
                </a:r>
                <a:r>
                  <a:rPr lang="it-IT" b="0"/>
                  <a:t>sPa/kg]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134528"/>
        <c:crosses val="autoZero"/>
        <c:crossBetween val="midCat"/>
        <c:majorUnit val="10000000000"/>
      </c:valAx>
      <c:valAx>
        <c:axId val="144134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 b="0"/>
                  <a:t>p [Pa]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44136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112467191601049"/>
          <c:y val="0.10899019619521841"/>
          <c:w val="0.15220866141732284"/>
          <c:h val="0.182379358404707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220980</xdr:colOff>
      <xdr:row>0</xdr:row>
      <xdr:rowOff>152400</xdr:rowOff>
    </xdr:from>
    <xdr:to>
      <xdr:col>13</xdr:col>
      <xdr:colOff>525780</xdr:colOff>
      <xdr:row>14</xdr:row>
      <xdr:rowOff>11430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220980</xdr:colOff>
      <xdr:row>14</xdr:row>
      <xdr:rowOff>11430</xdr:rowOff>
    </xdr:from>
    <xdr:to>
      <xdr:col>13</xdr:col>
      <xdr:colOff>525780</xdr:colOff>
      <xdr:row>28</xdr:row>
      <xdr:rowOff>133350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533400</xdr:colOff>
      <xdr:row>0</xdr:row>
      <xdr:rowOff>156210</xdr:rowOff>
    </xdr:from>
    <xdr:to>
      <xdr:col>21</xdr:col>
      <xdr:colOff>228600</xdr:colOff>
      <xdr:row>14</xdr:row>
      <xdr:rowOff>7620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B1" workbookViewId="0">
      <selection activeCell="U21" sqref="U21"/>
    </sheetView>
  </sheetViews>
  <sheetFormatPr defaultRowHeight="14.4" x14ac:dyDescent="0.3"/>
  <cols>
    <col min="1" max="1" width="10.5546875" style="1" customWidth="1"/>
    <col min="2" max="2" width="9.44140625" customWidth="1"/>
    <col min="3" max="3" width="11.44140625" customWidth="1"/>
    <col min="4" max="4" width="13" customWidth="1"/>
    <col min="5" max="5" width="15.109375" customWidth="1"/>
    <col min="6" max="6" width="13.77734375" customWidth="1"/>
  </cols>
  <sheetData>
    <row r="1" spans="1:6" ht="15.6" x14ac:dyDescent="0.35">
      <c r="A1" s="6" t="s">
        <v>4</v>
      </c>
      <c r="B1" s="6"/>
      <c r="C1" s="6"/>
      <c r="D1" s="3" t="s">
        <v>20</v>
      </c>
      <c r="E1" s="3" t="s">
        <v>21</v>
      </c>
    </row>
    <row r="2" spans="1:6" ht="15.6" x14ac:dyDescent="0.35">
      <c r="A2" s="1" t="s">
        <v>0</v>
      </c>
      <c r="B2">
        <f>20</f>
        <v>20</v>
      </c>
      <c r="C2" t="s">
        <v>1</v>
      </c>
      <c r="D2" s="23">
        <f>611*EXP(17.3*B2/(237+B2))</f>
        <v>2348.1908535933267</v>
      </c>
    </row>
    <row r="3" spans="1:6" ht="15.6" x14ac:dyDescent="0.35">
      <c r="A3" s="2" t="s">
        <v>3</v>
      </c>
      <c r="B3">
        <f>0.5</f>
        <v>0.5</v>
      </c>
      <c r="C3" t="s">
        <v>2</v>
      </c>
      <c r="D3" s="23"/>
      <c r="E3" s="23">
        <f>B3*D2</f>
        <v>1174.0954267966633</v>
      </c>
    </row>
    <row r="4" spans="1:6" ht="15.6" x14ac:dyDescent="0.35">
      <c r="A4" s="1" t="s">
        <v>0</v>
      </c>
      <c r="B4">
        <f>-5</f>
        <v>-5</v>
      </c>
      <c r="C4" t="s">
        <v>1</v>
      </c>
      <c r="D4" s="23">
        <f t="shared" ref="D4" si="0">611*EXP(17.3*B4/(237+B4))</f>
        <v>420.83975492191996</v>
      </c>
      <c r="E4" s="23"/>
    </row>
    <row r="5" spans="1:6" ht="15.6" x14ac:dyDescent="0.35">
      <c r="A5" s="2" t="s">
        <v>3</v>
      </c>
      <c r="B5">
        <f>0.8</f>
        <v>0.8</v>
      </c>
      <c r="C5" t="s">
        <v>2</v>
      </c>
      <c r="D5" s="23"/>
      <c r="E5" s="23">
        <f t="shared" ref="E5" si="1">B5*D4</f>
        <v>336.67180393753597</v>
      </c>
    </row>
    <row r="7" spans="1:6" ht="16.8" x14ac:dyDescent="0.35">
      <c r="A7" s="5" t="s">
        <v>5</v>
      </c>
      <c r="B7" s="4" t="s">
        <v>6</v>
      </c>
      <c r="C7" s="4" t="s">
        <v>7</v>
      </c>
      <c r="D7" s="4" t="s">
        <v>8</v>
      </c>
      <c r="E7" s="7" t="s">
        <v>13</v>
      </c>
      <c r="F7" s="7" t="s">
        <v>14</v>
      </c>
    </row>
    <row r="8" spans="1:6" x14ac:dyDescent="0.3">
      <c r="A8" s="12" t="s">
        <v>15</v>
      </c>
      <c r="B8" s="22">
        <f>0</f>
        <v>0</v>
      </c>
      <c r="C8" s="11"/>
      <c r="D8" s="11"/>
      <c r="E8" s="17">
        <f>0.25</f>
        <v>0.25</v>
      </c>
      <c r="F8" s="13">
        <f>0</f>
        <v>0</v>
      </c>
    </row>
    <row r="9" spans="1:6" x14ac:dyDescent="0.3">
      <c r="A9" s="1" t="s">
        <v>9</v>
      </c>
      <c r="B9" s="1">
        <f>0.02</f>
        <v>0.02</v>
      </c>
      <c r="C9" s="1">
        <f>0.7</f>
        <v>0.7</v>
      </c>
      <c r="D9" s="10">
        <f>19*10^(-12)</f>
        <v>1.8999999999999999E-11</v>
      </c>
      <c r="E9" s="15">
        <f>B9/C9</f>
        <v>2.8571428571428574E-2</v>
      </c>
      <c r="F9" s="10">
        <f>B9/D9</f>
        <v>1052631578.9473685</v>
      </c>
    </row>
    <row r="10" spans="1:6" x14ac:dyDescent="0.3">
      <c r="A10" s="1" t="s">
        <v>10</v>
      </c>
      <c r="B10" s="1">
        <f>0.08</f>
        <v>0.08</v>
      </c>
      <c r="C10" s="1">
        <f>0.31</f>
        <v>0.31</v>
      </c>
      <c r="D10" s="10">
        <f>36*10^(-12)</f>
        <v>3.5999999999999998E-11</v>
      </c>
      <c r="E10" s="15">
        <f t="shared" ref="E10:E13" si="2">B10/C10</f>
        <v>0.25806451612903225</v>
      </c>
      <c r="F10" s="10">
        <f t="shared" ref="F10:F13" si="3">B10/D10</f>
        <v>2222222222.2222223</v>
      </c>
    </row>
    <row r="11" spans="1:6" x14ac:dyDescent="0.3">
      <c r="A11" s="1" t="s">
        <v>11</v>
      </c>
      <c r="B11" s="1">
        <f>0.04</f>
        <v>0.04</v>
      </c>
      <c r="C11" s="1">
        <f>0.041</f>
        <v>4.1000000000000002E-2</v>
      </c>
      <c r="D11" s="10">
        <f>2.2*10^(-12)</f>
        <v>2.2000000000000003E-12</v>
      </c>
      <c r="E11" s="15">
        <f t="shared" si="2"/>
        <v>0.97560975609756095</v>
      </c>
      <c r="F11" s="10">
        <f t="shared" si="3"/>
        <v>18181818181.81818</v>
      </c>
    </row>
    <row r="12" spans="1:6" x14ac:dyDescent="0.3">
      <c r="A12" s="1" t="s">
        <v>12</v>
      </c>
      <c r="B12" s="1">
        <f>0.25</f>
        <v>0.25</v>
      </c>
      <c r="C12" s="1">
        <f>0.36</f>
        <v>0.36</v>
      </c>
      <c r="D12" s="10">
        <f>36*10^(-12)</f>
        <v>3.5999999999999998E-11</v>
      </c>
      <c r="E12" s="15">
        <f t="shared" si="2"/>
        <v>0.69444444444444442</v>
      </c>
      <c r="F12" s="10">
        <f t="shared" si="3"/>
        <v>6944444444.4444447</v>
      </c>
    </row>
    <row r="13" spans="1:6" x14ac:dyDescent="0.3">
      <c r="A13" s="1" t="s">
        <v>9</v>
      </c>
      <c r="B13" s="1">
        <f>0.02</f>
        <v>0.02</v>
      </c>
      <c r="C13" s="1">
        <f>1.4</f>
        <v>1.4</v>
      </c>
      <c r="D13" s="10">
        <f>12*10^(-12)</f>
        <v>1.2000000000000001E-11</v>
      </c>
      <c r="E13" s="16">
        <f t="shared" si="2"/>
        <v>1.4285714285714287E-2</v>
      </c>
      <c r="F13" s="14">
        <f t="shared" si="3"/>
        <v>1666666666.6666665</v>
      </c>
    </row>
    <row r="14" spans="1:6" x14ac:dyDescent="0.3">
      <c r="A14" s="1" t="s">
        <v>16</v>
      </c>
      <c r="B14" s="21">
        <f>0</f>
        <v>0</v>
      </c>
      <c r="C14" s="1"/>
      <c r="D14" s="10"/>
      <c r="E14" s="18">
        <f>0.04</f>
        <v>0.04</v>
      </c>
      <c r="F14" s="19">
        <f>0</f>
        <v>0</v>
      </c>
    </row>
    <row r="15" spans="1:6" x14ac:dyDescent="0.3">
      <c r="E15" s="8">
        <f>SUM(E8:E14)</f>
        <v>2.2609758595281804</v>
      </c>
      <c r="F15" s="9">
        <f>SUM(F8:F14)</f>
        <v>30067783094.098881</v>
      </c>
    </row>
    <row r="17" spans="1:5" ht="16.2" x14ac:dyDescent="0.3">
      <c r="A17" s="1" t="s">
        <v>17</v>
      </c>
      <c r="B17" s="20">
        <f>(B2-B4)/E15</f>
        <v>11.057172457036755</v>
      </c>
      <c r="C17" t="s">
        <v>18</v>
      </c>
    </row>
    <row r="18" spans="1:5" ht="16.2" x14ac:dyDescent="0.3">
      <c r="A18" s="1" t="s">
        <v>22</v>
      </c>
      <c r="B18" s="9">
        <f>(E3-E5)/F15</f>
        <v>2.7851192761314038E-8</v>
      </c>
      <c r="C18" t="s">
        <v>23</v>
      </c>
    </row>
    <row r="20" spans="1:5" ht="16.8" x14ac:dyDescent="0.35">
      <c r="A20" s="3" t="s">
        <v>24</v>
      </c>
      <c r="B20" s="3" t="s">
        <v>25</v>
      </c>
      <c r="C20" s="3" t="s">
        <v>26</v>
      </c>
      <c r="D20" s="3" t="s">
        <v>19</v>
      </c>
      <c r="E20" s="3" t="s">
        <v>27</v>
      </c>
    </row>
    <row r="21" spans="1:5" x14ac:dyDescent="0.3">
      <c r="A21" s="21">
        <f>0</f>
        <v>0</v>
      </c>
      <c r="B21" s="24">
        <f>B2</f>
        <v>20</v>
      </c>
      <c r="C21" s="25">
        <f>E3</f>
        <v>1174.0954267966633</v>
      </c>
      <c r="D21" s="23">
        <f>611*EXP(17.3*B21/(237+B21))</f>
        <v>2348.1908535933267</v>
      </c>
      <c r="E21">
        <f>0</f>
        <v>0</v>
      </c>
    </row>
    <row r="22" spans="1:5" x14ac:dyDescent="0.3">
      <c r="A22" s="21">
        <f>A21+B8</f>
        <v>0</v>
      </c>
      <c r="B22" s="20">
        <f>B21-$B$17*E8</f>
        <v>17.235706885740811</v>
      </c>
      <c r="C22" s="23">
        <f>C21-$B$18*F8</f>
        <v>1174.0954267966633</v>
      </c>
      <c r="D22" s="23">
        <f t="shared" ref="D22:D28" si="4">611*EXP(17.3*B22/(237+B22))</f>
        <v>1974.2357787107865</v>
      </c>
      <c r="E22" s="9">
        <f>E21+F8</f>
        <v>0</v>
      </c>
    </row>
    <row r="23" spans="1:5" x14ac:dyDescent="0.3">
      <c r="A23" s="21">
        <f>A22+B9</f>
        <v>0.02</v>
      </c>
      <c r="B23" s="20">
        <f>B22-$B$17*E9</f>
        <v>16.919787672682617</v>
      </c>
      <c r="C23" s="23">
        <f>C22-$B$18*F9</f>
        <v>1144.7783817847537</v>
      </c>
      <c r="D23" s="23">
        <f t="shared" si="4"/>
        <v>1935.0176689690068</v>
      </c>
      <c r="E23" s="9">
        <f t="shared" ref="E23:E28" si="5">E22+F9</f>
        <v>1052631578.9473685</v>
      </c>
    </row>
    <row r="24" spans="1:5" x14ac:dyDescent="0.3">
      <c r="A24" s="21">
        <f>A23+B10</f>
        <v>0.1</v>
      </c>
      <c r="B24" s="20">
        <f>B23-$B$17*E10</f>
        <v>14.066323812802164</v>
      </c>
      <c r="C24" s="23">
        <f>C23-$B$18*F10</f>
        <v>1082.8868423151669</v>
      </c>
      <c r="D24" s="23">
        <f t="shared" si="4"/>
        <v>1610.5844529531637</v>
      </c>
      <c r="E24" s="9">
        <f t="shared" si="5"/>
        <v>3274853801.169591</v>
      </c>
    </row>
    <row r="25" spans="1:5" x14ac:dyDescent="0.3">
      <c r="A25" s="21">
        <f>A24+B11</f>
        <v>0.14000000000000001</v>
      </c>
      <c r="B25" s="20">
        <f>B24-$B$17*E11</f>
        <v>3.2788384888638671</v>
      </c>
      <c r="C25" s="23">
        <f>C24-$B$18*F11</f>
        <v>576.50151938218437</v>
      </c>
      <c r="D25" s="23">
        <f t="shared" si="4"/>
        <v>773.69078269995032</v>
      </c>
      <c r="E25" s="9">
        <f t="shared" si="5"/>
        <v>21456671982.98777</v>
      </c>
    </row>
    <row r="26" spans="1:5" x14ac:dyDescent="0.3">
      <c r="A26" s="21">
        <f>A25+B12</f>
        <v>0.39</v>
      </c>
      <c r="B26" s="20">
        <f>B25-$B$17*E12</f>
        <v>-4.3997534951894348</v>
      </c>
      <c r="C26" s="23">
        <f>C25-$B$18*F12</f>
        <v>383.09045853972577</v>
      </c>
      <c r="D26" s="23">
        <f t="shared" si="4"/>
        <v>440.4771391126452</v>
      </c>
      <c r="E26" s="9">
        <f t="shared" si="5"/>
        <v>28401116427.432213</v>
      </c>
    </row>
    <row r="27" spans="1:5" x14ac:dyDescent="0.3">
      <c r="A27" s="21">
        <f>A26+B13</f>
        <v>0.41000000000000003</v>
      </c>
      <c r="B27" s="20">
        <f>B26-$B$17*E13</f>
        <v>-4.5577131017185311</v>
      </c>
      <c r="C27" s="23">
        <f>C26-$B$18*F13</f>
        <v>336.67180393753574</v>
      </c>
      <c r="D27" s="23">
        <f t="shared" si="4"/>
        <v>435.2322057178049</v>
      </c>
      <c r="E27" s="9">
        <f t="shared" si="5"/>
        <v>30067783094.098881</v>
      </c>
    </row>
    <row r="28" spans="1:5" x14ac:dyDescent="0.3">
      <c r="A28" s="21">
        <f>A27+B14</f>
        <v>0.41000000000000003</v>
      </c>
      <c r="B28" s="20">
        <f>B27-$B$17*E14</f>
        <v>-5.0000000000000009</v>
      </c>
      <c r="C28" s="23">
        <f>C27-$B$18*F14</f>
        <v>336.67180393753574</v>
      </c>
      <c r="D28" s="23">
        <f t="shared" si="4"/>
        <v>420.83975492191996</v>
      </c>
      <c r="E28" s="9">
        <f t="shared" si="5"/>
        <v>30067783094.098881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Semplificato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riki</cp:lastModifiedBy>
  <dcterms:created xsi:type="dcterms:W3CDTF">2025-04-29T18:56:54Z</dcterms:created>
  <dcterms:modified xsi:type="dcterms:W3CDTF">2025-04-29T20:01:35Z</dcterms:modified>
</cp:coreProperties>
</file>