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184\Downloads\"/>
    </mc:Choice>
  </mc:AlternateContent>
  <bookViews>
    <workbookView xWindow="0" yWindow="0" windowWidth="23040" windowHeight="9195" activeTab="1"/>
  </bookViews>
  <sheets>
    <sheet name="Canna fumaria" sheetId="4" r:id="rId1"/>
    <sheet name="Stillicidio" sheetId="5" r:id="rId2"/>
    <sheet name="Rientrata 2" sheetId="9" r:id="rId3"/>
    <sheet name="Rete teleriscaldamento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0" l="1"/>
  <c r="D20" i="10"/>
  <c r="D17" i="9"/>
  <c r="D17" i="5"/>
  <c r="D16" i="4"/>
  <c r="D18" i="10"/>
  <c r="D12" i="10"/>
  <c r="D13" i="10"/>
  <c r="D21" i="10"/>
  <c r="D32" i="10"/>
  <c r="D34" i="10" s="1"/>
  <c r="D40" i="10" s="1"/>
  <c r="D6" i="10"/>
  <c r="D32" i="9"/>
  <c r="D34" i="9" s="1"/>
  <c r="D21" i="9"/>
  <c r="D19" i="9"/>
  <c r="D22" i="9"/>
  <c r="D26" i="9" s="1"/>
  <c r="D12" i="9"/>
  <c r="D11" i="9"/>
  <c r="D5" i="9"/>
  <c r="D20" i="9" s="1"/>
  <c r="D21" i="5"/>
  <c r="D19" i="5"/>
  <c r="D20" i="4"/>
  <c r="D19" i="4"/>
  <c r="D18" i="4"/>
  <c r="D11" i="5"/>
  <c r="D12" i="5" s="1"/>
  <c r="D22" i="10" l="1"/>
  <c r="D33" i="10"/>
  <c r="D23" i="10"/>
  <c r="D33" i="9"/>
  <c r="D23" i="9"/>
  <c r="D25" i="9" l="1"/>
  <c r="D27" i="9" s="1"/>
  <c r="D36" i="9"/>
  <c r="D37" i="9" s="1"/>
  <c r="D38" i="9" s="1"/>
  <c r="D25" i="10"/>
  <c r="D37" i="10" s="1"/>
  <c r="D36" i="10" l="1"/>
  <c r="D38" i="10" s="1"/>
  <c r="D41" i="10" s="1"/>
  <c r="D22" i="5"/>
  <c r="D26" i="5" s="1"/>
  <c r="D5" i="5"/>
  <c r="D20" i="5" s="1"/>
  <c r="D22" i="4" l="1"/>
  <c r="D26" i="4" s="1"/>
  <c r="D5" i="4"/>
  <c r="D11" i="4"/>
  <c r="D21" i="4" s="1"/>
  <c r="D23" i="5" l="1"/>
  <c r="D25" i="5" s="1"/>
  <c r="D27" i="5" s="1"/>
  <c r="D23" i="4" l="1"/>
  <c r="D25" i="4" s="1"/>
  <c r="D27" i="4" s="1"/>
</calcChain>
</file>

<file path=xl/sharedStrings.xml><?xml version="1.0" encoding="utf-8"?>
<sst xmlns="http://schemas.openxmlformats.org/spreadsheetml/2006/main" count="308" uniqueCount="105">
  <si>
    <t>Lana di roccia</t>
  </si>
  <si>
    <t>Canna a doppia parete in acciaio inox</t>
  </si>
  <si>
    <t>Diametro interno</t>
  </si>
  <si>
    <t>[m]</t>
  </si>
  <si>
    <t>Spessore</t>
  </si>
  <si>
    <t>Condotto interno</t>
  </si>
  <si>
    <t>Diametro esterno</t>
  </si>
  <si>
    <t>Isolante</t>
  </si>
  <si>
    <t>Condotto esterno</t>
  </si>
  <si>
    <t>s</t>
  </si>
  <si>
    <t>[W/m°C]</t>
  </si>
  <si>
    <t>Temperatura interna della canna fumaria</t>
  </si>
  <si>
    <t>[°C]</t>
  </si>
  <si>
    <t>Coefficiente liminare interno lato fumi</t>
  </si>
  <si>
    <r>
      <t>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°C]</t>
    </r>
  </si>
  <si>
    <t>Resistenza termica canna fumaria</t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</si>
  <si>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°C/W]</t>
    </r>
  </si>
  <si>
    <r>
      <t>D</t>
    </r>
    <r>
      <rPr>
        <vertAlign val="subscript"/>
        <sz val="11"/>
        <color theme="1"/>
        <rFont val="Calibri"/>
        <family val="2"/>
        <scheme val="minor"/>
      </rPr>
      <t>est</t>
    </r>
  </si>
  <si>
    <r>
      <t>D</t>
    </r>
    <r>
      <rPr>
        <vertAlign val="subscript"/>
        <sz val="11"/>
        <color theme="1"/>
        <rFont val="Calibri"/>
        <family val="2"/>
        <scheme val="minor"/>
      </rPr>
      <t>int</t>
    </r>
  </si>
  <si>
    <r>
      <t>T</t>
    </r>
    <r>
      <rPr>
        <vertAlign val="subscript"/>
        <sz val="11"/>
        <color theme="1"/>
        <rFont val="Calibri"/>
        <family val="2"/>
        <scheme val="minor"/>
      </rPr>
      <t>fumi</t>
    </r>
  </si>
  <si>
    <r>
      <t>T</t>
    </r>
    <r>
      <rPr>
        <vertAlign val="subscript"/>
        <sz val="11"/>
        <color theme="1"/>
        <rFont val="Calibri"/>
        <family val="2"/>
        <scheme val="minor"/>
      </rPr>
      <t>a</t>
    </r>
  </si>
  <si>
    <r>
      <t>d</t>
    </r>
    <r>
      <rPr>
        <vertAlign val="subscript"/>
        <sz val="11"/>
        <color theme="1"/>
        <rFont val="Calibri"/>
        <family val="2"/>
        <scheme val="minor"/>
      </rPr>
      <t>est</t>
    </r>
  </si>
  <si>
    <r>
      <t>d</t>
    </r>
    <r>
      <rPr>
        <vertAlign val="subscript"/>
        <sz val="11"/>
        <color theme="1"/>
        <rFont val="Calibri"/>
        <family val="2"/>
        <scheme val="minor"/>
      </rPr>
      <t>int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</si>
  <si>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Inox</t>
    </r>
  </si>
  <si>
    <t>conduttività lana di roccia</t>
  </si>
  <si>
    <t>Conduttività acciaio INOX</t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</si>
  <si>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RW</t>
    </r>
  </si>
  <si>
    <r>
      <t>h</t>
    </r>
    <r>
      <rPr>
        <vertAlign val="subscript"/>
        <sz val="11"/>
        <color theme="1"/>
        <rFont val="Calibri"/>
        <family val="2"/>
        <scheme val="minor"/>
      </rPr>
      <t>a</t>
    </r>
  </si>
  <si>
    <r>
      <t>h</t>
    </r>
    <r>
      <rPr>
        <vertAlign val="subscript"/>
        <sz val="11"/>
        <color theme="1"/>
        <rFont val="Calibri"/>
        <family val="2"/>
        <scheme val="minor"/>
      </rPr>
      <t>f</t>
    </r>
  </si>
  <si>
    <t>Coefficiente liminare esterno aria calma-tratto orizzontale</t>
  </si>
  <si>
    <r>
      <t>T</t>
    </r>
    <r>
      <rPr>
        <vertAlign val="subscript"/>
        <sz val="11"/>
        <color theme="1"/>
        <rFont val="Calibri"/>
        <family val="2"/>
        <scheme val="minor"/>
      </rPr>
      <t>p</t>
    </r>
  </si>
  <si>
    <t>°C</t>
  </si>
  <si>
    <t>Temperatura parete canna fumaria</t>
  </si>
  <si>
    <t>[W/m]</t>
  </si>
  <si>
    <t>Potenza termica scambiata interno-esterno</t>
  </si>
  <si>
    <t>Potenza termica scambiata parete canna-esterno</t>
  </si>
  <si>
    <r>
      <t>R</t>
    </r>
    <r>
      <rPr>
        <vertAlign val="subscript"/>
        <sz val="11"/>
        <color theme="1"/>
        <rFont val="Calibri"/>
        <family val="2"/>
        <scheme val="minor"/>
      </rPr>
      <t>conv</t>
    </r>
  </si>
  <si>
    <t>Resistenza termica convezione interna</t>
  </si>
  <si>
    <t>Resistenza termica parete interna</t>
  </si>
  <si>
    <t>Resistenza termica isolante</t>
  </si>
  <si>
    <t>Resistenza termica parete esterna</t>
  </si>
  <si>
    <t>resistenza termica aria</t>
  </si>
  <si>
    <t>Calcolo delle resistenze termiche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</si>
  <si>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tot</t>
    </r>
  </si>
  <si>
    <r>
      <t>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°C/W]</t>
    </r>
  </si>
  <si>
    <t>A</t>
  </si>
  <si>
    <t>B</t>
  </si>
  <si>
    <t>Valore cella di controllo (A-B)</t>
  </si>
  <si>
    <t>Temperatura aria ambiente</t>
  </si>
  <si>
    <t>Coefficiente liminare interno del canale</t>
  </si>
  <si>
    <t>Resistenza termica canale</t>
  </si>
  <si>
    <t>Temperatura parete canale</t>
  </si>
  <si>
    <t>Temperatura interna del  canale</t>
  </si>
  <si>
    <t>Portata d'aria</t>
  </si>
  <si>
    <t>Velocità nella condotta</t>
  </si>
  <si>
    <t>[m/s]</t>
  </si>
  <si>
    <t>Portata d'aria volumetrica</t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</si>
  <si>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/s]</t>
    </r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</si>
  <si>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/h]</t>
    </r>
  </si>
  <si>
    <t>Portata d'aria massica</t>
  </si>
  <si>
    <t>[kg/s]</t>
  </si>
  <si>
    <t>Densità dell'aria a 20°G</t>
  </si>
  <si>
    <r>
      <t>[kg/m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</si>
  <si>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t>Calore specifico dell'aria</t>
  </si>
  <si>
    <t>[J/kg°C]</t>
  </si>
  <si>
    <t>Lunghezza condotta</t>
  </si>
  <si>
    <t>L/(m*Cp*R)</t>
  </si>
  <si>
    <t>[-]</t>
  </si>
  <si>
    <t>Temperatura uscita</t>
  </si>
  <si>
    <t>Delta T</t>
  </si>
  <si>
    <t>Calcolo del rendimento di distribuzione di una rete di teleriscaldamento</t>
  </si>
  <si>
    <t>Tubo preisolato in acciaio al carbonio</t>
  </si>
  <si>
    <t>Tubazione in acciaio in carbonio</t>
  </si>
  <si>
    <t>Conduttività acciaio al carbonio</t>
  </si>
  <si>
    <t>Isolante (sciuma poliuretanica)</t>
  </si>
  <si>
    <t>spessore isolante</t>
  </si>
  <si>
    <t>conduttività schiuma poliuretanica</t>
  </si>
  <si>
    <t>Tubo esternopolietilene</t>
  </si>
  <si>
    <t>Temperatura mandata (uscita generatore)</t>
  </si>
  <si>
    <t>Coefficiente liminare interno (acqua moto turbolento)</t>
  </si>
  <si>
    <t>Resistenza termica parete interna tubo acciaio</t>
  </si>
  <si>
    <t>Resistenza termica poliuretano espanso</t>
  </si>
  <si>
    <t>Conduttività polietilene</t>
  </si>
  <si>
    <t>Velocità dell'acqua nella rete</t>
  </si>
  <si>
    <t>Portata volumetrica</t>
  </si>
  <si>
    <t>Portata massica</t>
  </si>
  <si>
    <t>Potenza termica dissipata in mandata</t>
  </si>
  <si>
    <t>[W]</t>
  </si>
  <si>
    <t>Lunghezza della linea</t>
  </si>
  <si>
    <t>Temperatura ritorno (ingresso generatore)</t>
  </si>
  <si>
    <r>
      <t>T</t>
    </r>
    <r>
      <rPr>
        <vertAlign val="subscript"/>
        <sz val="11"/>
        <color theme="1"/>
        <rFont val="Calibri"/>
        <family val="2"/>
        <scheme val="minor"/>
      </rPr>
      <t>mandata</t>
    </r>
  </si>
  <si>
    <r>
      <t>T</t>
    </r>
    <r>
      <rPr>
        <vertAlign val="subscript"/>
        <sz val="11"/>
        <color theme="1"/>
        <rFont val="Calibri"/>
        <family val="2"/>
        <scheme val="minor"/>
      </rPr>
      <t>ritorno</t>
    </r>
  </si>
  <si>
    <t>Potenza termica dissipata in ritorno</t>
  </si>
  <si>
    <t>Totale potenza termica dissipata</t>
  </si>
  <si>
    <t>Potenza termica vettoriata</t>
  </si>
  <si>
    <t>Calore specifico dell'acqua</t>
  </si>
  <si>
    <t>[W/kg°C]</t>
  </si>
  <si>
    <t>Rendimento di distribuzione</t>
  </si>
  <si>
    <t>[%]</t>
  </si>
  <si>
    <t>Conduttività acciaio</t>
  </si>
  <si>
    <t>Elastomero</t>
  </si>
  <si>
    <t>conduttività elastomero</t>
  </si>
  <si>
    <t>Canale d'aria coibentato</t>
  </si>
  <si>
    <t>resistenza termica aria esterna</t>
  </si>
  <si>
    <t>Temperatura aria esterna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</si>
</sst>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00"/>
    <numFmt numFmtId="165" formatCode="0.0"/>
    <numFmt numFmtId="166" formatCode="0.00000"/>
    <numFmt numFmtId="167" formatCode="0.0000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2" fontId="0" fillId="0" borderId="1" xfId="0" applyNumberFormat="1" applyFill="1" applyBorder="1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166" fontId="3" fillId="0" borderId="2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67" fontId="0" fillId="0" borderId="0" xfId="0" applyNumberFormat="1"/>
    <xf numFmtId="2" fontId="0" fillId="0" borderId="0" xfId="0" applyNumberFormat="1" applyFill="1" applyBorder="1"/>
    <xf numFmtId="1" fontId="3" fillId="0" borderId="0" xfId="0" applyNumberFormat="1" applyFont="1"/>
    <xf numFmtId="2" fontId="3" fillId="0" borderId="0" xfId="0" applyNumberFormat="1" applyFont="1" applyFill="1" applyBorder="1"/>
    <xf numFmtId="168" fontId="0" fillId="0" borderId="0" xfId="1" applyNumberFormat="1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81997</xdr:colOff>
          <xdr:row>27</xdr:row>
          <xdr:rowOff>67088</xdr:rowOff>
        </xdr:from>
        <xdr:to>
          <xdr:col>3</xdr:col>
          <xdr:colOff>644548</xdr:colOff>
          <xdr:row>31</xdr:row>
          <xdr:rowOff>124239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131694</xdr:colOff>
          <xdr:row>28</xdr:row>
          <xdr:rowOff>42241</xdr:rowOff>
        </xdr:from>
        <xdr:to>
          <xdr:col>4</xdr:col>
          <xdr:colOff>33130</xdr:colOff>
          <xdr:row>32</xdr:row>
          <xdr:rowOff>116893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118557</xdr:colOff>
          <xdr:row>39</xdr:row>
          <xdr:rowOff>22534</xdr:rowOff>
        </xdr:from>
        <xdr:to>
          <xdr:col>3</xdr:col>
          <xdr:colOff>749148</xdr:colOff>
          <xdr:row>43</xdr:row>
          <xdr:rowOff>97186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156541</xdr:colOff>
          <xdr:row>42</xdr:row>
          <xdr:rowOff>35201</xdr:rowOff>
        </xdr:from>
        <xdr:to>
          <xdr:col>3</xdr:col>
          <xdr:colOff>803413</xdr:colOff>
          <xdr:row>46</xdr:row>
          <xdr:rowOff>109122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zoomScale="145" zoomScaleNormal="145" workbookViewId="0">
      <selection activeCell="D27" sqref="D27"/>
    </sheetView>
  </sheetViews>
  <sheetFormatPr defaultRowHeight="15" x14ac:dyDescent="0.25"/>
  <cols>
    <col min="1" max="1" width="8.85546875" style="4"/>
    <col min="2" max="2" width="50.5703125" customWidth="1"/>
    <col min="3" max="3" width="8.85546875" style="4"/>
    <col min="4" max="4" width="11.5703125" bestFit="1" customWidth="1"/>
  </cols>
  <sheetData>
    <row r="1" spans="1:4" s="7" customFormat="1" ht="18.75" x14ac:dyDescent="0.3">
      <c r="A1" s="25" t="s">
        <v>1</v>
      </c>
      <c r="B1" s="25"/>
      <c r="C1" s="25"/>
      <c r="D1" s="25"/>
    </row>
    <row r="2" spans="1:4" x14ac:dyDescent="0.25">
      <c r="B2" s="2" t="s">
        <v>5</v>
      </c>
    </row>
    <row r="3" spans="1:4" ht="18" x14ac:dyDescent="0.35">
      <c r="A3" s="4" t="s">
        <v>21</v>
      </c>
      <c r="B3" t="s">
        <v>6</v>
      </c>
      <c r="C3" s="4" t="s">
        <v>3</v>
      </c>
      <c r="D3" s="3">
        <v>0.2</v>
      </c>
    </row>
    <row r="4" spans="1:4" x14ac:dyDescent="0.25">
      <c r="A4" s="4" t="s">
        <v>9</v>
      </c>
      <c r="B4" t="s">
        <v>4</v>
      </c>
      <c r="C4" s="4" t="s">
        <v>3</v>
      </c>
      <c r="D4">
        <v>1E-3</v>
      </c>
    </row>
    <row r="5" spans="1:4" ht="18" x14ac:dyDescent="0.35">
      <c r="A5" s="4" t="s">
        <v>22</v>
      </c>
      <c r="B5" t="s">
        <v>2</v>
      </c>
      <c r="C5" s="4" t="s">
        <v>3</v>
      </c>
      <c r="D5" s="3">
        <f>+D3-2*D4</f>
        <v>0.19800000000000001</v>
      </c>
    </row>
    <row r="6" spans="1:4" ht="18" x14ac:dyDescent="0.35">
      <c r="A6" s="4" t="s">
        <v>23</v>
      </c>
      <c r="B6" t="s">
        <v>25</v>
      </c>
      <c r="C6" s="4" t="s">
        <v>10</v>
      </c>
      <c r="D6" s="5">
        <v>61</v>
      </c>
    </row>
    <row r="7" spans="1:4" x14ac:dyDescent="0.25">
      <c r="B7" s="2" t="s">
        <v>7</v>
      </c>
      <c r="D7" t="s">
        <v>0</v>
      </c>
    </row>
    <row r="8" spans="1:4" ht="18" x14ac:dyDescent="0.35">
      <c r="A8" s="4" t="s">
        <v>26</v>
      </c>
      <c r="B8" t="s">
        <v>24</v>
      </c>
      <c r="C8" s="4" t="s">
        <v>10</v>
      </c>
      <c r="D8">
        <v>0.04</v>
      </c>
    </row>
    <row r="9" spans="1:4" x14ac:dyDescent="0.25">
      <c r="B9" s="2" t="s">
        <v>8</v>
      </c>
    </row>
    <row r="10" spans="1:4" ht="18" x14ac:dyDescent="0.35">
      <c r="A10" s="4" t="s">
        <v>17</v>
      </c>
      <c r="B10" t="s">
        <v>6</v>
      </c>
      <c r="C10" s="4" t="s">
        <v>3</v>
      </c>
      <c r="D10" s="3">
        <v>0.25</v>
      </c>
    </row>
    <row r="11" spans="1:4" ht="18" x14ac:dyDescent="0.35">
      <c r="A11" s="4" t="s">
        <v>18</v>
      </c>
      <c r="B11" t="s">
        <v>2</v>
      </c>
      <c r="C11" s="4" t="s">
        <v>3</v>
      </c>
      <c r="D11" s="3">
        <f>+D10-2*D12</f>
        <v>0.248</v>
      </c>
    </row>
    <row r="12" spans="1:4" x14ac:dyDescent="0.25">
      <c r="A12" s="4" t="s">
        <v>9</v>
      </c>
      <c r="B12" t="s">
        <v>4</v>
      </c>
      <c r="C12" s="4" t="s">
        <v>3</v>
      </c>
      <c r="D12">
        <v>1E-3</v>
      </c>
    </row>
    <row r="13" spans="1:4" ht="18" x14ac:dyDescent="0.35">
      <c r="A13" s="4" t="s">
        <v>19</v>
      </c>
      <c r="B13" t="s">
        <v>11</v>
      </c>
      <c r="C13" s="4" t="s">
        <v>12</v>
      </c>
      <c r="D13">
        <v>450</v>
      </c>
    </row>
    <row r="14" spans="1:4" ht="18.75" x14ac:dyDescent="0.35">
      <c r="A14" s="4" t="s">
        <v>28</v>
      </c>
      <c r="B14" t="s">
        <v>13</v>
      </c>
      <c r="C14" s="4" t="s">
        <v>14</v>
      </c>
      <c r="D14">
        <v>16</v>
      </c>
    </row>
    <row r="15" spans="1:4" ht="18" x14ac:dyDescent="0.35">
      <c r="A15" s="4" t="s">
        <v>20</v>
      </c>
      <c r="B15" t="s">
        <v>48</v>
      </c>
      <c r="C15" s="4" t="s">
        <v>12</v>
      </c>
      <c r="D15">
        <v>20</v>
      </c>
    </row>
    <row r="16" spans="1:4" ht="18.75" x14ac:dyDescent="0.35">
      <c r="A16" s="4" t="s">
        <v>27</v>
      </c>
      <c r="B16" t="s">
        <v>29</v>
      </c>
      <c r="C16" s="4" t="s">
        <v>14</v>
      </c>
      <c r="D16" s="8">
        <f>(9.5+(0.0085*D15*(D15^(1/3))))</f>
        <v>9.9614509948211349</v>
      </c>
    </row>
    <row r="17" spans="1:8" s="7" customFormat="1" x14ac:dyDescent="0.25">
      <c r="A17" s="6"/>
      <c r="B17" s="7" t="s">
        <v>42</v>
      </c>
      <c r="C17" s="6"/>
      <c r="D17" s="11"/>
    </row>
    <row r="18" spans="1:8" ht="17.25" x14ac:dyDescent="0.25">
      <c r="B18" t="s">
        <v>37</v>
      </c>
      <c r="C18" s="4" t="s">
        <v>16</v>
      </c>
      <c r="D18" s="10">
        <f>+(1/(PI()*D14*D5))</f>
        <v>0.10047660548730765</v>
      </c>
    </row>
    <row r="19" spans="1:8" ht="17.25" x14ac:dyDescent="0.25">
      <c r="B19" t="s">
        <v>38</v>
      </c>
      <c r="C19" s="4" t="s">
        <v>16</v>
      </c>
      <c r="D19" s="10">
        <f>LN(D3/D5)/(2*PI()*D6)</f>
        <v>2.6222305423253566E-5</v>
      </c>
    </row>
    <row r="20" spans="1:8" ht="17.25" x14ac:dyDescent="0.25">
      <c r="B20" t="s">
        <v>39</v>
      </c>
      <c r="C20" s="4" t="s">
        <v>16</v>
      </c>
      <c r="D20" s="10">
        <f>LN(D11/D3)/D8/2/PI()</f>
        <v>0.85590098453385133</v>
      </c>
    </row>
    <row r="21" spans="1:8" ht="17.25" x14ac:dyDescent="0.25">
      <c r="B21" t="s">
        <v>40</v>
      </c>
      <c r="C21" s="4" t="s">
        <v>16</v>
      </c>
      <c r="D21" s="10">
        <f>LN(D10/D11)/(2*PI()*D6)</f>
        <v>2.0956718514465977E-5</v>
      </c>
    </row>
    <row r="22" spans="1:8" ht="18.75" x14ac:dyDescent="0.35">
      <c r="A22" s="4" t="s">
        <v>36</v>
      </c>
      <c r="B22" t="s">
        <v>41</v>
      </c>
      <c r="C22" s="4" t="s">
        <v>16</v>
      </c>
      <c r="D22" s="10">
        <f>+(1/(PI()*D10*D16))</f>
        <v>0.12781667504032374</v>
      </c>
    </row>
    <row r="23" spans="1:8" s="7" customFormat="1" ht="19.5" thickBot="1" x14ac:dyDescent="0.4">
      <c r="A23" s="12" t="s">
        <v>43</v>
      </c>
      <c r="B23" s="13" t="s">
        <v>15</v>
      </c>
      <c r="C23" s="12" t="s">
        <v>44</v>
      </c>
      <c r="D23" s="14">
        <f>SUM(D18:D22)</f>
        <v>1.0842414440854204</v>
      </c>
    </row>
    <row r="24" spans="1:8" ht="18" x14ac:dyDescent="0.35">
      <c r="A24" s="4" t="s">
        <v>30</v>
      </c>
      <c r="B24" t="s">
        <v>32</v>
      </c>
      <c r="C24" s="4" t="s">
        <v>31</v>
      </c>
      <c r="D24" s="9">
        <v>70.69089598737861</v>
      </c>
    </row>
    <row r="25" spans="1:8" x14ac:dyDescent="0.25">
      <c r="A25" s="4" t="s">
        <v>45</v>
      </c>
      <c r="B25" t="s">
        <v>34</v>
      </c>
      <c r="C25" s="4" t="s">
        <v>33</v>
      </c>
      <c r="D25" s="5">
        <f>+(D13-D15)/D23</f>
        <v>396.59063241464054</v>
      </c>
      <c r="H25" s="1"/>
    </row>
    <row r="26" spans="1:8" x14ac:dyDescent="0.25">
      <c r="A26" s="4" t="s">
        <v>46</v>
      </c>
      <c r="B26" t="s">
        <v>35</v>
      </c>
      <c r="C26" s="4" t="s">
        <v>33</v>
      </c>
      <c r="D26" s="5">
        <f>+(D24-D15)/D22</f>
        <v>396.59063241464071</v>
      </c>
    </row>
    <row r="27" spans="1:8" x14ac:dyDescent="0.25">
      <c r="B27" t="s">
        <v>47</v>
      </c>
      <c r="C27" s="4" t="s">
        <v>33</v>
      </c>
      <c r="D27" s="5">
        <f>+D26-D25</f>
        <v>0</v>
      </c>
    </row>
    <row r="30" spans="1:8" x14ac:dyDescent="0.25">
      <c r="D30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legacyDrawing r:id="rId3"/>
  <oleObjects>
    <mc:AlternateContent xmlns:mc="http://schemas.openxmlformats.org/markup-compatibility/2006">
      <mc:Choice Requires="x14">
        <oleObject shapeId="5121" r:id="rId4">
          <objectPr defaultSize="0" autoPict="0" r:id="rId5">
            <anchor moveWithCells="1">
              <from>
                <xdr:col>0</xdr:col>
                <xdr:colOff>85725</xdr:colOff>
                <xdr:row>27</xdr:row>
                <xdr:rowOff>66675</xdr:rowOff>
              </from>
              <to>
                <xdr:col>3</xdr:col>
                <xdr:colOff>647700</xdr:colOff>
                <xdr:row>31</xdr:row>
                <xdr:rowOff>123825</xdr:rowOff>
              </to>
            </anchor>
          </objectPr>
        </oleObject>
      </mc:Choice>
      <mc:Fallback>
        <oleObject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="145" zoomScaleNormal="145" workbookViewId="0">
      <selection activeCell="H17" sqref="H17"/>
    </sheetView>
  </sheetViews>
  <sheetFormatPr defaultRowHeight="15" x14ac:dyDescent="0.25"/>
  <cols>
    <col min="1" max="1" width="8.85546875" style="4"/>
    <col min="2" max="2" width="50.5703125" customWidth="1"/>
    <col min="3" max="3" width="8.85546875" style="4"/>
    <col min="4" max="4" width="11.5703125" bestFit="1" customWidth="1"/>
  </cols>
  <sheetData>
    <row r="1" spans="1:4" s="7" customFormat="1" x14ac:dyDescent="0.25">
      <c r="A1" s="24" t="s">
        <v>102</v>
      </c>
      <c r="B1" s="24"/>
      <c r="C1" s="24"/>
      <c r="D1" s="24"/>
    </row>
    <row r="2" spans="1:4" x14ac:dyDescent="0.25">
      <c r="B2" s="2" t="s">
        <v>5</v>
      </c>
    </row>
    <row r="3" spans="1:4" ht="18" x14ac:dyDescent="0.35">
      <c r="A3" s="4" t="s">
        <v>21</v>
      </c>
      <c r="B3" t="s">
        <v>6</v>
      </c>
      <c r="C3" s="4" t="s">
        <v>3</v>
      </c>
      <c r="D3" s="3">
        <v>0.2</v>
      </c>
    </row>
    <row r="4" spans="1:4" x14ac:dyDescent="0.25">
      <c r="A4" s="4" t="s">
        <v>9</v>
      </c>
      <c r="B4" t="s">
        <v>4</v>
      </c>
      <c r="C4" s="4" t="s">
        <v>3</v>
      </c>
      <c r="D4">
        <v>1E-3</v>
      </c>
    </row>
    <row r="5" spans="1:4" ht="18" x14ac:dyDescent="0.35">
      <c r="A5" s="4" t="s">
        <v>22</v>
      </c>
      <c r="B5" t="s">
        <v>2</v>
      </c>
      <c r="C5" s="4" t="s">
        <v>3</v>
      </c>
      <c r="D5" s="3">
        <f>+D3-2*D4</f>
        <v>0.19800000000000001</v>
      </c>
    </row>
    <row r="6" spans="1:4" ht="18" x14ac:dyDescent="0.35">
      <c r="A6" s="4" t="s">
        <v>23</v>
      </c>
      <c r="B6" t="s">
        <v>99</v>
      </c>
      <c r="C6" s="4" t="s">
        <v>10</v>
      </c>
      <c r="D6" s="5">
        <v>64</v>
      </c>
    </row>
    <row r="7" spans="1:4" x14ac:dyDescent="0.25">
      <c r="B7" s="2" t="s">
        <v>7</v>
      </c>
      <c r="D7" s="26" t="s">
        <v>100</v>
      </c>
    </row>
    <row r="8" spans="1:4" ht="18" x14ac:dyDescent="0.35">
      <c r="A8" s="4" t="s">
        <v>26</v>
      </c>
      <c r="B8" t="s">
        <v>101</v>
      </c>
      <c r="C8" s="4" t="s">
        <v>10</v>
      </c>
      <c r="D8">
        <v>0.04</v>
      </c>
    </row>
    <row r="9" spans="1:4" x14ac:dyDescent="0.25">
      <c r="B9" t="s">
        <v>75</v>
      </c>
      <c r="C9" s="4" t="s">
        <v>3</v>
      </c>
      <c r="D9">
        <v>1.2999999999999999E-2</v>
      </c>
    </row>
    <row r="10" spans="1:4" x14ac:dyDescent="0.25">
      <c r="B10" s="2" t="s">
        <v>8</v>
      </c>
    </row>
    <row r="11" spans="1:4" ht="18" x14ac:dyDescent="0.35">
      <c r="A11" s="4" t="s">
        <v>17</v>
      </c>
      <c r="B11" t="s">
        <v>6</v>
      </c>
      <c r="C11" s="4" t="s">
        <v>3</v>
      </c>
      <c r="D11" s="3">
        <f>+D3+2*D9</f>
        <v>0.22600000000000001</v>
      </c>
    </row>
    <row r="12" spans="1:4" ht="18" x14ac:dyDescent="0.35">
      <c r="A12" s="4" t="s">
        <v>18</v>
      </c>
      <c r="B12" t="s">
        <v>2</v>
      </c>
      <c r="C12" s="4" t="s">
        <v>3</v>
      </c>
      <c r="D12" s="3">
        <f>+D11-2*D13</f>
        <v>0.224</v>
      </c>
    </row>
    <row r="13" spans="1:4" x14ac:dyDescent="0.25">
      <c r="A13" s="4" t="s">
        <v>9</v>
      </c>
      <c r="B13" t="s">
        <v>4</v>
      </c>
      <c r="C13" s="4" t="s">
        <v>3</v>
      </c>
      <c r="D13">
        <v>1E-3</v>
      </c>
    </row>
    <row r="14" spans="1:4" ht="18" x14ac:dyDescent="0.35">
      <c r="A14" s="4" t="s">
        <v>19</v>
      </c>
      <c r="B14" t="s">
        <v>52</v>
      </c>
      <c r="C14" s="4" t="s">
        <v>12</v>
      </c>
      <c r="D14">
        <v>15</v>
      </c>
    </row>
    <row r="15" spans="1:4" ht="18.75" x14ac:dyDescent="0.35">
      <c r="A15" s="4" t="s">
        <v>28</v>
      </c>
      <c r="B15" t="s">
        <v>49</v>
      </c>
      <c r="C15" s="4" t="s">
        <v>14</v>
      </c>
      <c r="D15">
        <v>16</v>
      </c>
    </row>
    <row r="16" spans="1:4" ht="18" x14ac:dyDescent="0.35">
      <c r="A16" s="4" t="s">
        <v>20</v>
      </c>
      <c r="B16" t="s">
        <v>48</v>
      </c>
      <c r="C16" s="4" t="s">
        <v>12</v>
      </c>
      <c r="D16">
        <v>26</v>
      </c>
    </row>
    <row r="17" spans="1:8" ht="18.75" x14ac:dyDescent="0.35">
      <c r="A17" s="4" t="s">
        <v>27</v>
      </c>
      <c r="B17" t="s">
        <v>29</v>
      </c>
      <c r="C17" s="4" t="s">
        <v>14</v>
      </c>
      <c r="D17" s="8">
        <f>(9.5+(0.0085*D16*(D16^(1/3))))</f>
        <v>10.15471163111803</v>
      </c>
    </row>
    <row r="18" spans="1:8" s="7" customFormat="1" x14ac:dyDescent="0.25">
      <c r="A18" s="6"/>
      <c r="B18" s="7" t="s">
        <v>42</v>
      </c>
      <c r="C18" s="6"/>
      <c r="D18" s="11"/>
    </row>
    <row r="19" spans="1:8" ht="17.25" x14ac:dyDescent="0.25">
      <c r="B19" t="s">
        <v>37</v>
      </c>
      <c r="C19" s="4" t="s">
        <v>16</v>
      </c>
      <c r="D19" s="10">
        <f>+(1/(PI()*D15*D3))</f>
        <v>9.9471839432434594E-2</v>
      </c>
    </row>
    <row r="20" spans="1:8" ht="17.25" x14ac:dyDescent="0.25">
      <c r="B20" t="s">
        <v>38</v>
      </c>
      <c r="C20" s="4" t="s">
        <v>16</v>
      </c>
      <c r="D20" s="10">
        <f>LN(D3/D5)/(2*PI()*D6)</f>
        <v>2.4993134856538557E-5</v>
      </c>
    </row>
    <row r="21" spans="1:8" ht="17.25" x14ac:dyDescent="0.25">
      <c r="B21" t="s">
        <v>39</v>
      </c>
      <c r="C21" s="4" t="s">
        <v>16</v>
      </c>
      <c r="D21" s="10">
        <f>LN(D11/D3)/D8/2/PI()</f>
        <v>0.48628850952635078</v>
      </c>
    </row>
    <row r="22" spans="1:8" ht="18.75" x14ac:dyDescent="0.35">
      <c r="A22" s="4" t="s">
        <v>36</v>
      </c>
      <c r="B22" t="s">
        <v>41</v>
      </c>
      <c r="C22" s="4" t="s">
        <v>16</v>
      </c>
      <c r="D22" s="10">
        <f>+(1/(PI()*D11*D17))</f>
        <v>0.13869924375853623</v>
      </c>
    </row>
    <row r="23" spans="1:8" s="7" customFormat="1" ht="19.5" thickBot="1" x14ac:dyDescent="0.4">
      <c r="A23" s="12" t="s">
        <v>43</v>
      </c>
      <c r="B23" s="13" t="s">
        <v>50</v>
      </c>
      <c r="C23" s="12" t="s">
        <v>44</v>
      </c>
      <c r="D23" s="15">
        <f>SUM(D19:D22)</f>
        <v>0.72448458585217812</v>
      </c>
    </row>
    <row r="24" spans="1:8" ht="18" x14ac:dyDescent="0.35">
      <c r="A24" s="4" t="s">
        <v>30</v>
      </c>
      <c r="B24" t="s">
        <v>51</v>
      </c>
      <c r="C24" s="4" t="s">
        <v>31</v>
      </c>
      <c r="D24" s="9">
        <v>23.885134402266527</v>
      </c>
    </row>
    <row r="25" spans="1:8" x14ac:dyDescent="0.25">
      <c r="A25" s="4" t="s">
        <v>45</v>
      </c>
      <c r="B25" t="s">
        <v>34</v>
      </c>
      <c r="C25" s="4" t="s">
        <v>33</v>
      </c>
      <c r="D25" s="5">
        <f>+(D14-D16)/D23</f>
        <v>-15.183207779446684</v>
      </c>
      <c r="H25" s="1"/>
    </row>
    <row r="26" spans="1:8" x14ac:dyDescent="0.25">
      <c r="A26" s="4" t="s">
        <v>46</v>
      </c>
      <c r="B26" t="s">
        <v>35</v>
      </c>
      <c r="C26" s="4" t="s">
        <v>33</v>
      </c>
      <c r="D26" s="5">
        <f>+(D24-D16)/D22</f>
        <v>-15.247852406573156</v>
      </c>
    </row>
    <row r="27" spans="1:8" x14ac:dyDescent="0.25">
      <c r="B27" t="s">
        <v>47</v>
      </c>
      <c r="C27" s="4" t="s">
        <v>33</v>
      </c>
      <c r="D27" s="5">
        <f>+D26-D25</f>
        <v>-6.4644627126471121E-2</v>
      </c>
    </row>
    <row r="30" spans="1:8" x14ac:dyDescent="0.25">
      <c r="D30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legacyDrawing r:id="rId3"/>
  <oleObjects>
    <mc:AlternateContent xmlns:mc="http://schemas.openxmlformats.org/markup-compatibility/2006">
      <mc:Choice Requires="x14">
        <oleObject shapeId="6145" r:id="rId4">
          <objectPr defaultSize="0" autoPict="0" r:id="rId5">
            <anchor moveWithCells="1">
              <from>
                <xdr:col>0</xdr:col>
                <xdr:colOff>133350</xdr:colOff>
                <xdr:row>28</xdr:row>
                <xdr:rowOff>38100</xdr:rowOff>
              </from>
              <to>
                <xdr:col>4</xdr:col>
                <xdr:colOff>28575</xdr:colOff>
                <xdr:row>32</xdr:row>
                <xdr:rowOff>114300</xdr:rowOff>
              </to>
            </anchor>
          </objectPr>
        </oleObject>
      </mc:Choice>
      <mc:Fallback>
        <oleObject shapeId="614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13" zoomScale="145" zoomScaleNormal="145" workbookViewId="0">
      <selection activeCell="H39" sqref="H39"/>
    </sheetView>
  </sheetViews>
  <sheetFormatPr defaultRowHeight="15" x14ac:dyDescent="0.25"/>
  <cols>
    <col min="1" max="1" width="9.140625" style="4"/>
    <col min="2" max="2" width="50.5703125" customWidth="1"/>
    <col min="3" max="3" width="9.140625" style="4"/>
    <col min="4" max="4" width="11.5703125" bestFit="1" customWidth="1"/>
  </cols>
  <sheetData>
    <row r="1" spans="1:4" s="7" customFormat="1" x14ac:dyDescent="0.25">
      <c r="A1" s="24" t="s">
        <v>102</v>
      </c>
      <c r="B1" s="24"/>
      <c r="C1" s="24"/>
      <c r="D1" s="24"/>
    </row>
    <row r="2" spans="1:4" x14ac:dyDescent="0.25">
      <c r="B2" s="2" t="s">
        <v>5</v>
      </c>
    </row>
    <row r="3" spans="1:4" ht="18" x14ac:dyDescent="0.35">
      <c r="A3" s="4" t="s">
        <v>21</v>
      </c>
      <c r="B3" t="s">
        <v>6</v>
      </c>
      <c r="C3" s="4" t="s">
        <v>3</v>
      </c>
      <c r="D3" s="3">
        <v>0.2</v>
      </c>
    </row>
    <row r="4" spans="1:4" x14ac:dyDescent="0.25">
      <c r="A4" s="4" t="s">
        <v>9</v>
      </c>
      <c r="B4" t="s">
        <v>4</v>
      </c>
      <c r="C4" s="4" t="s">
        <v>3</v>
      </c>
      <c r="D4">
        <v>1E-3</v>
      </c>
    </row>
    <row r="5" spans="1:4" ht="18" x14ac:dyDescent="0.35">
      <c r="A5" s="4" t="s">
        <v>22</v>
      </c>
      <c r="B5" t="s">
        <v>2</v>
      </c>
      <c r="C5" s="4" t="s">
        <v>3</v>
      </c>
      <c r="D5" s="3">
        <f>+D3-2*D4</f>
        <v>0.19800000000000001</v>
      </c>
    </row>
    <row r="6" spans="1:4" ht="18" x14ac:dyDescent="0.35">
      <c r="A6" s="4" t="s">
        <v>23</v>
      </c>
      <c r="B6" t="s">
        <v>99</v>
      </c>
      <c r="C6" s="4" t="s">
        <v>10</v>
      </c>
      <c r="D6" s="5">
        <v>64</v>
      </c>
    </row>
    <row r="7" spans="1:4" x14ac:dyDescent="0.25">
      <c r="B7" s="2" t="s">
        <v>7</v>
      </c>
      <c r="D7" s="26" t="s">
        <v>100</v>
      </c>
    </row>
    <row r="8" spans="1:4" ht="18" x14ac:dyDescent="0.35">
      <c r="A8" s="4" t="s">
        <v>26</v>
      </c>
      <c r="B8" t="s">
        <v>101</v>
      </c>
      <c r="C8" s="4" t="s">
        <v>10</v>
      </c>
      <c r="D8">
        <v>0.04</v>
      </c>
    </row>
    <row r="9" spans="1:4" x14ac:dyDescent="0.25">
      <c r="B9" t="s">
        <v>75</v>
      </c>
      <c r="C9" s="4" t="s">
        <v>3</v>
      </c>
      <c r="D9">
        <v>1.2999999999999999E-2</v>
      </c>
    </row>
    <row r="10" spans="1:4" x14ac:dyDescent="0.25">
      <c r="B10" s="2" t="s">
        <v>8</v>
      </c>
    </row>
    <row r="11" spans="1:4" ht="18" x14ac:dyDescent="0.35">
      <c r="A11" s="4" t="s">
        <v>17</v>
      </c>
      <c r="B11" t="s">
        <v>6</v>
      </c>
      <c r="C11" s="4" t="s">
        <v>3</v>
      </c>
      <c r="D11" s="3">
        <f>+D3+2*D9</f>
        <v>0.22600000000000001</v>
      </c>
    </row>
    <row r="12" spans="1:4" ht="18" x14ac:dyDescent="0.35">
      <c r="A12" s="4" t="s">
        <v>18</v>
      </c>
      <c r="B12" t="s">
        <v>2</v>
      </c>
      <c r="C12" s="4" t="s">
        <v>3</v>
      </c>
      <c r="D12" s="3">
        <f>+D11-2*D13</f>
        <v>0.224</v>
      </c>
    </row>
    <row r="13" spans="1:4" x14ac:dyDescent="0.25">
      <c r="A13" s="4" t="s">
        <v>9</v>
      </c>
      <c r="B13" t="s">
        <v>4</v>
      </c>
      <c r="C13" s="4" t="s">
        <v>3</v>
      </c>
      <c r="D13">
        <v>1E-3</v>
      </c>
    </row>
    <row r="14" spans="1:4" ht="18" x14ac:dyDescent="0.35">
      <c r="A14" s="4" t="s">
        <v>19</v>
      </c>
      <c r="B14" t="s">
        <v>52</v>
      </c>
      <c r="C14" s="4" t="s">
        <v>12</v>
      </c>
      <c r="D14">
        <v>15</v>
      </c>
    </row>
    <row r="15" spans="1:4" ht="18.75" x14ac:dyDescent="0.35">
      <c r="A15" s="4" t="s">
        <v>28</v>
      </c>
      <c r="B15" t="s">
        <v>49</v>
      </c>
      <c r="C15" s="4" t="s">
        <v>14</v>
      </c>
      <c r="D15">
        <v>16</v>
      </c>
    </row>
    <row r="16" spans="1:4" ht="18" x14ac:dyDescent="0.35">
      <c r="A16" s="4" t="s">
        <v>20</v>
      </c>
      <c r="B16" t="s">
        <v>48</v>
      </c>
      <c r="C16" s="4" t="s">
        <v>12</v>
      </c>
      <c r="D16">
        <v>26</v>
      </c>
    </row>
    <row r="17" spans="1:8" ht="18.75" x14ac:dyDescent="0.35">
      <c r="A17" s="4" t="s">
        <v>27</v>
      </c>
      <c r="B17" t="s">
        <v>29</v>
      </c>
      <c r="C17" s="4" t="s">
        <v>14</v>
      </c>
      <c r="D17" s="8">
        <f>(9.5+(0.0085*D16*(D16^(1/3))))</f>
        <v>10.15471163111803</v>
      </c>
    </row>
    <row r="18" spans="1:8" s="7" customFormat="1" x14ac:dyDescent="0.25">
      <c r="A18" s="6"/>
      <c r="B18" s="7" t="s">
        <v>42</v>
      </c>
      <c r="C18" s="6"/>
      <c r="D18" s="11"/>
    </row>
    <row r="19" spans="1:8" ht="17.25" x14ac:dyDescent="0.25">
      <c r="B19" t="s">
        <v>37</v>
      </c>
      <c r="C19" s="4" t="s">
        <v>16</v>
      </c>
      <c r="D19" s="10">
        <f>+(1/(PI()*D15*D3))</f>
        <v>9.9471839432434594E-2</v>
      </c>
    </row>
    <row r="20" spans="1:8" ht="17.25" x14ac:dyDescent="0.25">
      <c r="B20" t="s">
        <v>38</v>
      </c>
      <c r="C20" s="4" t="s">
        <v>16</v>
      </c>
      <c r="D20" s="10">
        <f>LN(D3/D5)/(2*PI()*D6)</f>
        <v>2.4993134856538557E-5</v>
      </c>
    </row>
    <row r="21" spans="1:8" ht="17.25" x14ac:dyDescent="0.25">
      <c r="B21" t="s">
        <v>39</v>
      </c>
      <c r="C21" s="4" t="s">
        <v>16</v>
      </c>
      <c r="D21" s="10">
        <f>LN(D11/D3)/D8/2/PI()</f>
        <v>0.48628850952635078</v>
      </c>
    </row>
    <row r="22" spans="1:8" ht="18.75" x14ac:dyDescent="0.35">
      <c r="A22" s="4" t="s">
        <v>36</v>
      </c>
      <c r="B22" t="s">
        <v>41</v>
      </c>
      <c r="C22" s="4" t="s">
        <v>16</v>
      </c>
      <c r="D22" s="10">
        <f>+(1/(PI()*D11*D17))</f>
        <v>0.13869924375853623</v>
      </c>
    </row>
    <row r="23" spans="1:8" s="7" customFormat="1" ht="19.5" thickBot="1" x14ac:dyDescent="0.4">
      <c r="A23" s="12" t="s">
        <v>43</v>
      </c>
      <c r="B23" s="13" t="s">
        <v>50</v>
      </c>
      <c r="C23" s="12" t="s">
        <v>44</v>
      </c>
      <c r="D23" s="15">
        <f>SUM(D19:D22)</f>
        <v>0.72448458585217812</v>
      </c>
    </row>
    <row r="24" spans="1:8" ht="18" x14ac:dyDescent="0.35">
      <c r="A24" s="4" t="s">
        <v>30</v>
      </c>
      <c r="B24" t="s">
        <v>51</v>
      </c>
      <c r="C24" s="4" t="s">
        <v>31</v>
      </c>
      <c r="D24" s="9">
        <v>23.885134402266527</v>
      </c>
    </row>
    <row r="25" spans="1:8" x14ac:dyDescent="0.25">
      <c r="A25" s="4" t="s">
        <v>45</v>
      </c>
      <c r="B25" t="s">
        <v>34</v>
      </c>
      <c r="C25" s="4" t="s">
        <v>33</v>
      </c>
      <c r="D25" s="5">
        <f>+(D14-D16)/D23</f>
        <v>-15.183207779446684</v>
      </c>
      <c r="H25" s="1"/>
    </row>
    <row r="26" spans="1:8" x14ac:dyDescent="0.25">
      <c r="A26" s="4" t="s">
        <v>46</v>
      </c>
      <c r="B26" t="s">
        <v>35</v>
      </c>
      <c r="C26" s="4" t="s">
        <v>33</v>
      </c>
      <c r="D26" s="5">
        <f>+(D24-D16)/D22</f>
        <v>-15.247852406573156</v>
      </c>
    </row>
    <row r="27" spans="1:8" x14ac:dyDescent="0.25">
      <c r="B27" t="s">
        <v>47</v>
      </c>
      <c r="C27" s="4" t="s">
        <v>33</v>
      </c>
      <c r="D27" s="5">
        <f>+D26-D25</f>
        <v>-6.4644627126471121E-2</v>
      </c>
    </row>
    <row r="28" spans="1:8" x14ac:dyDescent="0.25">
      <c r="B28" s="7" t="s">
        <v>53</v>
      </c>
    </row>
    <row r="29" spans="1:8" ht="17.25" x14ac:dyDescent="0.25">
      <c r="B29" t="s">
        <v>61</v>
      </c>
      <c r="C29" s="4" t="s">
        <v>62</v>
      </c>
      <c r="D29">
        <v>1.22</v>
      </c>
    </row>
    <row r="30" spans="1:8" x14ac:dyDescent="0.25">
      <c r="B30" s="17" t="s">
        <v>63</v>
      </c>
      <c r="C30" s="16" t="s">
        <v>64</v>
      </c>
      <c r="D30" s="17">
        <v>1005</v>
      </c>
    </row>
    <row r="31" spans="1:8" x14ac:dyDescent="0.25">
      <c r="B31" t="s">
        <v>54</v>
      </c>
      <c r="C31" s="4" t="s">
        <v>55</v>
      </c>
      <c r="D31">
        <v>15</v>
      </c>
    </row>
    <row r="32" spans="1:8" ht="17.25" x14ac:dyDescent="0.25">
      <c r="B32" t="s">
        <v>56</v>
      </c>
      <c r="C32" s="4" t="s">
        <v>57</v>
      </c>
      <c r="D32" s="3">
        <f>+PI()*(D11^2)/4*D31</f>
        <v>0.60172494890532102</v>
      </c>
    </row>
    <row r="33" spans="2:4" ht="17.25" x14ac:dyDescent="0.25">
      <c r="C33" s="4" t="s">
        <v>58</v>
      </c>
      <c r="D33" s="5">
        <f>+D32*3600</f>
        <v>2166.2098160591559</v>
      </c>
    </row>
    <row r="34" spans="2:4" x14ac:dyDescent="0.25">
      <c r="B34" t="s">
        <v>59</v>
      </c>
      <c r="C34" s="4" t="s">
        <v>60</v>
      </c>
      <c r="D34" s="3">
        <f>+D32*D29</f>
        <v>0.73410443766449163</v>
      </c>
    </row>
    <row r="35" spans="2:4" x14ac:dyDescent="0.25">
      <c r="B35" t="s">
        <v>65</v>
      </c>
      <c r="C35" s="4" t="s">
        <v>3</v>
      </c>
      <c r="D35">
        <v>30</v>
      </c>
    </row>
    <row r="36" spans="2:4" x14ac:dyDescent="0.25">
      <c r="B36" t="s">
        <v>66</v>
      </c>
      <c r="C36" s="4" t="s">
        <v>67</v>
      </c>
      <c r="D36">
        <f>+D35/D34/D30/D23</f>
        <v>5.6126530097553161E-2</v>
      </c>
    </row>
    <row r="37" spans="2:4" x14ac:dyDescent="0.25">
      <c r="B37" t="s">
        <v>68</v>
      </c>
      <c r="C37" s="4" t="s">
        <v>12</v>
      </c>
      <c r="D37" s="8">
        <f>+(D14-D16)/EXP(D36)+D16</f>
        <v>15.600385452700552</v>
      </c>
    </row>
    <row r="38" spans="2:4" x14ac:dyDescent="0.25">
      <c r="B38" t="s">
        <v>69</v>
      </c>
      <c r="C38" s="4" t="s">
        <v>12</v>
      </c>
      <c r="D38" s="8">
        <f>+D37-D14</f>
        <v>0.60038545270055188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legacyDrawing r:id="rId3"/>
  <oleObjects>
    <mc:AlternateContent xmlns:mc="http://schemas.openxmlformats.org/markup-compatibility/2006">
      <mc:Choice Requires="x14">
        <oleObject shapeId="9217" r:id="rId4">
          <objectPr defaultSize="0" autoPict="0" r:id="rId5">
            <anchor moveWithCells="1">
              <from>
                <xdr:col>0</xdr:col>
                <xdr:colOff>114300</xdr:colOff>
                <xdr:row>39</xdr:row>
                <xdr:rowOff>19050</xdr:rowOff>
              </from>
              <to>
                <xdr:col>3</xdr:col>
                <xdr:colOff>752475</xdr:colOff>
                <xdr:row>43</xdr:row>
                <xdr:rowOff>95250</xdr:rowOff>
              </to>
            </anchor>
          </objectPr>
        </oleObject>
      </mc:Choice>
      <mc:Fallback>
        <oleObject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zoomScale="115" zoomScaleNormal="115" workbookViewId="0">
      <selection activeCell="K38" sqref="K38"/>
    </sheetView>
  </sheetViews>
  <sheetFormatPr defaultRowHeight="15" x14ac:dyDescent="0.25"/>
  <cols>
    <col min="1" max="1" width="9.140625" style="4"/>
    <col min="2" max="2" width="50.5703125" customWidth="1"/>
    <col min="3" max="3" width="9.140625" style="4"/>
    <col min="4" max="4" width="12.85546875" bestFit="1" customWidth="1"/>
  </cols>
  <sheetData>
    <row r="1" spans="1:4" ht="51" customHeight="1" x14ac:dyDescent="0.25">
      <c r="A1" s="23" t="s">
        <v>70</v>
      </c>
      <c r="B1" s="23"/>
      <c r="C1" s="23"/>
      <c r="D1" s="23"/>
    </row>
    <row r="2" spans="1:4" s="7" customFormat="1" x14ac:dyDescent="0.25">
      <c r="A2" s="6"/>
      <c r="B2" s="7" t="s">
        <v>71</v>
      </c>
      <c r="C2" s="6"/>
    </row>
    <row r="3" spans="1:4" x14ac:dyDescent="0.25">
      <c r="B3" s="2" t="s">
        <v>72</v>
      </c>
    </row>
    <row r="4" spans="1:4" ht="18" x14ac:dyDescent="0.35">
      <c r="A4" s="4" t="s">
        <v>21</v>
      </c>
      <c r="B4" t="s">
        <v>6</v>
      </c>
      <c r="C4" s="4" t="s">
        <v>3</v>
      </c>
      <c r="D4" s="18">
        <v>0.13969999999999999</v>
      </c>
    </row>
    <row r="5" spans="1:4" x14ac:dyDescent="0.25">
      <c r="A5" s="4" t="s">
        <v>9</v>
      </c>
      <c r="B5" t="s">
        <v>4</v>
      </c>
      <c r="C5" s="4" t="s">
        <v>3</v>
      </c>
      <c r="D5">
        <v>3.2000000000000002E-3</v>
      </c>
    </row>
    <row r="6" spans="1:4" ht="18" x14ac:dyDescent="0.35">
      <c r="A6" s="4" t="s">
        <v>22</v>
      </c>
      <c r="B6" t="s">
        <v>2</v>
      </c>
      <c r="C6" s="4" t="s">
        <v>3</v>
      </c>
      <c r="D6" s="3">
        <f>+D4-2*D5</f>
        <v>0.1333</v>
      </c>
    </row>
    <row r="7" spans="1:4" ht="18" x14ac:dyDescent="0.35">
      <c r="A7" s="4" t="s">
        <v>23</v>
      </c>
      <c r="B7" t="s">
        <v>73</v>
      </c>
      <c r="C7" s="4" t="s">
        <v>10</v>
      </c>
      <c r="D7" s="5">
        <v>54</v>
      </c>
    </row>
    <row r="8" spans="1:4" x14ac:dyDescent="0.25">
      <c r="B8" s="2" t="s">
        <v>74</v>
      </c>
    </row>
    <row r="9" spans="1:4" x14ac:dyDescent="0.25">
      <c r="B9" t="s">
        <v>75</v>
      </c>
      <c r="C9" s="4" t="s">
        <v>3</v>
      </c>
      <c r="D9">
        <v>0.06</v>
      </c>
    </row>
    <row r="10" spans="1:4" ht="18" x14ac:dyDescent="0.35">
      <c r="A10" s="4" t="s">
        <v>26</v>
      </c>
      <c r="B10" t="s">
        <v>76</v>
      </c>
      <c r="C10" s="4" t="s">
        <v>10</v>
      </c>
      <c r="D10">
        <v>2.1999999999999999E-2</v>
      </c>
    </row>
    <row r="11" spans="1:4" x14ac:dyDescent="0.25">
      <c r="B11" s="2" t="s">
        <v>77</v>
      </c>
    </row>
    <row r="12" spans="1:4" ht="18" x14ac:dyDescent="0.35">
      <c r="A12" s="4" t="s">
        <v>17</v>
      </c>
      <c r="B12" t="s">
        <v>6</v>
      </c>
      <c r="C12" s="4" t="s">
        <v>3</v>
      </c>
      <c r="D12" s="3">
        <f>+D13+2*D14</f>
        <v>0.2697</v>
      </c>
    </row>
    <row r="13" spans="1:4" ht="18" x14ac:dyDescent="0.35">
      <c r="A13" s="4" t="s">
        <v>18</v>
      </c>
      <c r="B13" t="s">
        <v>2</v>
      </c>
      <c r="C13" s="4" t="s">
        <v>3</v>
      </c>
      <c r="D13" s="3">
        <f>+D4+2*D9</f>
        <v>0.25969999999999999</v>
      </c>
    </row>
    <row r="14" spans="1:4" x14ac:dyDescent="0.25">
      <c r="A14" s="4" t="s">
        <v>9</v>
      </c>
      <c r="B14" t="s">
        <v>4</v>
      </c>
      <c r="C14" s="4" t="s">
        <v>3</v>
      </c>
      <c r="D14">
        <v>5.0000000000000001E-3</v>
      </c>
    </row>
    <row r="15" spans="1:4" x14ac:dyDescent="0.25">
      <c r="B15" t="s">
        <v>82</v>
      </c>
      <c r="C15" s="4" t="s">
        <v>10</v>
      </c>
      <c r="D15">
        <v>0.4</v>
      </c>
    </row>
    <row r="16" spans="1:4" ht="18.75" x14ac:dyDescent="0.35">
      <c r="A16" s="4" t="s">
        <v>28</v>
      </c>
      <c r="B16" t="s">
        <v>79</v>
      </c>
      <c r="C16" s="4" t="s">
        <v>14</v>
      </c>
      <c r="D16">
        <v>3000</v>
      </c>
    </row>
    <row r="17" spans="1:8" ht="18" x14ac:dyDescent="0.35">
      <c r="A17" s="4" t="s">
        <v>20</v>
      </c>
      <c r="B17" t="s">
        <v>48</v>
      </c>
      <c r="C17" s="4" t="s">
        <v>12</v>
      </c>
      <c r="D17">
        <v>-5</v>
      </c>
    </row>
    <row r="18" spans="1:8" ht="18.75" x14ac:dyDescent="0.35">
      <c r="A18" s="4" t="s">
        <v>27</v>
      </c>
      <c r="B18" t="s">
        <v>29</v>
      </c>
      <c r="C18" s="4" t="s">
        <v>14</v>
      </c>
      <c r="D18" s="8">
        <f>(9.5+(0.0085*D17*(D17^(1/3))))</f>
        <v>9.5726739777337588</v>
      </c>
    </row>
    <row r="19" spans="1:8" s="7" customFormat="1" x14ac:dyDescent="0.25">
      <c r="A19" s="6"/>
      <c r="B19" s="7" t="s">
        <v>42</v>
      </c>
      <c r="C19" s="6"/>
      <c r="D19" s="11"/>
    </row>
    <row r="20" spans="1:8" ht="17.25" x14ac:dyDescent="0.25">
      <c r="B20" t="s">
        <v>37</v>
      </c>
      <c r="C20" s="4" t="s">
        <v>16</v>
      </c>
      <c r="D20" s="10">
        <f>+(1*2/(PI()*D16*D13))</f>
        <v>8.171220284528064E-4</v>
      </c>
    </row>
    <row r="21" spans="1:8" ht="17.25" x14ac:dyDescent="0.25">
      <c r="B21" t="s">
        <v>80</v>
      </c>
      <c r="C21" s="4" t="s">
        <v>16</v>
      </c>
      <c r="D21" s="10">
        <f>LN(D12/D13)/(2*PI()*D7)</f>
        <v>1.1135868438803209E-4</v>
      </c>
    </row>
    <row r="22" spans="1:8" ht="17.25" x14ac:dyDescent="0.25">
      <c r="B22" t="s">
        <v>81</v>
      </c>
      <c r="C22" s="4" t="s">
        <v>16</v>
      </c>
      <c r="D22" s="10">
        <f>LN(D13/D4)/D10/2/PI()</f>
        <v>4.4854916306781467</v>
      </c>
    </row>
    <row r="23" spans="1:8" ht="17.25" x14ac:dyDescent="0.25">
      <c r="B23" t="s">
        <v>40</v>
      </c>
      <c r="C23" s="4" t="s">
        <v>16</v>
      </c>
      <c r="D23" s="10">
        <f>LN(D12/D13)/(2*PI()*D15)</f>
        <v>1.5033422392384331E-2</v>
      </c>
    </row>
    <row r="24" spans="1:8" ht="17.25" x14ac:dyDescent="0.25">
      <c r="B24" t="s">
        <v>103</v>
      </c>
      <c r="C24" s="4" t="s">
        <v>16</v>
      </c>
      <c r="D24" s="10">
        <f>+(1*2/(PI()*D12*D18))</f>
        <v>0.24658457635543127</v>
      </c>
    </row>
    <row r="25" spans="1:8" s="7" customFormat="1" ht="19.5" thickBot="1" x14ac:dyDescent="0.4">
      <c r="A25" s="12" t="s">
        <v>43</v>
      </c>
      <c r="B25" s="13" t="s">
        <v>50</v>
      </c>
      <c r="C25" s="12" t="s">
        <v>44</v>
      </c>
      <c r="D25" s="15">
        <f>SUM(D20:D24)</f>
        <v>4.7480381101388032</v>
      </c>
    </row>
    <row r="26" spans="1:8" x14ac:dyDescent="0.25">
      <c r="D26" s="5"/>
      <c r="H26" s="1"/>
    </row>
    <row r="27" spans="1:8" s="7" customFormat="1" x14ac:dyDescent="0.25">
      <c r="A27" s="6"/>
      <c r="B27" s="7" t="s">
        <v>70</v>
      </c>
      <c r="C27" s="6"/>
      <c r="D27" s="20"/>
      <c r="H27" s="21"/>
    </row>
    <row r="28" spans="1:8" ht="18" x14ac:dyDescent="0.35">
      <c r="A28" s="4" t="s">
        <v>90</v>
      </c>
      <c r="B28" t="s">
        <v>78</v>
      </c>
      <c r="C28" s="4" t="s">
        <v>12</v>
      </c>
      <c r="D28">
        <v>75</v>
      </c>
    </row>
    <row r="29" spans="1:8" ht="18" x14ac:dyDescent="0.35">
      <c r="A29" s="4" t="s">
        <v>91</v>
      </c>
      <c r="B29" t="s">
        <v>89</v>
      </c>
      <c r="C29" s="4" t="s">
        <v>12</v>
      </c>
      <c r="D29">
        <v>60</v>
      </c>
    </row>
    <row r="30" spans="1:8" ht="18" x14ac:dyDescent="0.35">
      <c r="A30" s="4" t="s">
        <v>20</v>
      </c>
      <c r="B30" t="s">
        <v>104</v>
      </c>
      <c r="C30" s="4" t="s">
        <v>12</v>
      </c>
      <c r="D30">
        <v>-5</v>
      </c>
    </row>
    <row r="31" spans="1:8" x14ac:dyDescent="0.25">
      <c r="B31" t="s">
        <v>83</v>
      </c>
      <c r="C31" s="4" t="s">
        <v>55</v>
      </c>
      <c r="D31" s="8">
        <v>1.5</v>
      </c>
      <c r="H31" s="19"/>
    </row>
    <row r="32" spans="1:8" ht="17.25" x14ac:dyDescent="0.25">
      <c r="B32" t="s">
        <v>84</v>
      </c>
      <c r="C32" s="4" t="s">
        <v>57</v>
      </c>
      <c r="D32" s="8">
        <f>+PI()*(D6^2)/4*D31</f>
        <v>2.0933480357416927E-2</v>
      </c>
      <c r="H32" s="19"/>
    </row>
    <row r="33" spans="2:8" ht="17.25" x14ac:dyDescent="0.25">
      <c r="C33" s="4" t="s">
        <v>58</v>
      </c>
      <c r="D33" s="8">
        <f>+D32*3600</f>
        <v>75.360529286700938</v>
      </c>
      <c r="H33" s="19"/>
    </row>
    <row r="34" spans="2:8" x14ac:dyDescent="0.25">
      <c r="B34" t="s">
        <v>85</v>
      </c>
      <c r="C34" s="4" t="s">
        <v>60</v>
      </c>
      <c r="D34" s="8">
        <f>+D32*1000</f>
        <v>20.933480357416926</v>
      </c>
      <c r="H34" s="19"/>
    </row>
    <row r="35" spans="2:8" x14ac:dyDescent="0.25">
      <c r="B35" t="s">
        <v>88</v>
      </c>
      <c r="C35" s="4" t="s">
        <v>3</v>
      </c>
      <c r="D35" s="5">
        <v>350</v>
      </c>
      <c r="H35" s="19"/>
    </row>
    <row r="36" spans="2:8" x14ac:dyDescent="0.25">
      <c r="B36" t="s">
        <v>86</v>
      </c>
      <c r="C36" s="4" t="s">
        <v>87</v>
      </c>
      <c r="D36" s="22">
        <f>+(D28-D30)/D25*D35</f>
        <v>5897.1725480066661</v>
      </c>
      <c r="H36" s="19"/>
    </row>
    <row r="37" spans="2:8" x14ac:dyDescent="0.25">
      <c r="B37" t="s">
        <v>92</v>
      </c>
      <c r="C37" s="4" t="s">
        <v>87</v>
      </c>
      <c r="D37" s="22">
        <f>+(D29-D30)/D25*D35</f>
        <v>4791.4526952554161</v>
      </c>
      <c r="H37" s="19"/>
    </row>
    <row r="38" spans="2:8" x14ac:dyDescent="0.25">
      <c r="B38" t="s">
        <v>93</v>
      </c>
      <c r="C38" s="4" t="s">
        <v>87</v>
      </c>
      <c r="D38" s="22">
        <f>SUM(D36:D37)</f>
        <v>10688.625243262082</v>
      </c>
      <c r="H38" s="19"/>
    </row>
    <row r="39" spans="2:8" x14ac:dyDescent="0.25">
      <c r="B39" t="s">
        <v>95</v>
      </c>
      <c r="C39" s="4" t="s">
        <v>87</v>
      </c>
      <c r="D39" s="22">
        <v>4180</v>
      </c>
      <c r="H39" s="19"/>
    </row>
    <row r="40" spans="2:8" x14ac:dyDescent="0.25">
      <c r="B40" t="s">
        <v>94</v>
      </c>
      <c r="C40" s="4" t="s">
        <v>96</v>
      </c>
      <c r="D40" s="22">
        <f>+D34*D39*(D28-D29)</f>
        <v>1312529.2184100412</v>
      </c>
      <c r="H40" s="19"/>
    </row>
    <row r="41" spans="2:8" x14ac:dyDescent="0.25">
      <c r="B41" t="s">
        <v>97</v>
      </c>
      <c r="C41" s="4" t="s">
        <v>98</v>
      </c>
      <c r="D41" s="8">
        <f>+(D40-D38)/D40</f>
        <v>0.99185646681739392</v>
      </c>
      <c r="H41" s="19"/>
    </row>
    <row r="42" spans="2:8" x14ac:dyDescent="0.25">
      <c r="D42" s="5"/>
      <c r="H42" s="19"/>
    </row>
  </sheetData>
  <mergeCells count="1">
    <mergeCell ref="A1:D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10241" r:id="rId4">
          <objectPr defaultSize="0" autoPict="0" r:id="rId5">
            <anchor moveWithCells="1">
              <from>
                <xdr:col>0</xdr:col>
                <xdr:colOff>152400</xdr:colOff>
                <xdr:row>42</xdr:row>
                <xdr:rowOff>38100</xdr:rowOff>
              </from>
              <to>
                <xdr:col>4</xdr:col>
                <xdr:colOff>38100</xdr:colOff>
                <xdr:row>46</xdr:row>
                <xdr:rowOff>104775</xdr:rowOff>
              </to>
            </anchor>
          </objectPr>
        </oleObject>
      </mc:Choice>
      <mc:Fallback>
        <oleObject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Canna fumaria</vt:lpstr>
      <vt:lpstr>Stillicidio</vt:lpstr>
      <vt:lpstr>Rientrata 2</vt:lpstr>
      <vt:lpstr>Rete teleriscaldamento</vt:lpstr>
    </vt:vector>
  </TitlesOfParts>
  <Company>--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N56VV</dc:creator>
  <cp:lastModifiedBy>BOSCOLO MARCO</cp:lastModifiedBy>
  <cp:lastPrinted>2022-11-25T09:06:26Z</cp:lastPrinted>
  <dcterms:created xsi:type="dcterms:W3CDTF">2015-02-20T13:23:10Z</dcterms:created>
  <dcterms:modified xsi:type="dcterms:W3CDTF">2022-11-25T09:53:05Z</dcterms:modified>
</cp:coreProperties>
</file>