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5184\Downloads\"/>
    </mc:Choice>
  </mc:AlternateContent>
  <xr:revisionPtr revIDLastSave="0" documentId="13_ncr:1_{6C920C48-704A-445D-BD26-58F40D308987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Perdite in rete" sheetId="2" r:id="rId1"/>
    <sheet name="Colebrook" sheetId="6" r:id="rId2"/>
    <sheet name="Perdite localizzate" sheetId="7" r:id="rId3"/>
    <sheet name="Scelta della pompa" sheetId="3" r:id="rId4"/>
  </sheets>
  <definedNames>
    <definedName name="solver_adj" localSheetId="1" hidden="1">Colebrook!$D$14</definedName>
    <definedName name="solver_cvg" localSheetId="1" hidden="1">0.0001</definedName>
    <definedName name="solver_drv" localSheetId="1" hidden="1">1</definedName>
    <definedName name="solver_est" localSheetId="1" hidden="1">1</definedName>
    <definedName name="solver_itr" localSheetId="1" hidden="1">1000</definedName>
    <definedName name="solver_lin" localSheetId="1" hidden="1">2</definedName>
    <definedName name="solver_neg" localSheetId="1" hidden="1">2</definedName>
    <definedName name="solver_num" localSheetId="1" hidden="1">0</definedName>
    <definedName name="solver_nwt" localSheetId="1" hidden="1">1</definedName>
    <definedName name="solver_opt" localSheetId="1" hidden="1">Colebrook!$D$15</definedName>
    <definedName name="solver_pre" localSheetId="1" hidden="1">0.000001</definedName>
    <definedName name="solver_scl" localSheetId="1" hidden="1">1</definedName>
    <definedName name="solver_sho" localSheetId="1" hidden="1">2</definedName>
    <definedName name="solver_tim" localSheetId="1" hidden="1">100</definedName>
    <definedName name="solver_tol" localSheetId="1" hidden="1">0.000001</definedName>
    <definedName name="solver_typ" localSheetId="1" hidden="1">3</definedName>
    <definedName name="solver_val" localSheetId="1" hidden="1">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4" i="2" l="1"/>
  <c r="G35" i="2" s="1"/>
  <c r="G36" i="2" s="1"/>
  <c r="G37" i="2" s="1"/>
  <c r="G33" i="2"/>
  <c r="F33" i="2"/>
  <c r="F34" i="2" s="1"/>
  <c r="F35" i="2" s="1"/>
  <c r="F36" i="2" s="1"/>
  <c r="F37" i="2" s="1"/>
  <c r="G32" i="2"/>
  <c r="F32" i="2"/>
  <c r="E32" i="2"/>
  <c r="E33" i="2" s="1"/>
  <c r="E34" i="2" s="1"/>
  <c r="E35" i="2" s="1"/>
  <c r="E36" i="2" s="1"/>
  <c r="E37" i="2" s="1"/>
  <c r="E25" i="2"/>
  <c r="E26" i="2" s="1"/>
  <c r="E27" i="2" s="1"/>
  <c r="E28" i="2" s="1"/>
  <c r="E24" i="2"/>
  <c r="G23" i="2"/>
  <c r="G24" i="2" s="1"/>
  <c r="G25" i="2" s="1"/>
  <c r="G26" i="2" s="1"/>
  <c r="G27" i="2" s="1"/>
  <c r="G28" i="2" s="1"/>
  <c r="F23" i="2"/>
  <c r="F24" i="2" s="1"/>
  <c r="F25" i="2" s="1"/>
  <c r="F26" i="2" s="1"/>
  <c r="F27" i="2" s="1"/>
  <c r="F28" i="2" s="1"/>
  <c r="E23" i="2"/>
  <c r="E16" i="2"/>
  <c r="E17" i="2" s="1"/>
  <c r="E18" i="2" s="1"/>
  <c r="E19" i="2" s="1"/>
  <c r="E15" i="2"/>
  <c r="G14" i="2"/>
  <c r="G15" i="2" s="1"/>
  <c r="G16" i="2" s="1"/>
  <c r="G17" i="2" s="1"/>
  <c r="G18" i="2" s="1"/>
  <c r="G19" i="2" s="1"/>
  <c r="F14" i="2"/>
  <c r="F15" i="2" s="1"/>
  <c r="F16" i="2" s="1"/>
  <c r="F17" i="2" s="1"/>
  <c r="F18" i="2" s="1"/>
  <c r="F19" i="2" s="1"/>
  <c r="E14" i="2"/>
  <c r="G5" i="2"/>
  <c r="G6" i="2"/>
  <c r="G7" i="2" s="1"/>
  <c r="G8" i="2" s="1"/>
  <c r="G9" i="2" s="1"/>
  <c r="G10" i="2" s="1"/>
  <c r="F5" i="2"/>
  <c r="F6" i="2" s="1"/>
  <c r="F7" i="2" s="1"/>
  <c r="F8" i="2" s="1"/>
  <c r="F9" i="2" s="1"/>
  <c r="F10" i="2" s="1"/>
  <c r="E6" i="2"/>
  <c r="E7" i="2"/>
  <c r="E8" i="2" s="1"/>
  <c r="E5" i="2"/>
  <c r="K5" i="2"/>
  <c r="K6" i="2" s="1"/>
  <c r="K7" i="2" s="1"/>
  <c r="K8" i="2" s="1"/>
  <c r="K9" i="2" s="1"/>
  <c r="K10" i="2" s="1"/>
  <c r="C32" i="2"/>
  <c r="C23" i="2"/>
  <c r="C24" i="2" s="1"/>
  <c r="C25" i="2" s="1"/>
  <c r="C26" i="2" s="1"/>
  <c r="C14" i="2"/>
  <c r="C5" i="2"/>
  <c r="C6" i="2" s="1"/>
  <c r="C7" i="2" s="1"/>
  <c r="C8" i="2" s="1"/>
  <c r="C9" i="2" s="1"/>
  <c r="C10" i="2" s="1"/>
  <c r="H33" i="7"/>
  <c r="G33" i="7"/>
  <c r="F33" i="7"/>
  <c r="E33" i="7"/>
  <c r="D33" i="7"/>
  <c r="C33" i="7"/>
  <c r="B33" i="7"/>
  <c r="H32" i="7"/>
  <c r="G32" i="7"/>
  <c r="F32" i="7"/>
  <c r="E32" i="7"/>
  <c r="D32" i="7"/>
  <c r="C32" i="7"/>
  <c r="B32" i="7"/>
  <c r="H31" i="7"/>
  <c r="G31" i="7"/>
  <c r="F31" i="7"/>
  <c r="E31" i="7"/>
  <c r="D31" i="7"/>
  <c r="C31" i="7"/>
  <c r="B31" i="7"/>
  <c r="H30" i="7"/>
  <c r="G30" i="7"/>
  <c r="F30" i="7"/>
  <c r="E30" i="7"/>
  <c r="D30" i="7"/>
  <c r="C30" i="7"/>
  <c r="B30" i="7"/>
  <c r="H29" i="7"/>
  <c r="G29" i="7"/>
  <c r="F29" i="7"/>
  <c r="E29" i="7"/>
  <c r="D29" i="7"/>
  <c r="C29" i="7"/>
  <c r="B29" i="7"/>
  <c r="H28" i="7"/>
  <c r="G28" i="7"/>
  <c r="F28" i="7"/>
  <c r="E28" i="7"/>
  <c r="D28" i="7"/>
  <c r="C28" i="7"/>
  <c r="B28" i="7"/>
  <c r="H27" i="7"/>
  <c r="G27" i="7"/>
  <c r="F27" i="7"/>
  <c r="E27" i="7"/>
  <c r="D27" i="7"/>
  <c r="C27" i="7"/>
  <c r="B27" i="7"/>
  <c r="H26" i="7"/>
  <c r="G26" i="7"/>
  <c r="F26" i="7"/>
  <c r="E26" i="7"/>
  <c r="D26" i="7"/>
  <c r="C26" i="7"/>
  <c r="B26" i="7"/>
  <c r="H25" i="7"/>
  <c r="G25" i="7"/>
  <c r="F25" i="7"/>
  <c r="E25" i="7"/>
  <c r="D25" i="7"/>
  <c r="C25" i="7"/>
  <c r="B25" i="7"/>
  <c r="H24" i="7"/>
  <c r="F24" i="7"/>
  <c r="E24" i="7"/>
  <c r="D24" i="7"/>
  <c r="C24" i="7"/>
  <c r="B24" i="7"/>
  <c r="H23" i="7"/>
  <c r="F23" i="7"/>
  <c r="E23" i="7"/>
  <c r="D23" i="7"/>
  <c r="C23" i="7"/>
  <c r="B23" i="7"/>
  <c r="H22" i="7"/>
  <c r="F22" i="7"/>
  <c r="E22" i="7"/>
  <c r="D22" i="7"/>
  <c r="C22" i="7"/>
  <c r="B22" i="7"/>
  <c r="D12" i="6"/>
  <c r="D10" i="6"/>
  <c r="D5" i="6"/>
  <c r="D11" i="6" s="1"/>
  <c r="D2" i="6"/>
  <c r="C5" i="3"/>
  <c r="I22" i="2"/>
  <c r="I4" i="2"/>
  <c r="H19" i="2"/>
  <c r="H18" i="2"/>
  <c r="H17" i="2"/>
  <c r="H16" i="2"/>
  <c r="H15" i="2"/>
  <c r="H14" i="2"/>
  <c r="I13" i="2"/>
  <c r="H37" i="2"/>
  <c r="H36" i="2"/>
  <c r="H35" i="2"/>
  <c r="H34" i="2"/>
  <c r="H33" i="2"/>
  <c r="H32" i="2"/>
  <c r="I32" i="2" s="1"/>
  <c r="I31" i="2"/>
  <c r="H28" i="2"/>
  <c r="H27" i="2"/>
  <c r="H26" i="2"/>
  <c r="H25" i="2"/>
  <c r="H24" i="2"/>
  <c r="H23" i="2"/>
  <c r="G4" i="2"/>
  <c r="C7" i="3"/>
  <c r="C8" i="3" s="1"/>
  <c r="H8" i="2"/>
  <c r="H7" i="2"/>
  <c r="H5" i="2"/>
  <c r="H6" i="2"/>
  <c r="H9" i="2"/>
  <c r="H10" i="2"/>
  <c r="I14" i="2" l="1"/>
  <c r="E9" i="2"/>
  <c r="I7" i="2"/>
  <c r="L7" i="2" s="1"/>
  <c r="L4" i="2"/>
  <c r="D6" i="6"/>
  <c r="D7" i="6" s="1"/>
  <c r="D16" i="6" s="1"/>
  <c r="D17" i="6" s="1"/>
  <c r="C33" i="2"/>
  <c r="C34" i="2" s="1"/>
  <c r="C35" i="2" s="1"/>
  <c r="C36" i="2" s="1"/>
  <c r="C37" i="2" s="1"/>
  <c r="K37" i="2" s="1"/>
  <c r="K32" i="2"/>
  <c r="L32" i="2" s="1"/>
  <c r="C27" i="2"/>
  <c r="C28" i="2" s="1"/>
  <c r="J28" i="2" s="1"/>
  <c r="K26" i="2"/>
  <c r="C15" i="2"/>
  <c r="C16" i="2" s="1"/>
  <c r="C17" i="2" s="1"/>
  <c r="C18" i="2" s="1"/>
  <c r="C19" i="2" s="1"/>
  <c r="K19" i="2" s="1"/>
  <c r="J14" i="2"/>
  <c r="D13" i="6"/>
  <c r="D15" i="6" s="1"/>
  <c r="I23" i="2"/>
  <c r="I6" i="2"/>
  <c r="L6" i="2" s="1"/>
  <c r="I36" i="2"/>
  <c r="J8" i="2"/>
  <c r="K24" i="2"/>
  <c r="I19" i="2"/>
  <c r="K23" i="2"/>
  <c r="K28" i="2"/>
  <c r="I33" i="2"/>
  <c r="K15" i="2"/>
  <c r="J25" i="2"/>
  <c r="I8" i="2"/>
  <c r="L8" i="2" s="1"/>
  <c r="K22" i="2"/>
  <c r="L22" i="2" s="1"/>
  <c r="I18" i="2"/>
  <c r="K14" i="2"/>
  <c r="L14" i="2" s="1"/>
  <c r="I25" i="2"/>
  <c r="J32" i="2"/>
  <c r="I37" i="2"/>
  <c r="I35" i="2"/>
  <c r="K13" i="2"/>
  <c r="L13" i="2" s="1"/>
  <c r="I26" i="2"/>
  <c r="I28" i="2"/>
  <c r="J18" i="2"/>
  <c r="J23" i="2"/>
  <c r="J26" i="2"/>
  <c r="K31" i="2"/>
  <c r="L31" i="2" s="1"/>
  <c r="I16" i="2"/>
  <c r="J19" i="2"/>
  <c r="J36" i="2"/>
  <c r="I5" i="2"/>
  <c r="L5" i="2" s="1"/>
  <c r="I24" i="2"/>
  <c r="I27" i="2"/>
  <c r="I17" i="2"/>
  <c r="J16" i="2"/>
  <c r="J13" i="2"/>
  <c r="I15" i="2"/>
  <c r="J31" i="2"/>
  <c r="I34" i="2"/>
  <c r="J22" i="2"/>
  <c r="K25" i="2"/>
  <c r="J24" i="2"/>
  <c r="J5" i="2"/>
  <c r="J7" i="2"/>
  <c r="J6" i="2"/>
  <c r="J4" i="2"/>
  <c r="L23" i="2" l="1"/>
  <c r="E10" i="2"/>
  <c r="J37" i="2"/>
  <c r="K33" i="2"/>
  <c r="L33" i="2" s="1"/>
  <c r="L26" i="2"/>
  <c r="K27" i="2"/>
  <c r="J27" i="2"/>
  <c r="J33" i="2"/>
  <c r="K35" i="2"/>
  <c r="K34" i="2"/>
  <c r="L34" i="2" s="1"/>
  <c r="J34" i="2"/>
  <c r="L37" i="2"/>
  <c r="J35" i="2"/>
  <c r="K36" i="2"/>
  <c r="L36" i="2" s="1"/>
  <c r="L24" i="2"/>
  <c r="J17" i="2"/>
  <c r="K17" i="2"/>
  <c r="L17" i="2" s="1"/>
  <c r="J15" i="2"/>
  <c r="K18" i="2"/>
  <c r="L18" i="2" s="1"/>
  <c r="K16" i="2"/>
  <c r="L16" i="2" s="1"/>
  <c r="L35" i="2"/>
  <c r="L19" i="2"/>
  <c r="L15" i="2"/>
  <c r="L27" i="2"/>
  <c r="L28" i="2"/>
  <c r="L25" i="2"/>
  <c r="J10" i="2" l="1"/>
  <c r="I10" i="2"/>
  <c r="L10" i="2" s="1"/>
  <c r="J9" i="2"/>
  <c r="I9" i="2"/>
  <c r="L9" i="2" s="1"/>
  <c r="L11" i="2" s="1"/>
  <c r="M11" i="2" s="1"/>
  <c r="L29" i="2"/>
  <c r="L38" i="2"/>
  <c r="L20" i="2"/>
  <c r="L39" i="2" l="1"/>
  <c r="C2" i="3" s="1"/>
  <c r="C6" i="3" s="1"/>
</calcChain>
</file>

<file path=xl/sharedStrings.xml><?xml version="1.0" encoding="utf-8"?>
<sst xmlns="http://schemas.openxmlformats.org/spreadsheetml/2006/main" count="144" uniqueCount="87">
  <si>
    <t>Diametro esterno</t>
  </si>
  <si>
    <t>m</t>
  </si>
  <si>
    <t>Spessore</t>
  </si>
  <si>
    <t>diametro interno</t>
  </si>
  <si>
    <t>Lunghezza</t>
  </si>
  <si>
    <t>velocità</t>
  </si>
  <si>
    <t>m/s</t>
  </si>
  <si>
    <t>portata</t>
  </si>
  <si>
    <r>
      <t>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/s</t>
    </r>
  </si>
  <si>
    <r>
      <t>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/h</t>
    </r>
  </si>
  <si>
    <t>sezione utile</t>
  </si>
  <si>
    <r>
      <t>m</t>
    </r>
    <r>
      <rPr>
        <vertAlign val="superscript"/>
        <sz val="11"/>
        <color theme="1"/>
        <rFont val="Calibri"/>
        <family val="2"/>
        <scheme val="minor"/>
      </rPr>
      <t>2</t>
    </r>
  </si>
  <si>
    <t>Tipo di tubo</t>
  </si>
  <si>
    <t>scabrosità relativa</t>
  </si>
  <si>
    <t>scabrosità assoluta</t>
  </si>
  <si>
    <t>numero di Reynolds</t>
  </si>
  <si>
    <r>
      <t>m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/s</t>
    </r>
  </si>
  <si>
    <t>Fattore di resistenza</t>
  </si>
  <si>
    <t>Eq Colebrook</t>
  </si>
  <si>
    <t>cadente</t>
  </si>
  <si>
    <t>viscosità cinematica</t>
  </si>
  <si>
    <t>m/m</t>
  </si>
  <si>
    <t>perdita di carico</t>
  </si>
  <si>
    <t>n</t>
  </si>
  <si>
    <r>
      <rPr>
        <sz val="14.3"/>
        <color theme="1"/>
        <rFont val="Symbol"/>
        <family val="1"/>
        <charset val="2"/>
      </rPr>
      <t>e</t>
    </r>
    <r>
      <rPr>
        <sz val="18.600000000000001"/>
        <color theme="1"/>
        <rFont val="Calibri"/>
        <family val="2"/>
      </rPr>
      <t>/</t>
    </r>
    <r>
      <rPr>
        <sz val="14"/>
        <color theme="1"/>
        <rFont val="Calibri"/>
        <family val="2"/>
      </rPr>
      <t>D</t>
    </r>
  </si>
  <si>
    <t>e</t>
  </si>
  <si>
    <t>D</t>
  </si>
  <si>
    <t>s</t>
  </si>
  <si>
    <t>Q</t>
  </si>
  <si>
    <t>v</t>
  </si>
  <si>
    <t>Ramo</t>
  </si>
  <si>
    <t>Annotazioni</t>
  </si>
  <si>
    <t xml:space="preserve">lunghezza </t>
  </si>
  <si>
    <t>m3/s</t>
  </si>
  <si>
    <t>Cadente</t>
  </si>
  <si>
    <t>Saracinesche</t>
  </si>
  <si>
    <t>CD</t>
  </si>
  <si>
    <t>DE</t>
  </si>
  <si>
    <t>EF</t>
  </si>
  <si>
    <t>Curva a 45°</t>
  </si>
  <si>
    <t>Curve 90°</t>
  </si>
  <si>
    <t xml:space="preserve">Curve 90° ampio raggio </t>
  </si>
  <si>
    <t>Tee</t>
  </si>
  <si>
    <t xml:space="preserve">Totale tratto </t>
  </si>
  <si>
    <t xml:space="preserve">Valvola di non ritorno </t>
  </si>
  <si>
    <t>L. eq./D</t>
  </si>
  <si>
    <t>Tratto rettilineo (10,93/2+3,31-1,12)</t>
  </si>
  <si>
    <t>Tratto rettilineo (+5,71-3,31)</t>
  </si>
  <si>
    <t>Tratto rettilineo (+8,11-5,71)</t>
  </si>
  <si>
    <t>spess.</t>
  </si>
  <si>
    <t>Tubo in PEHD PN12</t>
  </si>
  <si>
    <t xml:space="preserve">Tubo in acciaio zincato </t>
  </si>
  <si>
    <t>ABC</t>
  </si>
  <si>
    <t>Tratto rettilineo (2,15+1,12+10,88)</t>
  </si>
  <si>
    <t>Totale generale perdite in rete</t>
  </si>
  <si>
    <t>Perdita manichetta</t>
  </si>
  <si>
    <t>Pressione reesidua al bocchello</t>
  </si>
  <si>
    <t>Dislivello</t>
  </si>
  <si>
    <t>Perdite in rete</t>
  </si>
  <si>
    <t>Perdite nella manichetta</t>
  </si>
  <si>
    <t>Pressione residua al bocchello</t>
  </si>
  <si>
    <t>Dislivello geodetico (2,15+8,11)</t>
  </si>
  <si>
    <t>Prevalenza della pompa</t>
  </si>
  <si>
    <t>Portata</t>
  </si>
  <si>
    <t>[m]</t>
  </si>
  <si>
    <r>
      <t>[m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/h]</t>
    </r>
  </si>
  <si>
    <r>
      <t>[m</t>
    </r>
    <r>
      <rPr>
        <sz val="11"/>
        <color theme="1"/>
        <rFont val="Calibri"/>
        <family val="2"/>
        <scheme val="minor"/>
      </rPr>
      <t>]</t>
    </r>
  </si>
  <si>
    <r>
      <t>[m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/s]</t>
    </r>
  </si>
  <si>
    <t>acciaio</t>
  </si>
  <si>
    <t>Accessori in acciaio</t>
  </si>
  <si>
    <t>DN</t>
  </si>
  <si>
    <t>Curve</t>
  </si>
  <si>
    <t>Raccordi</t>
  </si>
  <si>
    <t>Saracinesca</t>
  </si>
  <si>
    <t>Valvola</t>
  </si>
  <si>
    <t>45°</t>
  </si>
  <si>
    <t>90°</t>
  </si>
  <si>
    <t>90° ampio raggio</t>
  </si>
  <si>
    <t>Tes</t>
  </si>
  <si>
    <t>Croce</t>
  </si>
  <si>
    <t>di ritegno</t>
  </si>
  <si>
    <t>Lunghezza di tubazione equivalente   (metri)</t>
  </si>
  <si>
    <t>-</t>
  </si>
  <si>
    <t>Accessori in ghisa</t>
  </si>
  <si>
    <t>Valvola di ritegno</t>
  </si>
  <si>
    <t>diam. Esterno</t>
  </si>
  <si>
    <t>Perdita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</si>
</sst>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-* #,##0.00_-;\-* #,##0.00_-;_-* &quot;-&quot;??_-;_-@_-"/>
    <numFmt numFmtId="164" formatCode="0.0000"/>
    <numFmt numFmtId="165" formatCode="0.000"/>
    <numFmt numFmtId="166" formatCode="0.0"/>
    <numFmt numFmtId="167" formatCode="_-* #,##0_-;\-* #,##0_-;_-* &quot;-&quot;??_-;_-@_-"/>
    <numFmt numFmtId="169" formatCode="_-* #,##0.0000_-;\-* #,##0.0000_-;_-* &quot;-&quot;??_-;_-@_-"/>
    <numFmt numFmtId="170" formatCode="0.000000"/>
    <numFmt numFmtId="171" formatCode="0.0000000"/>
    <numFmt numFmtId="172" formatCode="_-* #,##0.000_-;\-* #,##0.000_-;_-* &quot;-&quot;???_-;_-@_-"/>
    <numFmt numFmtId="173" formatCode="_-* #,##0.00_-;\-* #,##0.00_-;_-* &quot;-&quot;???_-;_-@_-"/>
    <numFmt numFmtId="174" formatCode="_-* #,##0.0_-;\-* #,##0.0_-;_-* &quot;-&quot;???_-;_-@_-"/>
    <numFmt numFmtId="175" formatCode="_-* #,##0_-;\-* #,##0_-;_-* &quot;-&quot;???_-;_-@_-"/>
    <numFmt numFmtId="176" formatCode="#,##0_ ;\-#,##0\ "/>
    <numFmt numFmtId="177" formatCode="_-* #,##0.0000_-;\-* #,##0.0000_-;_-* &quot;-&quot;?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1"/>
      <color theme="1"/>
      <name val="Symbol"/>
      <family val="1"/>
      <charset val="2"/>
    </font>
    <font>
      <sz val="14.3"/>
      <color theme="1"/>
      <name val="Calibri"/>
      <family val="2"/>
    </font>
    <font>
      <sz val="14.3"/>
      <color theme="1"/>
      <name val="Symbol"/>
      <family val="1"/>
      <charset val="2"/>
    </font>
    <font>
      <sz val="18.600000000000001"/>
      <color theme="1"/>
      <name val="Calibri"/>
      <family val="2"/>
    </font>
    <font>
      <sz val="14"/>
      <color theme="1"/>
      <name val="Calibri"/>
      <family val="2"/>
    </font>
    <font>
      <b/>
      <sz val="9"/>
      <color rgb="FFFFFFFF"/>
      <name val="Arial"/>
      <family val="2"/>
    </font>
    <font>
      <sz val="9"/>
      <color rgb="FFFFFFFF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339999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2">
    <xf numFmtId="0" fontId="0" fillId="0" borderId="0" xfId="0"/>
    <xf numFmtId="0" fontId="0" fillId="0" borderId="0" xfId="0" applyAlignment="1">
      <alignment horizontal="right"/>
    </xf>
    <xf numFmtId="164" fontId="0" fillId="0" borderId="0" xfId="0" applyNumberFormat="1"/>
    <xf numFmtId="165" fontId="0" fillId="0" borderId="0" xfId="0" applyNumberFormat="1"/>
    <xf numFmtId="2" fontId="0" fillId="0" borderId="0" xfId="0" applyNumberFormat="1"/>
    <xf numFmtId="1" fontId="0" fillId="0" borderId="0" xfId="0" applyNumberFormat="1"/>
    <xf numFmtId="170" fontId="0" fillId="0" borderId="0" xfId="0" applyNumberFormat="1"/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171" fontId="0" fillId="0" borderId="0" xfId="0" applyNumberFormat="1" applyAlignment="1">
      <alignment vertic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/>
    </xf>
    <xf numFmtId="170" fontId="2" fillId="0" borderId="0" xfId="0" applyNumberFormat="1" applyFont="1"/>
    <xf numFmtId="11" fontId="2" fillId="0" borderId="0" xfId="0" applyNumberFormat="1" applyFont="1"/>
    <xf numFmtId="164" fontId="0" fillId="0" borderId="0" xfId="0" applyNumberFormat="1" applyAlignment="1">
      <alignment vertical="center"/>
    </xf>
    <xf numFmtId="167" fontId="0" fillId="0" borderId="0" xfId="1" applyNumberFormat="1" applyFont="1" applyAlignment="1">
      <alignment vertical="center"/>
    </xf>
    <xf numFmtId="169" fontId="0" fillId="0" borderId="0" xfId="1" applyNumberFormat="1" applyFont="1" applyAlignment="1">
      <alignment vertical="center"/>
    </xf>
    <xf numFmtId="164" fontId="2" fillId="0" borderId="0" xfId="0" applyNumberFormat="1" applyFont="1" applyAlignment="1">
      <alignment horizontal="right"/>
    </xf>
    <xf numFmtId="0" fontId="2" fillId="0" borderId="0" xfId="0" applyFont="1"/>
    <xf numFmtId="0" fontId="2" fillId="0" borderId="0" xfId="0" applyFont="1" applyAlignment="1">
      <alignment horizontal="right" vertical="top" wrapText="1"/>
    </xf>
    <xf numFmtId="172" fontId="0" fillId="0" borderId="0" xfId="0" applyNumberFormat="1"/>
    <xf numFmtId="173" fontId="0" fillId="0" borderId="0" xfId="0" applyNumberFormat="1"/>
    <xf numFmtId="0" fontId="0" fillId="0" borderId="1" xfId="0" applyBorder="1"/>
    <xf numFmtId="0" fontId="2" fillId="0" borderId="1" xfId="0" applyFont="1" applyBorder="1"/>
    <xf numFmtId="172" fontId="0" fillId="0" borderId="1" xfId="0" applyNumberFormat="1" applyBorder="1"/>
    <xf numFmtId="173" fontId="0" fillId="0" borderId="1" xfId="0" applyNumberFormat="1" applyBorder="1"/>
    <xf numFmtId="174" fontId="0" fillId="0" borderId="1" xfId="0" applyNumberFormat="1" applyBorder="1"/>
    <xf numFmtId="172" fontId="2" fillId="0" borderId="1" xfId="0" applyNumberFormat="1" applyFont="1" applyBorder="1"/>
    <xf numFmtId="173" fontId="2" fillId="0" borderId="1" xfId="0" applyNumberFormat="1" applyFont="1" applyBorder="1"/>
    <xf numFmtId="174" fontId="2" fillId="0" borderId="1" xfId="0" applyNumberFormat="1" applyFont="1" applyBorder="1"/>
    <xf numFmtId="165" fontId="0" fillId="0" borderId="0" xfId="0" applyNumberFormat="1" applyAlignment="1">
      <alignment vertical="center"/>
    </xf>
    <xf numFmtId="172" fontId="2" fillId="0" borderId="0" xfId="0" applyNumberFormat="1" applyFont="1"/>
    <xf numFmtId="0" fontId="2" fillId="0" borderId="0" xfId="0" applyFont="1" applyAlignment="1">
      <alignment horizontal="center" vertical="top" wrapText="1"/>
    </xf>
    <xf numFmtId="175" fontId="0" fillId="0" borderId="1" xfId="0" applyNumberFormat="1" applyBorder="1" applyAlignment="1">
      <alignment horizontal="center"/>
    </xf>
    <xf numFmtId="176" fontId="0" fillId="0" borderId="0" xfId="0" applyNumberFormat="1" applyAlignment="1">
      <alignment horizontal="center"/>
    </xf>
    <xf numFmtId="177" fontId="0" fillId="0" borderId="0" xfId="0" applyNumberFormat="1"/>
    <xf numFmtId="174" fontId="2" fillId="0" borderId="0" xfId="0" applyNumberFormat="1" applyFont="1"/>
    <xf numFmtId="173" fontId="2" fillId="0" borderId="0" xfId="0" applyNumberFormat="1" applyFont="1"/>
    <xf numFmtId="164" fontId="0" fillId="0" borderId="0" xfId="0" applyNumberFormat="1" applyAlignment="1">
      <alignment horizontal="right"/>
    </xf>
    <xf numFmtId="165" fontId="0" fillId="0" borderId="0" xfId="0" applyNumberFormat="1" applyAlignment="1">
      <alignment horizontal="right"/>
    </xf>
    <xf numFmtId="165" fontId="2" fillId="0" borderId="1" xfId="0" applyNumberFormat="1" applyFont="1" applyBorder="1" applyAlignment="1">
      <alignment horizontal="right"/>
    </xf>
    <xf numFmtId="0" fontId="0" fillId="0" borderId="1" xfId="0" applyBorder="1" applyAlignment="1">
      <alignment horizontal="center"/>
    </xf>
    <xf numFmtId="166" fontId="0" fillId="0" borderId="0" xfId="0" applyNumberFormat="1" applyAlignment="1">
      <alignment horizontal="right"/>
    </xf>
    <xf numFmtId="0" fontId="9" fillId="2" borderId="2" xfId="0" applyFont="1" applyFill="1" applyBorder="1" applyAlignment="1">
      <alignment horizontal="center" wrapText="1"/>
    </xf>
    <xf numFmtId="0" fontId="9" fillId="2" borderId="3" xfId="0" applyFont="1" applyFill="1" applyBorder="1" applyAlignment="1">
      <alignment horizontal="center" wrapText="1"/>
    </xf>
    <xf numFmtId="0" fontId="9" fillId="2" borderId="4" xfId="0" applyFont="1" applyFill="1" applyBorder="1" applyAlignment="1">
      <alignment horizontal="center" wrapText="1"/>
    </xf>
    <xf numFmtId="0" fontId="9" fillId="2" borderId="5" xfId="0" applyFont="1" applyFill="1" applyBorder="1" applyAlignment="1">
      <alignment horizontal="center" wrapText="1"/>
    </xf>
    <xf numFmtId="0" fontId="9" fillId="2" borderId="2" xfId="0" applyFont="1" applyFill="1" applyBorder="1" applyAlignment="1">
      <alignment horizontal="center" wrapText="1"/>
    </xf>
    <xf numFmtId="0" fontId="9" fillId="2" borderId="6" xfId="0" applyFont="1" applyFill="1" applyBorder="1" applyAlignment="1">
      <alignment horizontal="center" wrapText="1"/>
    </xf>
    <xf numFmtId="0" fontId="10" fillId="2" borderId="7" xfId="0" applyFont="1" applyFill="1" applyBorder="1" applyAlignment="1">
      <alignment horizontal="center" wrapText="1"/>
    </xf>
    <xf numFmtId="0" fontId="9" fillId="2" borderId="8" xfId="0" applyFont="1" applyFill="1" applyBorder="1" applyAlignment="1">
      <alignment horizontal="center" wrapText="1"/>
    </xf>
    <xf numFmtId="0" fontId="9" fillId="2" borderId="8" xfId="0" applyFont="1" applyFill="1" applyBorder="1" applyAlignment="1">
      <alignment horizontal="center" wrapText="1"/>
    </xf>
    <xf numFmtId="0" fontId="11" fillId="0" borderId="7" xfId="0" applyFont="1" applyBorder="1" applyAlignment="1">
      <alignment horizont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top" wrapText="1"/>
    </xf>
    <xf numFmtId="0" fontId="9" fillId="2" borderId="6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top" wrapText="1"/>
    </xf>
    <xf numFmtId="0" fontId="9" fillId="2" borderId="8" xfId="0" applyFont="1" applyFill="1" applyBorder="1" applyAlignment="1">
      <alignment horizontal="center" vertical="center" wrapText="1"/>
    </xf>
    <xf numFmtId="166" fontId="11" fillId="0" borderId="7" xfId="0" applyNumberFormat="1" applyFont="1" applyBorder="1" applyAlignment="1">
      <alignment horizontal="center" wrapText="1"/>
    </xf>
  </cellXfs>
  <cellStyles count="2">
    <cellStyle name="Migliaia" xfId="1" builtinId="3"/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image" Target="../media/image3.emf"/><Relationship Id="rId1" Type="http://schemas.openxmlformats.org/officeDocument/2006/relationships/image" Target="../media/image2.emf"/><Relationship Id="rId4" Type="http://schemas.openxmlformats.org/officeDocument/2006/relationships/image" Target="../media/image5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172279</xdr:colOff>
      <xdr:row>3</xdr:row>
      <xdr:rowOff>46383</xdr:rowOff>
    </xdr:from>
    <xdr:to>
      <xdr:col>18</xdr:col>
      <xdr:colOff>64934</xdr:colOff>
      <xdr:row>7</xdr:row>
      <xdr:rowOff>12424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17496" y="781879"/>
          <a:ext cx="3550255" cy="70816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14</xdr:row>
          <xdr:rowOff>19050</xdr:rowOff>
        </xdr:from>
        <xdr:to>
          <xdr:col>2</xdr:col>
          <xdr:colOff>0</xdr:colOff>
          <xdr:row>15</xdr:row>
          <xdr:rowOff>0</xdr:rowOff>
        </xdr:to>
        <xdr:sp macro="" textlink="">
          <xdr:nvSpPr>
            <xdr:cNvPr id="6145" name="Object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FFA13034-E6F5-4B39-B6D8-780BE03F19A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942975</xdr:colOff>
          <xdr:row>15</xdr:row>
          <xdr:rowOff>28575</xdr:rowOff>
        </xdr:from>
        <xdr:to>
          <xdr:col>2</xdr:col>
          <xdr:colOff>0</xdr:colOff>
          <xdr:row>16</xdr:row>
          <xdr:rowOff>9525</xdr:rowOff>
        </xdr:to>
        <xdr:sp macro="" textlink="">
          <xdr:nvSpPr>
            <xdr:cNvPr id="6146" name="Object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90B18E69-04ED-4110-BEEC-3CD751840DD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1019175</xdr:colOff>
          <xdr:row>12</xdr:row>
          <xdr:rowOff>47625</xdr:rowOff>
        </xdr:from>
        <xdr:to>
          <xdr:col>1</xdr:col>
          <xdr:colOff>2286000</xdr:colOff>
          <xdr:row>13</xdr:row>
          <xdr:rowOff>0</xdr:rowOff>
        </xdr:to>
        <xdr:sp macro="" textlink="">
          <xdr:nvSpPr>
            <xdr:cNvPr id="6147" name="Object 3" hidden="1">
              <a:extLst>
                <a:ext uri="{63B3BB69-23CF-44E3-9099-C40C66FF867C}">
                  <a14:compatExt spid="_x0000_s6147"/>
                </a:ext>
                <a:ext uri="{FF2B5EF4-FFF2-40B4-BE49-F238E27FC236}">
                  <a16:creationId xmlns:a16="http://schemas.microsoft.com/office/drawing/2014/main" id="{DBE49FDE-C673-494A-82DB-599F410EA27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1095375</xdr:colOff>
          <xdr:row>13</xdr:row>
          <xdr:rowOff>28575</xdr:rowOff>
        </xdr:from>
        <xdr:to>
          <xdr:col>1</xdr:col>
          <xdr:colOff>2286000</xdr:colOff>
          <xdr:row>14</xdr:row>
          <xdr:rowOff>0</xdr:rowOff>
        </xdr:to>
        <xdr:sp macro="" textlink="">
          <xdr:nvSpPr>
            <xdr:cNvPr id="6148" name="Object 4" hidden="1">
              <a:extLst>
                <a:ext uri="{63B3BB69-23CF-44E3-9099-C40C66FF867C}">
                  <a14:compatExt spid="_x0000_s6148"/>
                </a:ext>
                <a:ext uri="{FF2B5EF4-FFF2-40B4-BE49-F238E27FC236}">
                  <a16:creationId xmlns:a16="http://schemas.microsoft.com/office/drawing/2014/main" id="{28A9392A-DE03-4D11-B3C5-63C7BA5490B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3" Type="http://schemas.openxmlformats.org/officeDocument/2006/relationships/vmlDrawing" Target="../drawings/vmlDrawing1.vml"/><Relationship Id="rId7" Type="http://schemas.openxmlformats.org/officeDocument/2006/relationships/image" Target="../media/image3.emf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oleObject" Target="../embeddings/oleObject2.bin"/><Relationship Id="rId11" Type="http://schemas.openxmlformats.org/officeDocument/2006/relationships/image" Target="../media/image5.emf"/><Relationship Id="rId5" Type="http://schemas.openxmlformats.org/officeDocument/2006/relationships/image" Target="../media/image2.emf"/><Relationship Id="rId10" Type="http://schemas.openxmlformats.org/officeDocument/2006/relationships/oleObject" Target="../embeddings/oleObject4.bin"/><Relationship Id="rId4" Type="http://schemas.openxmlformats.org/officeDocument/2006/relationships/oleObject" Target="../embeddings/oleObject1.bin"/><Relationship Id="rId9" Type="http://schemas.openxmlformats.org/officeDocument/2006/relationships/image" Target="../media/image4.emf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43"/>
  <sheetViews>
    <sheetView tabSelected="1" zoomScale="145" zoomScaleNormal="145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Q22" sqref="Q22"/>
    </sheetView>
  </sheetViews>
  <sheetFormatPr defaultRowHeight="15" x14ac:dyDescent="0.25"/>
  <cols>
    <col min="1" max="1" width="6.42578125" customWidth="1"/>
    <col min="2" max="2" width="33.85546875" bestFit="1" customWidth="1"/>
    <col min="3" max="3" width="7.85546875" bestFit="1" customWidth="1"/>
    <col min="4" max="4" width="2.7109375" style="10" bestFit="1" customWidth="1"/>
    <col min="5" max="6" width="8.42578125" bestFit="1" customWidth="1"/>
    <col min="7" max="7" width="9.140625" customWidth="1"/>
    <col min="8" max="8" width="8.28515625" bestFit="1" customWidth="1"/>
    <col min="9" max="9" width="9.85546875" bestFit="1" customWidth="1"/>
    <col min="10" max="10" width="8" bestFit="1" customWidth="1"/>
    <col min="11" max="12" width="8.42578125" bestFit="1" customWidth="1"/>
  </cols>
  <sheetData>
    <row r="1" spans="1:13" s="21" customFormat="1" ht="30" x14ac:dyDescent="0.25">
      <c r="A1" s="21" t="s">
        <v>30</v>
      </c>
      <c r="B1" s="21" t="s">
        <v>31</v>
      </c>
      <c r="C1" s="21" t="s">
        <v>7</v>
      </c>
      <c r="D1" s="34" t="s">
        <v>23</v>
      </c>
      <c r="E1" s="21" t="s">
        <v>85</v>
      </c>
      <c r="F1" s="21" t="s">
        <v>49</v>
      </c>
      <c r="G1" s="21" t="s">
        <v>3</v>
      </c>
      <c r="H1" s="21" t="s">
        <v>45</v>
      </c>
      <c r="I1" s="21" t="s">
        <v>32</v>
      </c>
      <c r="J1" s="21" t="s">
        <v>5</v>
      </c>
      <c r="K1" s="21" t="s">
        <v>34</v>
      </c>
      <c r="L1" s="21" t="s">
        <v>86</v>
      </c>
    </row>
    <row r="2" spans="1:13" s="21" customFormat="1" x14ac:dyDescent="0.25">
      <c r="C2" s="21" t="s">
        <v>33</v>
      </c>
      <c r="D2" s="34"/>
      <c r="E2" s="21" t="s">
        <v>1</v>
      </c>
      <c r="F2" s="21" t="s">
        <v>1</v>
      </c>
      <c r="G2" s="21" t="s">
        <v>1</v>
      </c>
      <c r="H2" s="21" t="s">
        <v>1</v>
      </c>
      <c r="I2" s="21" t="s">
        <v>1</v>
      </c>
      <c r="J2" s="21" t="s">
        <v>6</v>
      </c>
      <c r="K2" s="21" t="s">
        <v>21</v>
      </c>
      <c r="L2" s="21" t="s">
        <v>1</v>
      </c>
    </row>
    <row r="3" spans="1:13" s="20" customFormat="1" x14ac:dyDescent="0.25">
      <c r="A3" s="20" t="s">
        <v>52</v>
      </c>
      <c r="B3" s="20" t="s">
        <v>50</v>
      </c>
      <c r="E3" s="38"/>
      <c r="F3" s="38"/>
      <c r="G3" s="38"/>
      <c r="H3" s="33"/>
      <c r="I3" s="33"/>
      <c r="J3" s="39"/>
      <c r="L3" s="33"/>
    </row>
    <row r="4" spans="1:13" x14ac:dyDescent="0.25">
      <c r="B4" t="s">
        <v>53</v>
      </c>
      <c r="C4">
        <v>2E-3</v>
      </c>
      <c r="D4" s="36"/>
      <c r="E4" s="37">
        <v>0.04</v>
      </c>
      <c r="F4" s="37">
        <v>3.7000000000000002E-3</v>
      </c>
      <c r="G4" s="37">
        <f>+E4-2*F4</f>
        <v>3.2600000000000004E-2</v>
      </c>
      <c r="H4" s="22">
        <v>0</v>
      </c>
      <c r="I4" s="22">
        <f>2.15+1.12+10.88</f>
        <v>14.15</v>
      </c>
      <c r="J4" s="23">
        <f>+C4/((PI()*G4^2)/4)</f>
        <v>2.3960998621234566</v>
      </c>
      <c r="K4" s="32">
        <v>0.24593204102755772</v>
      </c>
      <c r="L4" s="22">
        <f>+K4*I4</f>
        <v>3.479938380539942</v>
      </c>
    </row>
    <row r="5" spans="1:13" x14ac:dyDescent="0.25">
      <c r="B5" t="s">
        <v>39</v>
      </c>
      <c r="C5">
        <f>+C4</f>
        <v>2E-3</v>
      </c>
      <c r="D5" s="36">
        <v>0</v>
      </c>
      <c r="E5" s="37">
        <f>+E4</f>
        <v>0.04</v>
      </c>
      <c r="F5" s="37">
        <f>+F4</f>
        <v>3.7000000000000002E-3</v>
      </c>
      <c r="G5" s="37">
        <f>+G4</f>
        <v>3.2600000000000004E-2</v>
      </c>
      <c r="H5" s="22">
        <f>0.6*1.41</f>
        <v>0.84599999999999997</v>
      </c>
      <c r="I5" s="22">
        <f>+D5*H5*G5</f>
        <v>0</v>
      </c>
      <c r="J5" s="23">
        <f t="shared" ref="J5:J10" si="0">+C5/((PI()*G5^2)/4)</f>
        <v>2.3960998621234566</v>
      </c>
      <c r="K5" s="3">
        <f>+K4</f>
        <v>0.24593204102755772</v>
      </c>
      <c r="L5" s="22">
        <f t="shared" ref="L5:L10" si="1">+K5*I5</f>
        <v>0</v>
      </c>
    </row>
    <row r="6" spans="1:13" x14ac:dyDescent="0.25">
      <c r="B6" t="s">
        <v>40</v>
      </c>
      <c r="C6">
        <f t="shared" ref="C6:C10" si="2">+C5</f>
        <v>2E-3</v>
      </c>
      <c r="D6" s="36">
        <v>5</v>
      </c>
      <c r="E6" s="37">
        <f t="shared" ref="E6:G10" si="3">+E5</f>
        <v>0.04</v>
      </c>
      <c r="F6" s="37">
        <f t="shared" si="3"/>
        <v>3.7000000000000002E-3</v>
      </c>
      <c r="G6" s="37">
        <f t="shared" si="3"/>
        <v>3.2600000000000004E-2</v>
      </c>
      <c r="H6" s="22">
        <f>1.5*1.41</f>
        <v>2.1149999999999998</v>
      </c>
      <c r="I6" s="22">
        <f t="shared" ref="I6:I10" si="4">+D6*H6*G6</f>
        <v>0.34474500000000002</v>
      </c>
      <c r="J6" s="23">
        <f t="shared" si="0"/>
        <v>2.3960998621234566</v>
      </c>
      <c r="K6" s="3">
        <f t="shared" ref="K6:K10" si="5">+K5</f>
        <v>0.24593204102755772</v>
      </c>
      <c r="L6" s="22">
        <f t="shared" si="1"/>
        <v>8.47838414840454E-2</v>
      </c>
    </row>
    <row r="7" spans="1:13" x14ac:dyDescent="0.25">
      <c r="B7" t="s">
        <v>41</v>
      </c>
      <c r="C7">
        <f t="shared" si="2"/>
        <v>2E-3</v>
      </c>
      <c r="D7" s="36">
        <v>0</v>
      </c>
      <c r="E7" s="37">
        <f t="shared" si="3"/>
        <v>0.04</v>
      </c>
      <c r="F7" s="37">
        <f t="shared" si="3"/>
        <v>3.7000000000000002E-3</v>
      </c>
      <c r="G7" s="37">
        <f t="shared" si="3"/>
        <v>3.2600000000000004E-2</v>
      </c>
      <c r="H7" s="22">
        <f>1.1*1.41</f>
        <v>1.5509999999999999</v>
      </c>
      <c r="I7" s="22">
        <f t="shared" si="4"/>
        <v>0</v>
      </c>
      <c r="J7" s="23">
        <f t="shared" si="0"/>
        <v>2.3960998621234566</v>
      </c>
      <c r="K7" s="3">
        <f t="shared" si="5"/>
        <v>0.24593204102755772</v>
      </c>
      <c r="L7" s="22">
        <f t="shared" si="1"/>
        <v>0</v>
      </c>
    </row>
    <row r="8" spans="1:13" x14ac:dyDescent="0.25">
      <c r="B8" t="s">
        <v>42</v>
      </c>
      <c r="C8">
        <f t="shared" si="2"/>
        <v>2E-3</v>
      </c>
      <c r="D8" s="36">
        <v>0</v>
      </c>
      <c r="E8" s="37">
        <f t="shared" si="3"/>
        <v>0.04</v>
      </c>
      <c r="F8" s="37">
        <f t="shared" si="3"/>
        <v>3.7000000000000002E-3</v>
      </c>
      <c r="G8" s="37">
        <f t="shared" si="3"/>
        <v>3.2600000000000004E-2</v>
      </c>
      <c r="H8" s="22">
        <f>3.2*1.41</f>
        <v>4.5119999999999996</v>
      </c>
      <c r="I8" s="22">
        <f t="shared" si="4"/>
        <v>0</v>
      </c>
      <c r="J8" s="23">
        <f t="shared" si="0"/>
        <v>2.3960998621234566</v>
      </c>
      <c r="K8" s="3">
        <f t="shared" si="5"/>
        <v>0.24593204102755772</v>
      </c>
      <c r="L8" s="22">
        <f t="shared" si="1"/>
        <v>0</v>
      </c>
    </row>
    <row r="9" spans="1:13" x14ac:dyDescent="0.25">
      <c r="B9" t="s">
        <v>35</v>
      </c>
      <c r="C9">
        <f t="shared" si="2"/>
        <v>2E-3</v>
      </c>
      <c r="D9" s="36">
        <v>2</v>
      </c>
      <c r="E9" s="37">
        <f t="shared" si="3"/>
        <v>0.04</v>
      </c>
      <c r="F9" s="37">
        <f t="shared" si="3"/>
        <v>3.7000000000000002E-3</v>
      </c>
      <c r="G9" s="37">
        <f t="shared" si="3"/>
        <v>3.2600000000000004E-2</v>
      </c>
      <c r="H9" s="22">
        <f>0.2*1.41</f>
        <v>0.28199999999999997</v>
      </c>
      <c r="I9" s="22">
        <f t="shared" si="4"/>
        <v>1.8386400000000001E-2</v>
      </c>
      <c r="J9" s="23">
        <f t="shared" si="0"/>
        <v>2.3960998621234566</v>
      </c>
      <c r="K9" s="3">
        <f t="shared" si="5"/>
        <v>0.24593204102755772</v>
      </c>
      <c r="L9" s="22">
        <f t="shared" si="1"/>
        <v>4.5218048791490877E-3</v>
      </c>
    </row>
    <row r="10" spans="1:13" x14ac:dyDescent="0.25">
      <c r="B10" t="s">
        <v>44</v>
      </c>
      <c r="C10">
        <f t="shared" si="2"/>
        <v>2E-3</v>
      </c>
      <c r="D10" s="36">
        <v>1</v>
      </c>
      <c r="E10" s="37">
        <f t="shared" si="3"/>
        <v>0.04</v>
      </c>
      <c r="F10" s="37">
        <f t="shared" si="3"/>
        <v>3.7000000000000002E-3</v>
      </c>
      <c r="G10" s="37">
        <f t="shared" si="3"/>
        <v>3.2600000000000004E-2</v>
      </c>
      <c r="H10" s="22">
        <f>1.41*3.4</f>
        <v>4.7939999999999996</v>
      </c>
      <c r="I10" s="22">
        <f t="shared" si="4"/>
        <v>0.15628440000000002</v>
      </c>
      <c r="J10" s="23">
        <f t="shared" si="0"/>
        <v>2.3960998621234566</v>
      </c>
      <c r="K10" s="3">
        <f t="shared" si="5"/>
        <v>0.24593204102755772</v>
      </c>
      <c r="L10" s="22">
        <f t="shared" si="1"/>
        <v>3.8435341472767247E-2</v>
      </c>
    </row>
    <row r="11" spans="1:13" s="20" customFormat="1" ht="15.75" thickBot="1" x14ac:dyDescent="0.3">
      <c r="A11" s="25"/>
      <c r="B11" s="25" t="s">
        <v>43</v>
      </c>
      <c r="C11" s="25"/>
      <c r="D11" s="25"/>
      <c r="E11" s="31"/>
      <c r="F11" s="31"/>
      <c r="G11" s="31"/>
      <c r="H11" s="29"/>
      <c r="I11" s="29"/>
      <c r="J11" s="30"/>
      <c r="K11" s="25"/>
      <c r="L11" s="29">
        <f>SUM(L4:L10)</f>
        <v>3.6076793683759036</v>
      </c>
      <c r="M11" s="33">
        <f>+L11</f>
        <v>3.6076793683759036</v>
      </c>
    </row>
    <row r="12" spans="1:13" s="20" customFormat="1" ht="15.75" thickTop="1" x14ac:dyDescent="0.25">
      <c r="A12" s="20" t="s">
        <v>36</v>
      </c>
      <c r="B12" s="20" t="s">
        <v>51</v>
      </c>
      <c r="E12" s="38"/>
      <c r="F12" s="38"/>
      <c r="G12" s="38"/>
      <c r="H12" s="33"/>
      <c r="I12" s="33"/>
      <c r="J12" s="39"/>
      <c r="L12" s="33"/>
    </row>
    <row r="13" spans="1:13" x14ac:dyDescent="0.25">
      <c r="B13" t="s">
        <v>46</v>
      </c>
      <c r="D13" s="36"/>
      <c r="E13" s="37"/>
      <c r="F13" s="37"/>
      <c r="G13" s="37"/>
      <c r="H13" s="22">
        <v>0</v>
      </c>
      <c r="I13" s="22">
        <f>6.38+2.15+0.29</f>
        <v>8.8199999999999985</v>
      </c>
      <c r="J13" s="23" t="e">
        <f>+C13/((PI()*G13^2)/4)</f>
        <v>#DIV/0!</v>
      </c>
      <c r="K13" s="3" t="e">
        <f>((12*10^8)*((C13*1000)^1.83)*(G13*1000)^-4.83)/1000</f>
        <v>#DIV/0!</v>
      </c>
      <c r="L13" s="22" t="e">
        <f>+K13*I13</f>
        <v>#DIV/0!</v>
      </c>
    </row>
    <row r="14" spans="1:13" x14ac:dyDescent="0.25">
      <c r="B14" t="s">
        <v>39</v>
      </c>
      <c r="C14">
        <f>+C13</f>
        <v>0</v>
      </c>
      <c r="D14" s="36"/>
      <c r="E14" s="37">
        <f>+E13</f>
        <v>0</v>
      </c>
      <c r="F14" s="37">
        <f>+F13</f>
        <v>0</v>
      </c>
      <c r="G14" s="37">
        <f>+G13</f>
        <v>0</v>
      </c>
      <c r="H14" s="22">
        <f>0.6*1.41</f>
        <v>0.84599999999999997</v>
      </c>
      <c r="I14" s="22">
        <f>+D14*H14*G14</f>
        <v>0</v>
      </c>
      <c r="J14" s="23" t="e">
        <f t="shared" ref="J14:J19" si="6">+C14/((PI()*G14^2)/4)</f>
        <v>#DIV/0!</v>
      </c>
      <c r="K14" s="3" t="e">
        <f t="shared" ref="K14:K19" si="7">((12*10^8)*((C14*1000)^1.83)*(G14*1000)^-4.83)/1000</f>
        <v>#DIV/0!</v>
      </c>
      <c r="L14" s="22" t="e">
        <f t="shared" ref="L14:L19" si="8">+K14*I14</f>
        <v>#DIV/0!</v>
      </c>
    </row>
    <row r="15" spans="1:13" x14ac:dyDescent="0.25">
      <c r="B15" t="s">
        <v>40</v>
      </c>
      <c r="C15">
        <f t="shared" ref="C15:C19" si="9">+C14</f>
        <v>0</v>
      </c>
      <c r="D15" s="36"/>
      <c r="E15" s="37">
        <f t="shared" ref="E15:E19" si="10">+E14</f>
        <v>0</v>
      </c>
      <c r="F15" s="37">
        <f t="shared" ref="F15:F19" si="11">+F14</f>
        <v>0</v>
      </c>
      <c r="G15" s="37">
        <f t="shared" ref="G15:G19" si="12">+G14</f>
        <v>0</v>
      </c>
      <c r="H15" s="22">
        <f>1.5*1.41</f>
        <v>2.1149999999999998</v>
      </c>
      <c r="I15" s="22">
        <f t="shared" ref="I15:I19" si="13">+D15*H15*G15</f>
        <v>0</v>
      </c>
      <c r="J15" s="23" t="e">
        <f t="shared" si="6"/>
        <v>#DIV/0!</v>
      </c>
      <c r="K15" s="3" t="e">
        <f t="shared" si="7"/>
        <v>#DIV/0!</v>
      </c>
      <c r="L15" s="22" t="e">
        <f t="shared" si="8"/>
        <v>#DIV/0!</v>
      </c>
    </row>
    <row r="16" spans="1:13" x14ac:dyDescent="0.25">
      <c r="B16" t="s">
        <v>41</v>
      </c>
      <c r="C16">
        <f t="shared" si="9"/>
        <v>0</v>
      </c>
      <c r="D16" s="36"/>
      <c r="E16" s="37">
        <f t="shared" si="10"/>
        <v>0</v>
      </c>
      <c r="F16" s="37">
        <f t="shared" si="11"/>
        <v>0</v>
      </c>
      <c r="G16" s="37">
        <f t="shared" si="12"/>
        <v>0</v>
      </c>
      <c r="H16" s="22">
        <f>1.1*1.41</f>
        <v>1.5509999999999999</v>
      </c>
      <c r="I16" s="22">
        <f t="shared" si="13"/>
        <v>0</v>
      </c>
      <c r="J16" s="23" t="e">
        <f t="shared" si="6"/>
        <v>#DIV/0!</v>
      </c>
      <c r="K16" s="3" t="e">
        <f t="shared" si="7"/>
        <v>#DIV/0!</v>
      </c>
      <c r="L16" s="22" t="e">
        <f t="shared" si="8"/>
        <v>#DIV/0!</v>
      </c>
    </row>
    <row r="17" spans="1:12" x14ac:dyDescent="0.25">
      <c r="B17" t="s">
        <v>42</v>
      </c>
      <c r="C17">
        <f t="shared" si="9"/>
        <v>0</v>
      </c>
      <c r="D17" s="36"/>
      <c r="E17" s="37">
        <f t="shared" si="10"/>
        <v>0</v>
      </c>
      <c r="F17" s="37">
        <f t="shared" si="11"/>
        <v>0</v>
      </c>
      <c r="G17" s="37">
        <f t="shared" si="12"/>
        <v>0</v>
      </c>
      <c r="H17" s="22">
        <f>3.2*1.41</f>
        <v>4.5119999999999996</v>
      </c>
      <c r="I17" s="22">
        <f t="shared" si="13"/>
        <v>0</v>
      </c>
      <c r="J17" s="23" t="e">
        <f t="shared" si="6"/>
        <v>#DIV/0!</v>
      </c>
      <c r="K17" s="3" t="e">
        <f t="shared" si="7"/>
        <v>#DIV/0!</v>
      </c>
      <c r="L17" s="22" t="e">
        <f t="shared" si="8"/>
        <v>#DIV/0!</v>
      </c>
    </row>
    <row r="18" spans="1:12" x14ac:dyDescent="0.25">
      <c r="B18" t="s">
        <v>35</v>
      </c>
      <c r="C18">
        <f t="shared" si="9"/>
        <v>0</v>
      </c>
      <c r="D18" s="36"/>
      <c r="E18" s="37">
        <f t="shared" si="10"/>
        <v>0</v>
      </c>
      <c r="F18" s="37">
        <f t="shared" si="11"/>
        <v>0</v>
      </c>
      <c r="G18" s="37">
        <f t="shared" si="12"/>
        <v>0</v>
      </c>
      <c r="H18" s="22">
        <f>0.2*1.41</f>
        <v>0.28199999999999997</v>
      </c>
      <c r="I18" s="22">
        <f t="shared" si="13"/>
        <v>0</v>
      </c>
      <c r="J18" s="23" t="e">
        <f t="shared" si="6"/>
        <v>#DIV/0!</v>
      </c>
      <c r="K18" s="3" t="e">
        <f t="shared" si="7"/>
        <v>#DIV/0!</v>
      </c>
      <c r="L18" s="22" t="e">
        <f t="shared" si="8"/>
        <v>#DIV/0!</v>
      </c>
    </row>
    <row r="19" spans="1:12" x14ac:dyDescent="0.25">
      <c r="B19" t="s">
        <v>44</v>
      </c>
      <c r="C19">
        <f t="shared" si="9"/>
        <v>0</v>
      </c>
      <c r="D19" s="36"/>
      <c r="E19" s="37">
        <f t="shared" si="10"/>
        <v>0</v>
      </c>
      <c r="F19" s="37">
        <f t="shared" si="11"/>
        <v>0</v>
      </c>
      <c r="G19" s="37">
        <f t="shared" si="12"/>
        <v>0</v>
      </c>
      <c r="H19" s="22">
        <f>1.41*3.4</f>
        <v>4.7939999999999996</v>
      </c>
      <c r="I19" s="22">
        <f t="shared" si="13"/>
        <v>0</v>
      </c>
      <c r="J19" s="23" t="e">
        <f t="shared" si="6"/>
        <v>#DIV/0!</v>
      </c>
      <c r="K19" s="3" t="e">
        <f t="shared" si="7"/>
        <v>#DIV/0!</v>
      </c>
      <c r="L19" s="22" t="e">
        <f t="shared" si="8"/>
        <v>#DIV/0!</v>
      </c>
    </row>
    <row r="20" spans="1:12" s="20" customFormat="1" ht="15.75" thickBot="1" x14ac:dyDescent="0.3">
      <c r="A20" s="25"/>
      <c r="B20" s="25" t="s">
        <v>43</v>
      </c>
      <c r="C20" s="25"/>
      <c r="D20" s="25"/>
      <c r="E20" s="31"/>
      <c r="F20" s="31"/>
      <c r="G20" s="31"/>
      <c r="H20" s="29"/>
      <c r="I20" s="29"/>
      <c r="J20" s="30"/>
      <c r="K20" s="25"/>
      <c r="L20" s="29" t="e">
        <f>SUM(L13:L19)</f>
        <v>#DIV/0!</v>
      </c>
    </row>
    <row r="21" spans="1:12" s="20" customFormat="1" ht="15.75" thickTop="1" x14ac:dyDescent="0.25">
      <c r="A21" s="20" t="s">
        <v>37</v>
      </c>
      <c r="B21" s="20" t="s">
        <v>51</v>
      </c>
      <c r="E21" s="38"/>
      <c r="F21" s="38"/>
      <c r="G21" s="38"/>
      <c r="H21" s="33"/>
      <c r="I21" s="33"/>
      <c r="J21" s="39"/>
      <c r="L21" s="33"/>
    </row>
    <row r="22" spans="1:12" x14ac:dyDescent="0.25">
      <c r="B22" t="s">
        <v>47</v>
      </c>
      <c r="D22" s="36"/>
      <c r="E22" s="37"/>
      <c r="F22" s="37"/>
      <c r="G22" s="37"/>
      <c r="H22" s="22">
        <v>0</v>
      </c>
      <c r="I22" s="22">
        <f>5.71-3.31</f>
        <v>2.4</v>
      </c>
      <c r="J22" s="23" t="e">
        <f>+C22/((PI()*G22^2)/4)</f>
        <v>#DIV/0!</v>
      </c>
      <c r="K22" s="3" t="e">
        <f>((12*10^8)*((C22*1000)^1.83)*(G22*1000)^-4.83)/1000</f>
        <v>#DIV/0!</v>
      </c>
      <c r="L22" s="22" t="e">
        <f>+K22*I22</f>
        <v>#DIV/0!</v>
      </c>
    </row>
    <row r="23" spans="1:12" x14ac:dyDescent="0.25">
      <c r="B23" t="s">
        <v>39</v>
      </c>
      <c r="C23">
        <f>+C22</f>
        <v>0</v>
      </c>
      <c r="D23" s="36"/>
      <c r="E23" s="37">
        <f>+E22</f>
        <v>0</v>
      </c>
      <c r="F23" s="37">
        <f>+F22</f>
        <v>0</v>
      </c>
      <c r="G23" s="37">
        <f>+G22</f>
        <v>0</v>
      </c>
      <c r="H23" s="22">
        <f>0.6*1.41</f>
        <v>0.84599999999999997</v>
      </c>
      <c r="I23" s="22">
        <f>+D23*H23*G23</f>
        <v>0</v>
      </c>
      <c r="J23" s="23" t="e">
        <f t="shared" ref="J23:J28" si="14">+C23/((PI()*G23^2)/4)</f>
        <v>#DIV/0!</v>
      </c>
      <c r="K23" s="3" t="e">
        <f t="shared" ref="K23:K28" si="15">((12*10^8)*((C23*1000)^1.83)*(G23*1000)^-4.83)/1000</f>
        <v>#DIV/0!</v>
      </c>
      <c r="L23" s="22" t="e">
        <f t="shared" ref="L23:L28" si="16">+K23*I23</f>
        <v>#DIV/0!</v>
      </c>
    </row>
    <row r="24" spans="1:12" x14ac:dyDescent="0.25">
      <c r="B24" t="s">
        <v>40</v>
      </c>
      <c r="C24">
        <f t="shared" ref="C24:C28" si="17">+C23</f>
        <v>0</v>
      </c>
      <c r="D24" s="36"/>
      <c r="E24" s="37">
        <f t="shared" ref="E24:E28" si="18">+E23</f>
        <v>0</v>
      </c>
      <c r="F24" s="37">
        <f t="shared" ref="F24:F28" si="19">+F23</f>
        <v>0</v>
      </c>
      <c r="G24" s="37">
        <f t="shared" ref="G24:G28" si="20">+G23</f>
        <v>0</v>
      </c>
      <c r="H24" s="22">
        <f>1.5*1.41</f>
        <v>2.1149999999999998</v>
      </c>
      <c r="I24" s="22">
        <f t="shared" ref="I24:I28" si="21">+D24*H24*G24</f>
        <v>0</v>
      </c>
      <c r="J24" s="23" t="e">
        <f t="shared" si="14"/>
        <v>#DIV/0!</v>
      </c>
      <c r="K24" s="3" t="e">
        <f t="shared" si="15"/>
        <v>#DIV/0!</v>
      </c>
      <c r="L24" s="22" t="e">
        <f t="shared" si="16"/>
        <v>#DIV/0!</v>
      </c>
    </row>
    <row r="25" spans="1:12" x14ac:dyDescent="0.25">
      <c r="B25" t="s">
        <v>41</v>
      </c>
      <c r="C25">
        <f t="shared" si="17"/>
        <v>0</v>
      </c>
      <c r="D25" s="36"/>
      <c r="E25" s="37">
        <f t="shared" si="18"/>
        <v>0</v>
      </c>
      <c r="F25" s="37">
        <f t="shared" si="19"/>
        <v>0</v>
      </c>
      <c r="G25" s="37">
        <f t="shared" si="20"/>
        <v>0</v>
      </c>
      <c r="H25" s="22">
        <f>1.1*1.41</f>
        <v>1.5509999999999999</v>
      </c>
      <c r="I25" s="22">
        <f t="shared" si="21"/>
        <v>0</v>
      </c>
      <c r="J25" s="23" t="e">
        <f t="shared" si="14"/>
        <v>#DIV/0!</v>
      </c>
      <c r="K25" s="3" t="e">
        <f t="shared" si="15"/>
        <v>#DIV/0!</v>
      </c>
      <c r="L25" s="22" t="e">
        <f t="shared" si="16"/>
        <v>#DIV/0!</v>
      </c>
    </row>
    <row r="26" spans="1:12" x14ac:dyDescent="0.25">
      <c r="B26" t="s">
        <v>42</v>
      </c>
      <c r="C26">
        <f t="shared" si="17"/>
        <v>0</v>
      </c>
      <c r="D26" s="36"/>
      <c r="E26" s="37">
        <f t="shared" si="18"/>
        <v>0</v>
      </c>
      <c r="F26" s="37">
        <f t="shared" si="19"/>
        <v>0</v>
      </c>
      <c r="G26" s="37">
        <f t="shared" si="20"/>
        <v>0</v>
      </c>
      <c r="H26" s="22">
        <f>3.2*1.41</f>
        <v>4.5119999999999996</v>
      </c>
      <c r="I26" s="22">
        <f t="shared" si="21"/>
        <v>0</v>
      </c>
      <c r="J26" s="23" t="e">
        <f t="shared" si="14"/>
        <v>#DIV/0!</v>
      </c>
      <c r="K26" s="3" t="e">
        <f t="shared" si="15"/>
        <v>#DIV/0!</v>
      </c>
      <c r="L26" s="22" t="e">
        <f t="shared" si="16"/>
        <v>#DIV/0!</v>
      </c>
    </row>
    <row r="27" spans="1:12" x14ac:dyDescent="0.25">
      <c r="B27" t="s">
        <v>35</v>
      </c>
      <c r="C27">
        <f t="shared" si="17"/>
        <v>0</v>
      </c>
      <c r="D27" s="36"/>
      <c r="E27" s="37">
        <f t="shared" si="18"/>
        <v>0</v>
      </c>
      <c r="F27" s="37">
        <f t="shared" si="19"/>
        <v>0</v>
      </c>
      <c r="G27" s="37">
        <f t="shared" si="20"/>
        <v>0</v>
      </c>
      <c r="H27" s="22">
        <f>0.2*1.41</f>
        <v>0.28199999999999997</v>
      </c>
      <c r="I27" s="22">
        <f t="shared" si="21"/>
        <v>0</v>
      </c>
      <c r="J27" s="23" t="e">
        <f t="shared" si="14"/>
        <v>#DIV/0!</v>
      </c>
      <c r="K27" s="3" t="e">
        <f t="shared" si="15"/>
        <v>#DIV/0!</v>
      </c>
      <c r="L27" s="22" t="e">
        <f t="shared" si="16"/>
        <v>#DIV/0!</v>
      </c>
    </row>
    <row r="28" spans="1:12" x14ac:dyDescent="0.25">
      <c r="B28" t="s">
        <v>44</v>
      </c>
      <c r="C28">
        <f t="shared" si="17"/>
        <v>0</v>
      </c>
      <c r="D28" s="36"/>
      <c r="E28" s="37">
        <f t="shared" si="18"/>
        <v>0</v>
      </c>
      <c r="F28" s="37">
        <f t="shared" si="19"/>
        <v>0</v>
      </c>
      <c r="G28" s="37">
        <f t="shared" si="20"/>
        <v>0</v>
      </c>
      <c r="H28" s="22">
        <f>1.41*3.4</f>
        <v>4.7939999999999996</v>
      </c>
      <c r="I28" s="22">
        <f t="shared" si="21"/>
        <v>0</v>
      </c>
      <c r="J28" s="23" t="e">
        <f t="shared" si="14"/>
        <v>#DIV/0!</v>
      </c>
      <c r="K28" s="3" t="e">
        <f t="shared" si="15"/>
        <v>#DIV/0!</v>
      </c>
      <c r="L28" s="22" t="e">
        <f t="shared" si="16"/>
        <v>#DIV/0!</v>
      </c>
    </row>
    <row r="29" spans="1:12" s="20" customFormat="1" ht="15.75" thickBot="1" x14ac:dyDescent="0.3">
      <c r="A29" s="25"/>
      <c r="B29" s="25" t="s">
        <v>43</v>
      </c>
      <c r="C29" s="25"/>
      <c r="D29" s="25"/>
      <c r="E29" s="31"/>
      <c r="F29" s="31"/>
      <c r="G29" s="31"/>
      <c r="H29" s="29"/>
      <c r="I29" s="29"/>
      <c r="J29" s="30"/>
      <c r="K29" s="25"/>
      <c r="L29" s="29" t="e">
        <f>SUM(L22:L28)</f>
        <v>#DIV/0!</v>
      </c>
    </row>
    <row r="30" spans="1:12" s="20" customFormat="1" ht="15.75" thickTop="1" x14ac:dyDescent="0.25">
      <c r="A30" s="20" t="s">
        <v>38</v>
      </c>
      <c r="B30" s="20" t="s">
        <v>51</v>
      </c>
      <c r="E30" s="38"/>
      <c r="F30" s="38"/>
      <c r="G30" s="38"/>
      <c r="H30" s="33"/>
      <c r="I30" s="33"/>
      <c r="J30" s="39"/>
      <c r="L30" s="33"/>
    </row>
    <row r="31" spans="1:12" x14ac:dyDescent="0.25">
      <c r="B31" t="s">
        <v>48</v>
      </c>
      <c r="D31" s="36"/>
      <c r="E31" s="37"/>
      <c r="F31" s="37"/>
      <c r="G31" s="37"/>
      <c r="H31" s="22">
        <v>0</v>
      </c>
      <c r="I31" s="22">
        <f>6.38+2.15+0.29</f>
        <v>8.8199999999999985</v>
      </c>
      <c r="J31" s="23" t="e">
        <f>+C31/((PI()*G31^2)/4)</f>
        <v>#DIV/0!</v>
      </c>
      <c r="K31" s="3" t="e">
        <f>((12*10^8)*((C31*1000)^1.83)*(G31*1000)^-4.83)/1000</f>
        <v>#DIV/0!</v>
      </c>
      <c r="L31" s="22" t="e">
        <f>+K31*I31</f>
        <v>#DIV/0!</v>
      </c>
    </row>
    <row r="32" spans="1:12" x14ac:dyDescent="0.25">
      <c r="B32" t="s">
        <v>39</v>
      </c>
      <c r="C32">
        <f>+C31</f>
        <v>0</v>
      </c>
      <c r="D32" s="36"/>
      <c r="E32" s="37">
        <f>+E31</f>
        <v>0</v>
      </c>
      <c r="F32" s="37">
        <f>+F31</f>
        <v>0</v>
      </c>
      <c r="G32" s="37">
        <f>+G31</f>
        <v>0</v>
      </c>
      <c r="H32" s="22">
        <f>0.6*1.41</f>
        <v>0.84599999999999997</v>
      </c>
      <c r="I32" s="22">
        <f>+D32*H32*G32</f>
        <v>0</v>
      </c>
      <c r="J32" s="23" t="e">
        <f t="shared" ref="J32:J37" si="22">+C32/((PI()*G32^2)/4)</f>
        <v>#DIV/0!</v>
      </c>
      <c r="K32" s="3" t="e">
        <f t="shared" ref="K32:K37" si="23">((12*10^8)*((C32*1000)^1.83)*(G32*1000)^-4.83)/1000</f>
        <v>#DIV/0!</v>
      </c>
      <c r="L32" s="22" t="e">
        <f t="shared" ref="L32:L37" si="24">+K32*I32</f>
        <v>#DIV/0!</v>
      </c>
    </row>
    <row r="33" spans="1:12" x14ac:dyDescent="0.25">
      <c r="B33" t="s">
        <v>40</v>
      </c>
      <c r="C33">
        <f t="shared" ref="C33:C37" si="25">+C32</f>
        <v>0</v>
      </c>
      <c r="D33" s="36"/>
      <c r="E33" s="37">
        <f t="shared" ref="E33:E37" si="26">+E32</f>
        <v>0</v>
      </c>
      <c r="F33" s="37">
        <f t="shared" ref="F33:F37" si="27">+F32</f>
        <v>0</v>
      </c>
      <c r="G33" s="37">
        <f t="shared" ref="G33:G37" si="28">+G32</f>
        <v>0</v>
      </c>
      <c r="H33" s="22">
        <f>1.5*1.41</f>
        <v>2.1149999999999998</v>
      </c>
      <c r="I33" s="22">
        <f t="shared" ref="I33:I37" si="29">+D33*H33*G33</f>
        <v>0</v>
      </c>
      <c r="J33" s="23" t="e">
        <f t="shared" si="22"/>
        <v>#DIV/0!</v>
      </c>
      <c r="K33" s="3" t="e">
        <f t="shared" si="23"/>
        <v>#DIV/0!</v>
      </c>
      <c r="L33" s="22" t="e">
        <f t="shared" si="24"/>
        <v>#DIV/0!</v>
      </c>
    </row>
    <row r="34" spans="1:12" x14ac:dyDescent="0.25">
      <c r="B34" t="s">
        <v>41</v>
      </c>
      <c r="C34">
        <f t="shared" si="25"/>
        <v>0</v>
      </c>
      <c r="D34" s="36"/>
      <c r="E34" s="37">
        <f t="shared" si="26"/>
        <v>0</v>
      </c>
      <c r="F34" s="37">
        <f t="shared" si="27"/>
        <v>0</v>
      </c>
      <c r="G34" s="37">
        <f t="shared" si="28"/>
        <v>0</v>
      </c>
      <c r="H34" s="22">
        <f>1.1*1.41</f>
        <v>1.5509999999999999</v>
      </c>
      <c r="I34" s="22">
        <f t="shared" si="29"/>
        <v>0</v>
      </c>
      <c r="J34" s="23" t="e">
        <f t="shared" si="22"/>
        <v>#DIV/0!</v>
      </c>
      <c r="K34" s="3" t="e">
        <f t="shared" si="23"/>
        <v>#DIV/0!</v>
      </c>
      <c r="L34" s="22" t="e">
        <f t="shared" si="24"/>
        <v>#DIV/0!</v>
      </c>
    </row>
    <row r="35" spans="1:12" x14ac:dyDescent="0.25">
      <c r="B35" t="s">
        <v>42</v>
      </c>
      <c r="C35">
        <f t="shared" si="25"/>
        <v>0</v>
      </c>
      <c r="D35" s="36"/>
      <c r="E35" s="37">
        <f t="shared" si="26"/>
        <v>0</v>
      </c>
      <c r="F35" s="37">
        <f t="shared" si="27"/>
        <v>0</v>
      </c>
      <c r="G35" s="37">
        <f t="shared" si="28"/>
        <v>0</v>
      </c>
      <c r="H35" s="22">
        <f>3.2*1.41</f>
        <v>4.5119999999999996</v>
      </c>
      <c r="I35" s="22">
        <f t="shared" si="29"/>
        <v>0</v>
      </c>
      <c r="J35" s="23" t="e">
        <f t="shared" si="22"/>
        <v>#DIV/0!</v>
      </c>
      <c r="K35" s="3" t="e">
        <f t="shared" si="23"/>
        <v>#DIV/0!</v>
      </c>
      <c r="L35" s="22" t="e">
        <f t="shared" si="24"/>
        <v>#DIV/0!</v>
      </c>
    </row>
    <row r="36" spans="1:12" x14ac:dyDescent="0.25">
      <c r="B36" t="s">
        <v>35</v>
      </c>
      <c r="C36">
        <f t="shared" si="25"/>
        <v>0</v>
      </c>
      <c r="D36" s="36"/>
      <c r="E36" s="37">
        <f t="shared" si="26"/>
        <v>0</v>
      </c>
      <c r="F36" s="37">
        <f t="shared" si="27"/>
        <v>0</v>
      </c>
      <c r="G36" s="37">
        <f t="shared" si="28"/>
        <v>0</v>
      </c>
      <c r="H36" s="22">
        <f>0.2*1.41</f>
        <v>0.28199999999999997</v>
      </c>
      <c r="I36" s="22">
        <f t="shared" si="29"/>
        <v>0</v>
      </c>
      <c r="J36" s="23" t="e">
        <f t="shared" si="22"/>
        <v>#DIV/0!</v>
      </c>
      <c r="K36" s="3" t="e">
        <f t="shared" si="23"/>
        <v>#DIV/0!</v>
      </c>
      <c r="L36" s="22" t="e">
        <f t="shared" si="24"/>
        <v>#DIV/0!</v>
      </c>
    </row>
    <row r="37" spans="1:12" x14ac:dyDescent="0.25">
      <c r="B37" t="s">
        <v>44</v>
      </c>
      <c r="C37">
        <f t="shared" si="25"/>
        <v>0</v>
      </c>
      <c r="D37" s="36"/>
      <c r="E37" s="37">
        <f t="shared" si="26"/>
        <v>0</v>
      </c>
      <c r="F37" s="37">
        <f t="shared" si="27"/>
        <v>0</v>
      </c>
      <c r="G37" s="37">
        <f t="shared" si="28"/>
        <v>0</v>
      </c>
      <c r="H37" s="22">
        <f>1.41*3.4</f>
        <v>4.7939999999999996</v>
      </c>
      <c r="I37" s="22">
        <f t="shared" si="29"/>
        <v>0</v>
      </c>
      <c r="J37" s="23" t="e">
        <f t="shared" si="22"/>
        <v>#DIV/0!</v>
      </c>
      <c r="K37" s="3" t="e">
        <f t="shared" si="23"/>
        <v>#DIV/0!</v>
      </c>
      <c r="L37" s="22" t="e">
        <f t="shared" si="24"/>
        <v>#DIV/0!</v>
      </c>
    </row>
    <row r="38" spans="1:12" ht="15.75" thickBot="1" x14ac:dyDescent="0.3">
      <c r="A38" s="24"/>
      <c r="B38" s="25" t="s">
        <v>43</v>
      </c>
      <c r="C38" s="24"/>
      <c r="D38" s="35"/>
      <c r="E38" s="28"/>
      <c r="F38" s="28"/>
      <c r="G38" s="28"/>
      <c r="H38" s="26"/>
      <c r="I38" s="26"/>
      <c r="J38" s="27"/>
      <c r="K38" s="25"/>
      <c r="L38" s="29" t="e">
        <f>SUM(L31:L37)</f>
        <v>#DIV/0!</v>
      </c>
    </row>
    <row r="39" spans="1:12" s="20" customFormat="1" ht="15.75" thickTop="1" x14ac:dyDescent="0.25">
      <c r="B39" t="s">
        <v>54</v>
      </c>
      <c r="C39"/>
      <c r="D39" s="10"/>
      <c r="E39"/>
      <c r="F39"/>
      <c r="G39"/>
      <c r="H39"/>
      <c r="I39"/>
      <c r="J39"/>
      <c r="K39"/>
      <c r="L39" s="33" t="e">
        <f>+L11+L20+L29+L38</f>
        <v>#DIV/0!</v>
      </c>
    </row>
    <row r="40" spans="1:12" x14ac:dyDescent="0.25">
      <c r="B40" t="s">
        <v>55</v>
      </c>
      <c r="L40" s="22">
        <v>2</v>
      </c>
    </row>
    <row r="41" spans="1:12" x14ac:dyDescent="0.25">
      <c r="B41" t="s">
        <v>56</v>
      </c>
      <c r="L41" s="33">
        <v>20</v>
      </c>
    </row>
    <row r="42" spans="1:12" x14ac:dyDescent="0.25">
      <c r="B42" t="s">
        <v>57</v>
      </c>
      <c r="L42" s="33"/>
    </row>
    <row r="43" spans="1:12" x14ac:dyDescent="0.25">
      <c r="L43" s="33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27800B-A2BE-4012-BC8F-10260452267C}">
  <dimension ref="A1:D17"/>
  <sheetViews>
    <sheetView zoomScale="160" zoomScaleNormal="160" workbookViewId="0">
      <selection activeCell="D16" sqref="D16"/>
    </sheetView>
  </sheetViews>
  <sheetFormatPr defaultRowHeight="15" x14ac:dyDescent="0.25"/>
  <cols>
    <col min="1" max="1" width="21.7109375" customWidth="1"/>
    <col min="2" max="2" width="35.42578125" style="10" customWidth="1"/>
    <col min="3" max="3" width="4.85546875" style="1" bestFit="1" customWidth="1"/>
    <col min="4" max="4" width="17.28515625" style="2" bestFit="1" customWidth="1"/>
  </cols>
  <sheetData>
    <row r="1" spans="1:4" ht="17.25" x14ac:dyDescent="0.25">
      <c r="A1" t="s">
        <v>7</v>
      </c>
      <c r="B1" s="10" t="s">
        <v>28</v>
      </c>
      <c r="C1" s="1" t="s">
        <v>8</v>
      </c>
      <c r="D1" s="2">
        <v>2E-3</v>
      </c>
    </row>
    <row r="2" spans="1:4" ht="17.25" x14ac:dyDescent="0.25">
      <c r="A2" t="s">
        <v>7</v>
      </c>
      <c r="C2" s="1" t="s">
        <v>9</v>
      </c>
      <c r="D2" s="4">
        <f>+D1*3600</f>
        <v>7.2</v>
      </c>
    </row>
    <row r="3" spans="1:4" x14ac:dyDescent="0.25">
      <c r="A3" t="s">
        <v>0</v>
      </c>
      <c r="C3" s="1" t="s">
        <v>1</v>
      </c>
      <c r="D3" s="2">
        <v>0.04</v>
      </c>
    </row>
    <row r="4" spans="1:4" x14ac:dyDescent="0.25">
      <c r="A4" t="s">
        <v>2</v>
      </c>
      <c r="B4" s="10" t="s">
        <v>27</v>
      </c>
      <c r="C4" s="1" t="s">
        <v>1</v>
      </c>
      <c r="D4" s="2">
        <v>3.5999999999999999E-3</v>
      </c>
    </row>
    <row r="5" spans="1:4" x14ac:dyDescent="0.25">
      <c r="A5" t="s">
        <v>3</v>
      </c>
      <c r="B5" s="10" t="s">
        <v>26</v>
      </c>
      <c r="C5" s="1" t="s">
        <v>1</v>
      </c>
      <c r="D5" s="2">
        <f>+D3-2*D4</f>
        <v>3.2800000000000003E-2</v>
      </c>
    </row>
    <row r="6" spans="1:4" ht="17.25" x14ac:dyDescent="0.25">
      <c r="A6" t="s">
        <v>10</v>
      </c>
      <c r="C6" s="1" t="s">
        <v>11</v>
      </c>
      <c r="D6" s="6">
        <f>+PI()*(D5^2)/4</f>
        <v>8.4496276010951092E-4</v>
      </c>
    </row>
    <row r="7" spans="1:4" x14ac:dyDescent="0.25">
      <c r="A7" t="s">
        <v>5</v>
      </c>
      <c r="B7" s="10" t="s">
        <v>29</v>
      </c>
      <c r="C7" s="1" t="s">
        <v>6</v>
      </c>
      <c r="D7" s="2">
        <f>+D1/D6</f>
        <v>2.3669682196891033</v>
      </c>
    </row>
    <row r="8" spans="1:4" x14ac:dyDescent="0.25">
      <c r="A8" t="s">
        <v>4</v>
      </c>
      <c r="C8" s="1" t="s">
        <v>1</v>
      </c>
      <c r="D8" s="5">
        <v>1000</v>
      </c>
    </row>
    <row r="9" spans="1:4" x14ac:dyDescent="0.25">
      <c r="A9" t="s">
        <v>12</v>
      </c>
      <c r="D9" s="19" t="s">
        <v>68</v>
      </c>
    </row>
    <row r="10" spans="1:4" x14ac:dyDescent="0.25">
      <c r="A10" t="s">
        <v>14</v>
      </c>
      <c r="B10" s="11" t="s">
        <v>25</v>
      </c>
      <c r="C10" s="1" t="s">
        <v>1</v>
      </c>
      <c r="D10" s="14">
        <f>0.1/1000</f>
        <v>1E-4</v>
      </c>
    </row>
    <row r="11" spans="1:4" ht="24.75" x14ac:dyDescent="0.4">
      <c r="A11" t="s">
        <v>13</v>
      </c>
      <c r="B11" s="13" t="s">
        <v>24</v>
      </c>
      <c r="D11" s="2">
        <f>+D10/(D5)</f>
        <v>3.0487804878048782E-3</v>
      </c>
    </row>
    <row r="12" spans="1:4" ht="17.25" x14ac:dyDescent="0.25">
      <c r="A12" t="s">
        <v>20</v>
      </c>
      <c r="B12" s="11" t="s">
        <v>23</v>
      </c>
      <c r="C12" s="1" t="s">
        <v>16</v>
      </c>
      <c r="D12" s="15">
        <f>1.24*10^-6</f>
        <v>1.24E-6</v>
      </c>
    </row>
    <row r="13" spans="1:4" s="7" customFormat="1" ht="40.35" customHeight="1" x14ac:dyDescent="0.25">
      <c r="A13" s="7" t="s">
        <v>15</v>
      </c>
      <c r="B13" s="12"/>
      <c r="C13" s="8"/>
      <c r="D13" s="17">
        <f>+D7*D5/D12</f>
        <v>62610.127101453705</v>
      </c>
    </row>
    <row r="14" spans="1:4" s="7" customFormat="1" ht="57" customHeight="1" x14ac:dyDescent="0.25">
      <c r="A14" s="7" t="s">
        <v>17</v>
      </c>
      <c r="B14" s="12"/>
      <c r="C14" s="8"/>
      <c r="D14" s="18">
        <v>2.8249001851035752E-2</v>
      </c>
    </row>
    <row r="15" spans="1:4" s="7" customFormat="1" ht="40.35" customHeight="1" x14ac:dyDescent="0.25">
      <c r="A15" s="7" t="s">
        <v>18</v>
      </c>
      <c r="B15" s="12"/>
      <c r="C15" s="8"/>
      <c r="D15" s="9">
        <f>+D14^-0.5+2*LOG(D11/3.71+2.51/D13*D14^-0.5)</f>
        <v>5.9991124331215673E-4</v>
      </c>
    </row>
    <row r="16" spans="1:4" s="7" customFormat="1" ht="40.35" customHeight="1" x14ac:dyDescent="0.25">
      <c r="A16" s="7" t="s">
        <v>19</v>
      </c>
      <c r="B16" s="12"/>
      <c r="C16" s="8" t="s">
        <v>21</v>
      </c>
      <c r="D16" s="16">
        <f>+D14*(D7^2)/2/9.81/D5</f>
        <v>0.24593204102755772</v>
      </c>
    </row>
    <row r="17" spans="1:4" x14ac:dyDescent="0.25">
      <c r="A17" t="s">
        <v>22</v>
      </c>
      <c r="C17" s="1" t="s">
        <v>1</v>
      </c>
      <c r="D17" s="3">
        <f>+D16*D8</f>
        <v>245.93204102755772</v>
      </c>
    </row>
  </sheetData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Equation.3" shapeId="6145" r:id="rId4">
          <objectPr defaultSize="0" autoPict="0" r:id="rId5">
            <anchor moveWithCells="1">
              <from>
                <xdr:col>1</xdr:col>
                <xdr:colOff>19050</xdr:colOff>
                <xdr:row>14</xdr:row>
                <xdr:rowOff>19050</xdr:rowOff>
              </from>
              <to>
                <xdr:col>2</xdr:col>
                <xdr:colOff>0</xdr:colOff>
                <xdr:row>15</xdr:row>
                <xdr:rowOff>0</xdr:rowOff>
              </to>
            </anchor>
          </objectPr>
        </oleObject>
      </mc:Choice>
      <mc:Fallback>
        <oleObject progId="Equation.3" shapeId="6145" r:id="rId4"/>
      </mc:Fallback>
    </mc:AlternateContent>
    <mc:AlternateContent xmlns:mc="http://schemas.openxmlformats.org/markup-compatibility/2006">
      <mc:Choice Requires="x14">
        <oleObject progId="Equation.3" shapeId="6146" r:id="rId6">
          <objectPr defaultSize="0" autoPict="0" r:id="rId7">
            <anchor moveWithCells="1">
              <from>
                <xdr:col>1</xdr:col>
                <xdr:colOff>942975</xdr:colOff>
                <xdr:row>15</xdr:row>
                <xdr:rowOff>28575</xdr:rowOff>
              </from>
              <to>
                <xdr:col>2</xdr:col>
                <xdr:colOff>0</xdr:colOff>
                <xdr:row>16</xdr:row>
                <xdr:rowOff>9525</xdr:rowOff>
              </to>
            </anchor>
          </objectPr>
        </oleObject>
      </mc:Choice>
      <mc:Fallback>
        <oleObject progId="Equation.3" shapeId="6146" r:id="rId6"/>
      </mc:Fallback>
    </mc:AlternateContent>
    <mc:AlternateContent xmlns:mc="http://schemas.openxmlformats.org/markup-compatibility/2006">
      <mc:Choice Requires="x14">
        <oleObject progId="Equation.3" shapeId="6147" r:id="rId8">
          <objectPr defaultSize="0" autoPict="0" r:id="rId9">
            <anchor moveWithCells="1">
              <from>
                <xdr:col>1</xdr:col>
                <xdr:colOff>1019175</xdr:colOff>
                <xdr:row>12</xdr:row>
                <xdr:rowOff>47625</xdr:rowOff>
              </from>
              <to>
                <xdr:col>1</xdr:col>
                <xdr:colOff>2286000</xdr:colOff>
                <xdr:row>13</xdr:row>
                <xdr:rowOff>0</xdr:rowOff>
              </to>
            </anchor>
          </objectPr>
        </oleObject>
      </mc:Choice>
      <mc:Fallback>
        <oleObject progId="Equation.3" shapeId="6147" r:id="rId8"/>
      </mc:Fallback>
    </mc:AlternateContent>
    <mc:AlternateContent xmlns:mc="http://schemas.openxmlformats.org/markup-compatibility/2006">
      <mc:Choice Requires="x14">
        <oleObject progId="Equation.3" shapeId="6148" r:id="rId10">
          <objectPr defaultSize="0" autoPict="0" r:id="rId11">
            <anchor moveWithCells="1">
              <from>
                <xdr:col>1</xdr:col>
                <xdr:colOff>1095375</xdr:colOff>
                <xdr:row>13</xdr:row>
                <xdr:rowOff>28575</xdr:rowOff>
              </from>
              <to>
                <xdr:col>1</xdr:col>
                <xdr:colOff>2286000</xdr:colOff>
                <xdr:row>14</xdr:row>
                <xdr:rowOff>0</xdr:rowOff>
              </to>
            </anchor>
          </objectPr>
        </oleObject>
      </mc:Choice>
      <mc:Fallback>
        <oleObject progId="Equation.3" shapeId="6148" r:id="rId10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B7AA66-BCFB-4A26-A441-88447CF3CAE6}">
  <dimension ref="A1:K33"/>
  <sheetViews>
    <sheetView workbookViewId="0">
      <selection activeCell="L39" sqref="L39"/>
    </sheetView>
  </sheetViews>
  <sheetFormatPr defaultRowHeight="15" x14ac:dyDescent="0.25"/>
  <cols>
    <col min="2" max="2" width="10.28515625" bestFit="1" customWidth="1"/>
    <col min="7" max="7" width="10.28515625" bestFit="1" customWidth="1"/>
  </cols>
  <sheetData>
    <row r="1" spans="1:11" x14ac:dyDescent="0.25">
      <c r="D1" s="20" t="s">
        <v>69</v>
      </c>
    </row>
    <row r="2" spans="1:11" x14ac:dyDescent="0.25">
      <c r="A2" s="45" t="s">
        <v>70</v>
      </c>
      <c r="B2" s="46" t="s">
        <v>71</v>
      </c>
      <c r="C2" s="47"/>
      <c r="D2" s="48"/>
      <c r="E2" s="46" t="s">
        <v>72</v>
      </c>
      <c r="F2" s="48"/>
      <c r="G2" s="45" t="s">
        <v>73</v>
      </c>
      <c r="H2" s="49" t="s">
        <v>74</v>
      </c>
    </row>
    <row r="3" spans="1:11" ht="24.75" x14ac:dyDescent="0.25">
      <c r="A3" s="50"/>
      <c r="B3" s="51" t="s">
        <v>75</v>
      </c>
      <c r="C3" s="51" t="s">
        <v>76</v>
      </c>
      <c r="D3" s="51" t="s">
        <v>77</v>
      </c>
      <c r="E3" s="51" t="s">
        <v>78</v>
      </c>
      <c r="F3" s="51" t="s">
        <v>79</v>
      </c>
      <c r="G3" s="52"/>
      <c r="H3" s="53" t="s">
        <v>80</v>
      </c>
    </row>
    <row r="4" spans="1:11" x14ac:dyDescent="0.25">
      <c r="A4" s="52"/>
      <c r="B4" s="46" t="s">
        <v>81</v>
      </c>
      <c r="C4" s="47"/>
      <c r="D4" s="47"/>
      <c r="E4" s="47"/>
      <c r="F4" s="47"/>
      <c r="G4" s="47"/>
      <c r="H4" s="48"/>
    </row>
    <row r="5" spans="1:11" x14ac:dyDescent="0.25">
      <c r="A5" s="54">
        <v>25</v>
      </c>
      <c r="B5" s="54">
        <v>0.3</v>
      </c>
      <c r="C5" s="54">
        <v>0.6</v>
      </c>
      <c r="D5" s="54">
        <v>0.6</v>
      </c>
      <c r="E5" s="54">
        <v>1.5</v>
      </c>
      <c r="F5" s="54">
        <v>1.5</v>
      </c>
      <c r="G5" s="54" t="s">
        <v>82</v>
      </c>
      <c r="H5" s="54">
        <v>1.5</v>
      </c>
      <c r="K5">
        <v>1.41</v>
      </c>
    </row>
    <row r="6" spans="1:11" x14ac:dyDescent="0.25">
      <c r="A6" s="54">
        <v>32</v>
      </c>
      <c r="B6" s="54">
        <v>0.3</v>
      </c>
      <c r="C6" s="54">
        <v>0.9</v>
      </c>
      <c r="D6" s="54">
        <v>0.6</v>
      </c>
      <c r="E6" s="54">
        <v>1.8</v>
      </c>
      <c r="F6" s="54">
        <v>1.8</v>
      </c>
      <c r="G6" s="54" t="s">
        <v>82</v>
      </c>
      <c r="H6" s="54">
        <v>2.1</v>
      </c>
    </row>
    <row r="7" spans="1:11" x14ac:dyDescent="0.25">
      <c r="A7" s="54">
        <v>40</v>
      </c>
      <c r="B7" s="54">
        <v>0.6</v>
      </c>
      <c r="C7" s="54">
        <v>1.2</v>
      </c>
      <c r="D7" s="54">
        <v>0.6</v>
      </c>
      <c r="E7" s="54">
        <v>2.4</v>
      </c>
      <c r="F7" s="54">
        <v>2.4</v>
      </c>
      <c r="G7" s="54" t="s">
        <v>82</v>
      </c>
      <c r="H7" s="54">
        <v>2.7</v>
      </c>
    </row>
    <row r="8" spans="1:11" x14ac:dyDescent="0.25">
      <c r="A8" s="54">
        <v>50</v>
      </c>
      <c r="B8" s="54">
        <v>0.6</v>
      </c>
      <c r="C8" s="54">
        <v>1.5</v>
      </c>
      <c r="D8" s="54">
        <v>0.9</v>
      </c>
      <c r="E8" s="54">
        <v>3</v>
      </c>
      <c r="F8" s="54">
        <v>3</v>
      </c>
      <c r="G8" s="54">
        <v>0.3</v>
      </c>
      <c r="H8" s="54">
        <v>3.3</v>
      </c>
    </row>
    <row r="9" spans="1:11" x14ac:dyDescent="0.25">
      <c r="A9" s="54">
        <v>65</v>
      </c>
      <c r="B9" s="54">
        <v>0.9</v>
      </c>
      <c r="C9" s="54">
        <v>1.8</v>
      </c>
      <c r="D9" s="54">
        <v>1.2</v>
      </c>
      <c r="E9" s="54">
        <v>3.6</v>
      </c>
      <c r="F9" s="54">
        <v>3.6</v>
      </c>
      <c r="G9" s="54">
        <v>0.3</v>
      </c>
      <c r="H9" s="54">
        <v>4.2</v>
      </c>
    </row>
    <row r="10" spans="1:11" x14ac:dyDescent="0.25">
      <c r="A10" s="54">
        <v>80</v>
      </c>
      <c r="B10" s="54">
        <v>0.9</v>
      </c>
      <c r="C10" s="54">
        <v>2.1</v>
      </c>
      <c r="D10" s="54">
        <v>1.5</v>
      </c>
      <c r="E10" s="54">
        <v>4.5</v>
      </c>
      <c r="F10" s="54">
        <v>4.5</v>
      </c>
      <c r="G10" s="54">
        <v>0.3</v>
      </c>
      <c r="H10" s="54">
        <v>4.8</v>
      </c>
    </row>
    <row r="11" spans="1:11" x14ac:dyDescent="0.25">
      <c r="A11" s="54">
        <v>100</v>
      </c>
      <c r="B11" s="54">
        <v>1.2</v>
      </c>
      <c r="C11" s="54">
        <v>3</v>
      </c>
      <c r="D11" s="54">
        <v>1.8</v>
      </c>
      <c r="E11" s="54">
        <v>6</v>
      </c>
      <c r="F11" s="54">
        <v>6</v>
      </c>
      <c r="G11" s="54">
        <v>0.6</v>
      </c>
      <c r="H11" s="54">
        <v>6.6</v>
      </c>
    </row>
    <row r="12" spans="1:11" x14ac:dyDescent="0.25">
      <c r="A12" s="54">
        <v>125</v>
      </c>
      <c r="B12" s="54">
        <v>1.5</v>
      </c>
      <c r="C12" s="54">
        <v>3.6</v>
      </c>
      <c r="D12" s="54">
        <v>2.4</v>
      </c>
      <c r="E12" s="54">
        <v>7.5</v>
      </c>
      <c r="F12" s="54">
        <v>7.5</v>
      </c>
      <c r="G12" s="54">
        <v>0.6</v>
      </c>
      <c r="H12" s="54">
        <v>8.3000000000000007</v>
      </c>
    </row>
    <row r="13" spans="1:11" x14ac:dyDescent="0.25">
      <c r="A13" s="54">
        <v>150</v>
      </c>
      <c r="B13" s="54">
        <v>2.1</v>
      </c>
      <c r="C13" s="54">
        <v>4.2</v>
      </c>
      <c r="D13" s="54">
        <v>2.7</v>
      </c>
      <c r="E13" s="54">
        <v>9</v>
      </c>
      <c r="F13" s="54">
        <v>9</v>
      </c>
      <c r="G13" s="54">
        <v>0.9</v>
      </c>
      <c r="H13" s="54">
        <v>10.4</v>
      </c>
    </row>
    <row r="14" spans="1:11" x14ac:dyDescent="0.25">
      <c r="A14" s="54">
        <v>200</v>
      </c>
      <c r="B14" s="54">
        <v>2.7</v>
      </c>
      <c r="C14" s="54">
        <v>5.4</v>
      </c>
      <c r="D14" s="54">
        <v>3.9</v>
      </c>
      <c r="E14" s="54">
        <v>10.5</v>
      </c>
      <c r="F14" s="54">
        <v>10.5</v>
      </c>
      <c r="G14" s="54">
        <v>1.2</v>
      </c>
      <c r="H14" s="54">
        <v>13.5</v>
      </c>
    </row>
    <row r="15" spans="1:11" x14ac:dyDescent="0.25">
      <c r="A15" s="54">
        <v>250</v>
      </c>
      <c r="B15" s="54">
        <v>3.3</v>
      </c>
      <c r="C15" s="54">
        <v>6.6</v>
      </c>
      <c r="D15" s="54">
        <v>4.8</v>
      </c>
      <c r="E15" s="54">
        <v>15</v>
      </c>
      <c r="F15" s="54">
        <v>15</v>
      </c>
      <c r="G15" s="54">
        <v>1.5</v>
      </c>
      <c r="H15" s="54">
        <v>16.5</v>
      </c>
    </row>
    <row r="16" spans="1:11" x14ac:dyDescent="0.25">
      <c r="A16" s="54">
        <v>300</v>
      </c>
      <c r="B16" s="54">
        <v>3.9</v>
      </c>
      <c r="C16" s="54">
        <v>8.1</v>
      </c>
      <c r="D16" s="54">
        <v>5.4</v>
      </c>
      <c r="E16" s="54">
        <v>18</v>
      </c>
      <c r="F16" s="54">
        <v>18</v>
      </c>
      <c r="G16" s="54">
        <v>1.8</v>
      </c>
      <c r="H16" s="54">
        <v>19.5</v>
      </c>
    </row>
    <row r="18" spans="1:8" x14ac:dyDescent="0.25">
      <c r="D18" s="20" t="s">
        <v>83</v>
      </c>
    </row>
    <row r="19" spans="1:8" x14ac:dyDescent="0.25">
      <c r="A19" s="55" t="s">
        <v>70</v>
      </c>
      <c r="B19" s="46" t="s">
        <v>71</v>
      </c>
      <c r="C19" s="47"/>
      <c r="D19" s="48"/>
      <c r="E19" s="46" t="s">
        <v>72</v>
      </c>
      <c r="F19" s="48"/>
      <c r="G19" s="56" t="s">
        <v>73</v>
      </c>
      <c r="H19" s="56" t="s">
        <v>84</v>
      </c>
    </row>
    <row r="20" spans="1:8" ht="33.4" customHeight="1" x14ac:dyDescent="0.25">
      <c r="A20" s="57"/>
      <c r="B20" s="58" t="s">
        <v>75</v>
      </c>
      <c r="C20" s="58" t="s">
        <v>76</v>
      </c>
      <c r="D20" s="58" t="s">
        <v>77</v>
      </c>
      <c r="E20" s="58" t="s">
        <v>78</v>
      </c>
      <c r="F20" s="58" t="s">
        <v>79</v>
      </c>
      <c r="G20" s="59"/>
      <c r="H20" s="59"/>
    </row>
    <row r="21" spans="1:8" x14ac:dyDescent="0.25">
      <c r="A21" s="60"/>
      <c r="B21" s="46" t="s">
        <v>81</v>
      </c>
      <c r="C21" s="47"/>
      <c r="D21" s="47"/>
      <c r="E21" s="47"/>
      <c r="F21" s="47"/>
      <c r="G21" s="47"/>
      <c r="H21" s="48"/>
    </row>
    <row r="22" spans="1:8" x14ac:dyDescent="0.25">
      <c r="A22" s="54">
        <v>25</v>
      </c>
      <c r="B22" s="61">
        <f t="shared" ref="B22:H33" si="0">+B5/$K$5</f>
        <v>0.21276595744680851</v>
      </c>
      <c r="C22" s="61">
        <f t="shared" si="0"/>
        <v>0.42553191489361702</v>
      </c>
      <c r="D22" s="61">
        <f t="shared" si="0"/>
        <v>0.42553191489361702</v>
      </c>
      <c r="E22" s="61">
        <f t="shared" si="0"/>
        <v>1.0638297872340425</v>
      </c>
      <c r="F22" s="61">
        <f t="shared" si="0"/>
        <v>1.0638297872340425</v>
      </c>
      <c r="G22" s="61"/>
      <c r="H22" s="61">
        <f>+H5/$K$5</f>
        <v>1.0638297872340425</v>
      </c>
    </row>
    <row r="23" spans="1:8" x14ac:dyDescent="0.25">
      <c r="A23" s="54">
        <v>32</v>
      </c>
      <c r="B23" s="61">
        <f t="shared" si="0"/>
        <v>0.21276595744680851</v>
      </c>
      <c r="C23" s="61">
        <f t="shared" si="0"/>
        <v>0.63829787234042556</v>
      </c>
      <c r="D23" s="61">
        <f t="shared" si="0"/>
        <v>0.42553191489361702</v>
      </c>
      <c r="E23" s="61">
        <f t="shared" si="0"/>
        <v>1.2765957446808511</v>
      </c>
      <c r="F23" s="61">
        <f t="shared" si="0"/>
        <v>1.2765957446808511</v>
      </c>
      <c r="G23" s="61"/>
      <c r="H23" s="61">
        <f>+H6/$K$5</f>
        <v>1.4893617021276597</v>
      </c>
    </row>
    <row r="24" spans="1:8" x14ac:dyDescent="0.25">
      <c r="A24" s="54">
        <v>40</v>
      </c>
      <c r="B24" s="61">
        <f t="shared" si="0"/>
        <v>0.42553191489361702</v>
      </c>
      <c r="C24" s="61">
        <f t="shared" si="0"/>
        <v>0.85106382978723405</v>
      </c>
      <c r="D24" s="61">
        <f t="shared" si="0"/>
        <v>0.42553191489361702</v>
      </c>
      <c r="E24" s="61">
        <f t="shared" si="0"/>
        <v>1.7021276595744681</v>
      </c>
      <c r="F24" s="61">
        <f t="shared" si="0"/>
        <v>1.7021276595744681</v>
      </c>
      <c r="G24" s="61"/>
      <c r="H24" s="61">
        <f>+H7/$K$5</f>
        <v>1.9148936170212769</v>
      </c>
    </row>
    <row r="25" spans="1:8" x14ac:dyDescent="0.25">
      <c r="A25" s="54">
        <v>50</v>
      </c>
      <c r="B25" s="61">
        <f t="shared" si="0"/>
        <v>0.42553191489361702</v>
      </c>
      <c r="C25" s="61">
        <f t="shared" si="0"/>
        <v>1.0638297872340425</v>
      </c>
      <c r="D25" s="61">
        <f t="shared" si="0"/>
        <v>0.63829787234042556</v>
      </c>
      <c r="E25" s="61">
        <f t="shared" si="0"/>
        <v>2.1276595744680851</v>
      </c>
      <c r="F25" s="61">
        <f t="shared" si="0"/>
        <v>2.1276595744680851</v>
      </c>
      <c r="G25" s="61">
        <f t="shared" si="0"/>
        <v>0.21276595744680851</v>
      </c>
      <c r="H25" s="61">
        <f t="shared" si="0"/>
        <v>2.3404255319148937</v>
      </c>
    </row>
    <row r="26" spans="1:8" x14ac:dyDescent="0.25">
      <c r="A26" s="54">
        <v>65</v>
      </c>
      <c r="B26" s="61">
        <f t="shared" si="0"/>
        <v>0.63829787234042556</v>
      </c>
      <c r="C26" s="61">
        <f t="shared" si="0"/>
        <v>1.2765957446808511</v>
      </c>
      <c r="D26" s="61">
        <f t="shared" si="0"/>
        <v>0.85106382978723405</v>
      </c>
      <c r="E26" s="61">
        <f t="shared" si="0"/>
        <v>2.5531914893617023</v>
      </c>
      <c r="F26" s="61">
        <f t="shared" si="0"/>
        <v>2.5531914893617023</v>
      </c>
      <c r="G26" s="61">
        <f t="shared" si="0"/>
        <v>0.21276595744680851</v>
      </c>
      <c r="H26" s="61">
        <f t="shared" si="0"/>
        <v>2.9787234042553195</v>
      </c>
    </row>
    <row r="27" spans="1:8" x14ac:dyDescent="0.25">
      <c r="A27" s="54">
        <v>80</v>
      </c>
      <c r="B27" s="61">
        <f t="shared" si="0"/>
        <v>0.63829787234042556</v>
      </c>
      <c r="C27" s="61">
        <f t="shared" si="0"/>
        <v>1.4893617021276597</v>
      </c>
      <c r="D27" s="61">
        <f t="shared" si="0"/>
        <v>1.0638297872340425</v>
      </c>
      <c r="E27" s="61">
        <f t="shared" si="0"/>
        <v>3.191489361702128</v>
      </c>
      <c r="F27" s="61">
        <f t="shared" si="0"/>
        <v>3.191489361702128</v>
      </c>
      <c r="G27" s="61">
        <f t="shared" si="0"/>
        <v>0.21276595744680851</v>
      </c>
      <c r="H27" s="61">
        <f t="shared" si="0"/>
        <v>3.4042553191489362</v>
      </c>
    </row>
    <row r="28" spans="1:8" x14ac:dyDescent="0.25">
      <c r="A28" s="54">
        <v>100</v>
      </c>
      <c r="B28" s="61">
        <f t="shared" si="0"/>
        <v>0.85106382978723405</v>
      </c>
      <c r="C28" s="61">
        <f t="shared" si="0"/>
        <v>2.1276595744680851</v>
      </c>
      <c r="D28" s="61">
        <f t="shared" si="0"/>
        <v>1.2765957446808511</v>
      </c>
      <c r="E28" s="61">
        <f t="shared" si="0"/>
        <v>4.2553191489361701</v>
      </c>
      <c r="F28" s="61">
        <f t="shared" si="0"/>
        <v>4.2553191489361701</v>
      </c>
      <c r="G28" s="61">
        <f t="shared" si="0"/>
        <v>0.42553191489361702</v>
      </c>
      <c r="H28" s="61">
        <f t="shared" si="0"/>
        <v>4.6808510638297873</v>
      </c>
    </row>
    <row r="29" spans="1:8" x14ac:dyDescent="0.25">
      <c r="A29" s="54">
        <v>125</v>
      </c>
      <c r="B29" s="61">
        <f t="shared" si="0"/>
        <v>1.0638297872340425</v>
      </c>
      <c r="C29" s="61">
        <f t="shared" si="0"/>
        <v>2.5531914893617023</v>
      </c>
      <c r="D29" s="61">
        <f t="shared" si="0"/>
        <v>1.7021276595744681</v>
      </c>
      <c r="E29" s="61">
        <f t="shared" si="0"/>
        <v>5.3191489361702127</v>
      </c>
      <c r="F29" s="61">
        <f t="shared" si="0"/>
        <v>5.3191489361702127</v>
      </c>
      <c r="G29" s="61">
        <f t="shared" si="0"/>
        <v>0.42553191489361702</v>
      </c>
      <c r="H29" s="61">
        <f t="shared" si="0"/>
        <v>5.8865248226950362</v>
      </c>
    </row>
    <row r="30" spans="1:8" x14ac:dyDescent="0.25">
      <c r="A30" s="54">
        <v>150</v>
      </c>
      <c r="B30" s="61">
        <f t="shared" si="0"/>
        <v>1.4893617021276597</v>
      </c>
      <c r="C30" s="61">
        <f t="shared" si="0"/>
        <v>2.9787234042553195</v>
      </c>
      <c r="D30" s="61">
        <f t="shared" si="0"/>
        <v>1.9148936170212769</v>
      </c>
      <c r="E30" s="61">
        <f t="shared" si="0"/>
        <v>6.3829787234042561</v>
      </c>
      <c r="F30" s="61">
        <f t="shared" si="0"/>
        <v>6.3829787234042561</v>
      </c>
      <c r="G30" s="61">
        <f t="shared" si="0"/>
        <v>0.63829787234042556</v>
      </c>
      <c r="H30" s="61">
        <f t="shared" si="0"/>
        <v>7.3758865248226959</v>
      </c>
    </row>
    <row r="31" spans="1:8" x14ac:dyDescent="0.25">
      <c r="A31" s="54">
        <v>200</v>
      </c>
      <c r="B31" s="61">
        <f t="shared" si="0"/>
        <v>1.9148936170212769</v>
      </c>
      <c r="C31" s="61">
        <f t="shared" si="0"/>
        <v>3.8297872340425538</v>
      </c>
      <c r="D31" s="61">
        <f t="shared" si="0"/>
        <v>2.7659574468085109</v>
      </c>
      <c r="E31" s="61">
        <f t="shared" si="0"/>
        <v>7.4468085106382986</v>
      </c>
      <c r="F31" s="61">
        <f t="shared" si="0"/>
        <v>7.4468085106382986</v>
      </c>
      <c r="G31" s="61">
        <f t="shared" si="0"/>
        <v>0.85106382978723405</v>
      </c>
      <c r="H31" s="61">
        <f t="shared" si="0"/>
        <v>9.5744680851063837</v>
      </c>
    </row>
    <row r="32" spans="1:8" x14ac:dyDescent="0.25">
      <c r="A32" s="54">
        <v>250</v>
      </c>
      <c r="B32" s="61">
        <f t="shared" si="0"/>
        <v>2.3404255319148937</v>
      </c>
      <c r="C32" s="61">
        <f t="shared" si="0"/>
        <v>4.6808510638297873</v>
      </c>
      <c r="D32" s="61">
        <f t="shared" si="0"/>
        <v>3.4042553191489362</v>
      </c>
      <c r="E32" s="61">
        <f t="shared" si="0"/>
        <v>10.638297872340425</v>
      </c>
      <c r="F32" s="61">
        <f t="shared" si="0"/>
        <v>10.638297872340425</v>
      </c>
      <c r="G32" s="61">
        <f t="shared" si="0"/>
        <v>1.0638297872340425</v>
      </c>
      <c r="H32" s="61">
        <f t="shared" si="0"/>
        <v>11.702127659574469</v>
      </c>
    </row>
    <row r="33" spans="1:8" x14ac:dyDescent="0.25">
      <c r="A33" s="54">
        <v>300</v>
      </c>
      <c r="B33" s="61">
        <f t="shared" si="0"/>
        <v>2.7659574468085109</v>
      </c>
      <c r="C33" s="61">
        <f t="shared" si="0"/>
        <v>5.7446808510638299</v>
      </c>
      <c r="D33" s="61">
        <f t="shared" si="0"/>
        <v>3.8297872340425538</v>
      </c>
      <c r="E33" s="61">
        <f t="shared" si="0"/>
        <v>12.765957446808512</v>
      </c>
      <c r="F33" s="61">
        <f t="shared" si="0"/>
        <v>12.765957446808512</v>
      </c>
      <c r="G33" s="61">
        <f t="shared" si="0"/>
        <v>1.2765957446808511</v>
      </c>
      <c r="H33" s="61">
        <f t="shared" si="0"/>
        <v>13.829787234042554</v>
      </c>
    </row>
  </sheetData>
  <mergeCells count="11">
    <mergeCell ref="B21:H21"/>
    <mergeCell ref="A2:A4"/>
    <mergeCell ref="B2:D2"/>
    <mergeCell ref="E2:F2"/>
    <mergeCell ref="G2:G3"/>
    <mergeCell ref="B4:H4"/>
    <mergeCell ref="A19:A21"/>
    <mergeCell ref="B19:D19"/>
    <mergeCell ref="E19:F19"/>
    <mergeCell ref="G19:G20"/>
    <mergeCell ref="H19:H20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C12"/>
  <sheetViews>
    <sheetView zoomScale="145" zoomScaleNormal="145" workbookViewId="0">
      <selection activeCell="C2" sqref="C2"/>
    </sheetView>
  </sheetViews>
  <sheetFormatPr defaultRowHeight="15" x14ac:dyDescent="0.25"/>
  <cols>
    <col min="1" max="1" width="27.42578125" bestFit="1" customWidth="1"/>
    <col min="2" max="2" width="6.7109375" bestFit="1" customWidth="1"/>
    <col min="3" max="3" width="9.28515625" style="1" bestFit="1" customWidth="1"/>
  </cols>
  <sheetData>
    <row r="2" spans="1:3" x14ac:dyDescent="0.25">
      <c r="A2" t="s">
        <v>58</v>
      </c>
      <c r="B2" s="10" t="s">
        <v>64</v>
      </c>
      <c r="C2" s="41" t="e">
        <f>+'Perdite in rete'!L39</f>
        <v>#DIV/0!</v>
      </c>
    </row>
    <row r="3" spans="1:3" x14ac:dyDescent="0.25">
      <c r="A3" t="s">
        <v>59</v>
      </c>
      <c r="B3" s="10" t="s">
        <v>64</v>
      </c>
      <c r="C3" s="41">
        <v>2</v>
      </c>
    </row>
    <row r="4" spans="1:3" x14ac:dyDescent="0.25">
      <c r="A4" t="s">
        <v>60</v>
      </c>
      <c r="B4" s="10" t="s">
        <v>64</v>
      </c>
      <c r="C4" s="41">
        <v>20</v>
      </c>
    </row>
    <row r="5" spans="1:3" x14ac:dyDescent="0.25">
      <c r="A5" t="s">
        <v>61</v>
      </c>
      <c r="B5" s="10" t="s">
        <v>64</v>
      </c>
      <c r="C5" s="41">
        <f>2.15+8.11</f>
        <v>10.26</v>
      </c>
    </row>
    <row r="6" spans="1:3" s="20" customFormat="1" ht="15.75" thickBot="1" x14ac:dyDescent="0.3">
      <c r="A6" s="25" t="s">
        <v>62</v>
      </c>
      <c r="B6" s="43" t="s">
        <v>66</v>
      </c>
      <c r="C6" s="42" t="e">
        <f>SUM(C2:C5)</f>
        <v>#DIV/0!</v>
      </c>
    </row>
    <row r="7" spans="1:3" ht="18" thickTop="1" x14ac:dyDescent="0.25">
      <c r="A7" t="s">
        <v>63</v>
      </c>
      <c r="B7" s="10" t="s">
        <v>67</v>
      </c>
      <c r="C7" s="40">
        <f>+'Perdite in rete'!C4</f>
        <v>2E-3</v>
      </c>
    </row>
    <row r="8" spans="1:3" ht="17.25" x14ac:dyDescent="0.25">
      <c r="A8" t="s">
        <v>63</v>
      </c>
      <c r="B8" s="10" t="s">
        <v>65</v>
      </c>
      <c r="C8" s="44">
        <f>+C7*3600</f>
        <v>7.2</v>
      </c>
    </row>
    <row r="9" spans="1:3" x14ac:dyDescent="0.25">
      <c r="C9" s="41"/>
    </row>
    <row r="10" spans="1:3" x14ac:dyDescent="0.25">
      <c r="C10" s="41"/>
    </row>
    <row r="11" spans="1:3" x14ac:dyDescent="0.25">
      <c r="C11" s="41"/>
    </row>
    <row r="12" spans="1:3" x14ac:dyDescent="0.25">
      <c r="C12" s="4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Perdite in rete</vt:lpstr>
      <vt:lpstr>Colebrook</vt:lpstr>
      <vt:lpstr>Perdite localizzate</vt:lpstr>
      <vt:lpstr>Scelta della pompa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Amministratore</dc:creator>
  <cp:lastModifiedBy>BOSCOLO MARCO</cp:lastModifiedBy>
  <cp:lastPrinted>2010-05-13T13:53:22Z</cp:lastPrinted>
  <dcterms:created xsi:type="dcterms:W3CDTF">2010-05-11T09:21:56Z</dcterms:created>
  <dcterms:modified xsi:type="dcterms:W3CDTF">2025-12-12T09:42:09Z</dcterms:modified>
</cp:coreProperties>
</file>