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HD_Scandisk\UNITS\DIDATTICA_TS\Materiali_AA_vari\Slide_Ts_25-26\Valutazione EPP\Materiali\Modello Treviso aggiornato\"/>
    </mc:Choice>
  </mc:AlternateContent>
  <xr:revisionPtr revIDLastSave="0" documentId="13_ncr:1_{DBFA2A5D-E829-479A-A41C-88D3E6293A6B}" xr6:coauthVersionLast="36" xr6:coauthVersionMax="36" xr10:uidLastSave="{00000000-0000-0000-0000-000000000000}"/>
  <bookViews>
    <workbookView xWindow="0" yWindow="0" windowWidth="28800" windowHeight="12225" activeTab="14" xr2:uid="{00000000-000D-0000-FFFF-FFFF00000000}"/>
  </bookViews>
  <sheets>
    <sheet name="Descrizione" sheetId="7" r:id="rId1"/>
    <sheet name="Risultati" sheetId="15" r:id="rId2"/>
    <sheet name="Fiscalità e Finanza" sheetId="16" r:id="rId3"/>
    <sheet name="Distribuzione Costi&amp;Ricavi" sheetId="2" r:id="rId4"/>
    <sheet name="Ca - Costo area" sheetId="3" r:id="rId5"/>
    <sheet name="Cc - Costo costruzione" sheetId="6" r:id="rId6"/>
    <sheet name="On - Oneri concessori" sheetId="4" r:id="rId7"/>
    <sheet name="St - Spese tecniche" sheetId="5" r:id="rId8"/>
    <sheet name="Sg - Spese generali" sheetId="9" r:id="rId9"/>
    <sheet name="RT - Ricavi totali" sheetId="10" r:id="rId10"/>
    <sheet name="Ricavi da Locazione" sheetId="14" r:id="rId11"/>
    <sheet name="Sc - Spese commercializzazione" sheetId="8" r:id="rId12"/>
    <sheet name="I - Interessi" sheetId="11" r:id="rId13"/>
    <sheet name="T - Tasse" sheetId="12" r:id="rId14"/>
    <sheet name="Flusso di cassa" sheetId="1" r:id="rId15"/>
    <sheet name="Grafici" sheetId="13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1" l="1"/>
  <c r="E16" i="11"/>
  <c r="D16" i="11"/>
  <c r="C16" i="11"/>
  <c r="B16" i="11"/>
  <c r="G15" i="11"/>
  <c r="C15" i="11"/>
  <c r="D15" i="11"/>
  <c r="E15" i="11"/>
  <c r="F15" i="11"/>
  <c r="B15" i="11"/>
  <c r="C51" i="10" l="1"/>
  <c r="C50" i="10"/>
  <c r="D50" i="10"/>
  <c r="E50" i="10"/>
  <c r="B50" i="10"/>
  <c r="E48" i="10"/>
  <c r="D48" i="10"/>
  <c r="C48" i="10"/>
  <c r="B48" i="10"/>
  <c r="C23" i="10"/>
  <c r="D23" i="10"/>
  <c r="E23" i="10"/>
  <c r="B23" i="10"/>
  <c r="C46" i="10"/>
  <c r="D46" i="10"/>
  <c r="E46" i="10"/>
  <c r="B46" i="10"/>
  <c r="A46" i="10"/>
  <c r="B14" i="11" l="1"/>
  <c r="C14" i="11"/>
  <c r="D14" i="11"/>
  <c r="E14" i="11"/>
  <c r="F14" i="11"/>
  <c r="B45" i="6" l="1"/>
  <c r="E45" i="6"/>
  <c r="C51" i="3"/>
  <c r="B7" i="7"/>
  <c r="B11" i="7" s="1"/>
  <c r="B35" i="16"/>
  <c r="B37" i="16" s="1"/>
  <c r="B31" i="16"/>
  <c r="B29" i="16"/>
  <c r="B28" i="16"/>
  <c r="B30" i="16" s="1"/>
  <c r="B32" i="16" s="1"/>
  <c r="B36" i="16" s="1"/>
  <c r="C22" i="16"/>
  <c r="B22" i="16"/>
  <c r="B23" i="16" s="1"/>
  <c r="B25" i="16" s="1"/>
  <c r="B15" i="7" l="1"/>
  <c r="B18" i="7"/>
  <c r="B38" i="16"/>
  <c r="B39" i="16" s="1"/>
  <c r="E15" i="6"/>
  <c r="E16" i="6" s="1"/>
  <c r="E17" i="6" s="1"/>
  <c r="B12" i="7" l="1"/>
  <c r="B14" i="7" s="1"/>
  <c r="B16" i="7"/>
  <c r="B20" i="7" s="1"/>
  <c r="A27" i="3"/>
  <c r="B21" i="7" l="1"/>
  <c r="B3" i="3"/>
  <c r="B23" i="1" l="1"/>
  <c r="A23" i="1"/>
  <c r="C5" i="4" l="1"/>
  <c r="C4" i="4"/>
  <c r="B24" i="14" l="1"/>
  <c r="B26" i="14" s="1"/>
  <c r="B7" i="14"/>
  <c r="B8" i="14" s="1"/>
  <c r="H8" i="14" s="1"/>
  <c r="H6" i="14" l="1"/>
  <c r="H19" i="14" s="1"/>
  <c r="H7" i="14"/>
  <c r="H15" i="14" l="1"/>
  <c r="H14" i="14"/>
  <c r="H13" i="14"/>
  <c r="H18" i="14"/>
  <c r="H9" i="14"/>
  <c r="H16" i="14"/>
  <c r="H17" i="14"/>
  <c r="H12" i="14"/>
  <c r="H20" i="14" l="1"/>
  <c r="H21" i="14" s="1"/>
  <c r="H22" i="14" s="1"/>
  <c r="B33" i="14" l="1"/>
  <c r="H23" i="14"/>
  <c r="B27" i="14" s="1"/>
  <c r="B28" i="14" s="1"/>
  <c r="B34" i="14" s="1"/>
  <c r="B35" i="14" l="1"/>
  <c r="B36" i="14" s="1"/>
  <c r="B4" i="6" l="1"/>
  <c r="C52" i="3"/>
  <c r="C57" i="3"/>
  <c r="C47" i="3"/>
  <c r="C48" i="3"/>
  <c r="C44" i="3"/>
  <c r="C45" i="3"/>
  <c r="C46" i="3"/>
  <c r="C43" i="3"/>
  <c r="C58" i="3" l="1"/>
  <c r="C59" i="3" s="1"/>
  <c r="C60" i="3" s="1"/>
  <c r="C49" i="3"/>
  <c r="C50" i="3" s="1"/>
  <c r="A51" i="10" l="1"/>
  <c r="A50" i="10"/>
  <c r="A49" i="10"/>
  <c r="A48" i="10"/>
  <c r="A26" i="10"/>
  <c r="E25" i="10"/>
  <c r="E49" i="10" s="1"/>
  <c r="D25" i="10"/>
  <c r="D49" i="10" s="1"/>
  <c r="C25" i="10"/>
  <c r="C49" i="10" s="1"/>
  <c r="B25" i="10"/>
  <c r="B49" i="10" s="1"/>
  <c r="A25" i="10"/>
  <c r="F11" i="10"/>
  <c r="E11" i="10"/>
  <c r="D11" i="10"/>
  <c r="C11" i="10"/>
  <c r="B31" i="10" s="1"/>
  <c r="B41" i="6"/>
  <c r="C38" i="6" s="1"/>
  <c r="E38" i="6" s="1"/>
  <c r="C34" i="6"/>
  <c r="E34" i="6" s="1"/>
  <c r="C25" i="6"/>
  <c r="E25" i="6" s="1"/>
  <c r="C32" i="6"/>
  <c r="E32" i="6" s="1"/>
  <c r="D17" i="6"/>
  <c r="F17" i="6" s="1"/>
  <c r="F16" i="6"/>
  <c r="F15" i="6"/>
  <c r="D18" i="3"/>
  <c r="F18" i="3" s="1"/>
  <c r="D19" i="3"/>
  <c r="F19" i="3" s="1"/>
  <c r="D17" i="3"/>
  <c r="F17" i="3" s="1"/>
  <c r="F20" i="3" s="1"/>
  <c r="A5" i="5"/>
  <c r="A6" i="5"/>
  <c r="A7" i="5"/>
  <c r="A4" i="5"/>
  <c r="D29" i="1"/>
  <c r="E29" i="1"/>
  <c r="F29" i="1"/>
  <c r="G29" i="1"/>
  <c r="C29" i="1"/>
  <c r="B31" i="1"/>
  <c r="B30" i="1"/>
  <c r="D4" i="6"/>
  <c r="B7" i="3" s="1"/>
  <c r="A16" i="4"/>
  <c r="A15" i="4"/>
  <c r="A14" i="4"/>
  <c r="H5" i="2"/>
  <c r="H7" i="2"/>
  <c r="H8" i="2"/>
  <c r="H9" i="2"/>
  <c r="H10" i="2"/>
  <c r="H12" i="2"/>
  <c r="H4" i="2"/>
  <c r="D47" i="10" l="1"/>
  <c r="D52" i="10" s="1"/>
  <c r="E47" i="10"/>
  <c r="E52" i="10" s="1"/>
  <c r="B47" i="10"/>
  <c r="B52" i="10" s="1"/>
  <c r="C47" i="10"/>
  <c r="C52" i="10" s="1"/>
  <c r="C36" i="6"/>
  <c r="E36" i="6" s="1"/>
  <c r="C23" i="6"/>
  <c r="C26" i="6"/>
  <c r="E26" i="6" s="1"/>
  <c r="C8" i="1"/>
  <c r="B4" i="3"/>
  <c r="B27" i="3" s="1"/>
  <c r="C28" i="6"/>
  <c r="E28" i="6" s="1"/>
  <c r="C33" i="6"/>
  <c r="E33" i="6" s="1"/>
  <c r="F18" i="6"/>
  <c r="B26" i="3"/>
  <c r="B6" i="6"/>
  <c r="B4" i="4"/>
  <c r="D4" i="4" s="1"/>
  <c r="F4" i="4" s="1"/>
  <c r="D8" i="1"/>
  <c r="E8" i="1"/>
  <c r="B4" i="5"/>
  <c r="D4" i="5" s="1"/>
  <c r="G8" i="1"/>
  <c r="F8" i="1"/>
  <c r="E23" i="6"/>
  <c r="B43" i="6"/>
  <c r="C27" i="6"/>
  <c r="E27" i="6" s="1"/>
  <c r="C30" i="6"/>
  <c r="E30" i="6" s="1"/>
  <c r="C31" i="6"/>
  <c r="E31" i="6" s="1"/>
  <c r="C24" i="6"/>
  <c r="E24" i="6" s="1"/>
  <c r="C40" i="6"/>
  <c r="E40" i="6" s="1"/>
  <c r="C29" i="6"/>
  <c r="E29" i="6" s="1"/>
  <c r="C37" i="6"/>
  <c r="E37" i="6" s="1"/>
  <c r="C39" i="6"/>
  <c r="E39" i="6" s="1"/>
  <c r="C35" i="6"/>
  <c r="E35" i="6" s="1"/>
  <c r="B56" i="10" l="1"/>
  <c r="C56" i="10" s="1"/>
  <c r="B55" i="10"/>
  <c r="C55" i="10" s="1"/>
  <c r="C3" i="10" s="1"/>
  <c r="B57" i="10"/>
  <c r="B8" i="4"/>
  <c r="B7" i="6"/>
  <c r="B5" i="4"/>
  <c r="C41" i="6"/>
  <c r="H8" i="1"/>
  <c r="B14" i="15" s="1"/>
  <c r="E41" i="6"/>
  <c r="E43" i="6" s="1"/>
  <c r="E46" i="6" s="1"/>
  <c r="C6" i="6" s="1"/>
  <c r="C7" i="6" s="1"/>
  <c r="B9" i="4"/>
  <c r="B10" i="4" l="1"/>
  <c r="D10" i="4" s="1"/>
  <c r="F10" i="4" s="1"/>
  <c r="B16" i="4" s="1"/>
  <c r="B5" i="6"/>
  <c r="D5" i="6" s="1"/>
  <c r="E9" i="1" s="1"/>
  <c r="B58" i="10"/>
  <c r="C57" i="10"/>
  <c r="D5" i="4"/>
  <c r="F5" i="4" s="1"/>
  <c r="B15" i="4" s="1"/>
  <c r="B28" i="3"/>
  <c r="B29" i="3" s="1"/>
  <c r="B32" i="3" s="1"/>
  <c r="B33" i="3" s="1"/>
  <c r="D6" i="6"/>
  <c r="D7" i="6"/>
  <c r="B5" i="5" l="1"/>
  <c r="D5" i="5" s="1"/>
  <c r="C9" i="1"/>
  <c r="B14" i="4"/>
  <c r="B17" i="4" s="1"/>
  <c r="G6" i="1" s="1"/>
  <c r="G9" i="1"/>
  <c r="F9" i="1"/>
  <c r="D9" i="1"/>
  <c r="C53" i="3"/>
  <c r="C54" i="3" s="1"/>
  <c r="C61" i="3" s="1"/>
  <c r="B3" i="10"/>
  <c r="D3" i="10" s="1"/>
  <c r="D4" i="10" s="1"/>
  <c r="C10" i="1"/>
  <c r="G10" i="1"/>
  <c r="E10" i="1"/>
  <c r="D10" i="1"/>
  <c r="B6" i="5"/>
  <c r="D6" i="5" s="1"/>
  <c r="F10" i="1"/>
  <c r="D8" i="6"/>
  <c r="B4" i="9" s="1"/>
  <c r="F11" i="1"/>
  <c r="C11" i="1"/>
  <c r="G11" i="1"/>
  <c r="D11" i="1"/>
  <c r="B7" i="5"/>
  <c r="D7" i="5" s="1"/>
  <c r="E11" i="1"/>
  <c r="H9" i="1" l="1"/>
  <c r="B15" i="15" s="1"/>
  <c r="C62" i="3"/>
  <c r="C63" i="3" s="1"/>
  <c r="B5" i="3" s="1"/>
  <c r="B6" i="3" s="1"/>
  <c r="B8" i="3" s="1"/>
  <c r="C17" i="1"/>
  <c r="C14" i="1" s="1"/>
  <c r="D6" i="1"/>
  <c r="E17" i="1"/>
  <c r="E14" i="1" s="1"/>
  <c r="C4" i="8"/>
  <c r="C6" i="8" s="1"/>
  <c r="C6" i="1"/>
  <c r="F17" i="1"/>
  <c r="F14" i="1" s="1"/>
  <c r="G17" i="1"/>
  <c r="G14" i="1" s="1"/>
  <c r="D17" i="1"/>
  <c r="D14" i="1" s="1"/>
  <c r="F6" i="1"/>
  <c r="E6" i="1"/>
  <c r="D8" i="5"/>
  <c r="B5" i="9" s="1"/>
  <c r="B6" i="9" s="1"/>
  <c r="B8" i="9" s="1"/>
  <c r="E12" i="1"/>
  <c r="E7" i="1"/>
  <c r="H11" i="1"/>
  <c r="B17" i="15" s="1"/>
  <c r="D7" i="1"/>
  <c r="D12" i="1"/>
  <c r="G7" i="1"/>
  <c r="G12" i="1"/>
  <c r="F7" i="1"/>
  <c r="F12" i="1"/>
  <c r="H10" i="1"/>
  <c r="B16" i="15" s="1"/>
  <c r="C12" i="1"/>
  <c r="C7" i="1"/>
  <c r="H14" i="1" l="1"/>
  <c r="B20" i="15" s="1"/>
  <c r="H17" i="1"/>
  <c r="B25" i="15" s="1"/>
  <c r="H6" i="1"/>
  <c r="B12" i="15" s="1"/>
  <c r="B10" i="3"/>
  <c r="B9" i="3"/>
  <c r="B11" i="3"/>
  <c r="G13" i="1"/>
  <c r="E13" i="1"/>
  <c r="H7" i="1"/>
  <c r="B13" i="15" s="1"/>
  <c r="C13" i="1"/>
  <c r="H12" i="1"/>
  <c r="B18" i="15" s="1"/>
  <c r="D13" i="1"/>
  <c r="F13" i="1"/>
  <c r="B12" i="3" l="1"/>
  <c r="F5" i="1" s="1"/>
  <c r="F15" i="1" s="1"/>
  <c r="F18" i="1" s="1"/>
  <c r="H13" i="1"/>
  <c r="B19" i="15" s="1"/>
  <c r="E5" i="1" l="1"/>
  <c r="E15" i="1" s="1"/>
  <c r="E18" i="1" s="1"/>
  <c r="E23" i="1" s="1"/>
  <c r="D5" i="1"/>
  <c r="D15" i="1" s="1"/>
  <c r="D18" i="1" s="1"/>
  <c r="C5" i="11" s="1"/>
  <c r="C5" i="1"/>
  <c r="C15" i="1" s="1"/>
  <c r="C18" i="1" s="1"/>
  <c r="G5" i="1"/>
  <c r="G15" i="1" s="1"/>
  <c r="G18" i="1" s="1"/>
  <c r="G23" i="1" s="1"/>
  <c r="F30" i="1"/>
  <c r="F23" i="1"/>
  <c r="E5" i="11"/>
  <c r="B7" i="15" l="1"/>
  <c r="B6" i="15"/>
  <c r="D23" i="1"/>
  <c r="D30" i="1"/>
  <c r="E30" i="1"/>
  <c r="D5" i="11"/>
  <c r="H5" i="1"/>
  <c r="B11" i="15" s="1"/>
  <c r="G30" i="1"/>
  <c r="H15" i="1"/>
  <c r="H18" i="1" s="1"/>
  <c r="H23" i="1" s="1"/>
  <c r="F5" i="11"/>
  <c r="C23" i="1"/>
  <c r="C30" i="1"/>
  <c r="B5" i="11"/>
  <c r="B6" i="11" l="1"/>
  <c r="G5" i="11"/>
  <c r="B7" i="11" l="1"/>
  <c r="B8" i="11" s="1"/>
  <c r="B9" i="11"/>
  <c r="B10" i="11" s="1"/>
  <c r="C6" i="11" l="1"/>
  <c r="B11" i="11"/>
  <c r="C7" i="11" l="1"/>
  <c r="C8" i="11" s="1"/>
  <c r="C5" i="12"/>
  <c r="C6" i="12" s="1"/>
  <c r="C9" i="11"/>
  <c r="C10" i="11" s="1"/>
  <c r="B12" i="11"/>
  <c r="C24" i="1" l="1"/>
  <c r="C11" i="11"/>
  <c r="C12" i="11" s="1"/>
  <c r="D6" i="11"/>
  <c r="D7" i="11" l="1"/>
  <c r="D8" i="11" s="1"/>
  <c r="E6" i="11" s="1"/>
  <c r="D24" i="1"/>
  <c r="D25" i="1" s="1"/>
  <c r="D9" i="11"/>
  <c r="D10" i="11" s="1"/>
  <c r="C25" i="1"/>
  <c r="D5" i="12" l="1"/>
  <c r="D6" i="12" s="1"/>
  <c r="D7" i="12" s="1"/>
  <c r="D8" i="12" s="1"/>
  <c r="E7" i="11"/>
  <c r="E8" i="11" s="1"/>
  <c r="D11" i="11"/>
  <c r="D12" i="11" s="1"/>
  <c r="E26" i="1" l="1"/>
  <c r="E9" i="11"/>
  <c r="F6" i="11"/>
  <c r="E24" i="1"/>
  <c r="F7" i="11" l="1"/>
  <c r="E5" i="12"/>
  <c r="E6" i="12" s="1"/>
  <c r="E7" i="12" s="1"/>
  <c r="E10" i="11"/>
  <c r="E11" i="11"/>
  <c r="E12" i="11" s="1"/>
  <c r="F24" i="1" s="1"/>
  <c r="F25" i="1" s="1"/>
  <c r="F8" i="11"/>
  <c r="E25" i="1"/>
  <c r="E8" i="12" l="1"/>
  <c r="F9" i="11"/>
  <c r="E27" i="1"/>
  <c r="F26" i="1" l="1"/>
  <c r="F27" i="1" s="1"/>
  <c r="F31" i="1" s="1"/>
  <c r="F5" i="12"/>
  <c r="F6" i="12" s="1"/>
  <c r="F7" i="12" s="1"/>
  <c r="F10" i="11"/>
  <c r="F11" i="11" s="1"/>
  <c r="E31" i="1"/>
  <c r="F8" i="12" l="1"/>
  <c r="F12" i="11"/>
  <c r="G24" i="1" s="1"/>
  <c r="G25" i="1" s="1"/>
  <c r="G26" i="1" l="1"/>
  <c r="G27" i="1" s="1"/>
  <c r="G8" i="11"/>
  <c r="G31" i="1" l="1"/>
  <c r="G11" i="11" l="1"/>
  <c r="G12" i="11" l="1"/>
  <c r="H24" i="1" l="1"/>
  <c r="B21" i="15" s="1"/>
  <c r="H25" i="1" l="1"/>
  <c r="B5" i="12" l="1"/>
  <c r="B6" i="12" s="1"/>
  <c r="B7" i="12" l="1"/>
  <c r="B8" i="12" s="1"/>
  <c r="C7" i="12"/>
  <c r="C8" i="12" s="1"/>
  <c r="D26" i="1" l="1"/>
  <c r="D27" i="1" s="1"/>
  <c r="D31" i="1" s="1"/>
  <c r="C26" i="1"/>
  <c r="C27" i="1" l="1"/>
  <c r="H26" i="1"/>
  <c r="B22" i="15" l="1"/>
  <c r="B23" i="15" s="1"/>
  <c r="B27" i="15" s="1"/>
  <c r="H27" i="1"/>
  <c r="C7" i="15"/>
  <c r="C31" i="1"/>
  <c r="C32" i="1" s="1"/>
  <c r="D32" i="1" s="1"/>
  <c r="E32" i="1" s="1"/>
  <c r="F32" i="1" s="1"/>
  <c r="G32" i="1" s="1"/>
  <c r="C6" i="15"/>
</calcChain>
</file>

<file path=xl/sharedStrings.xml><?xml version="1.0" encoding="utf-8"?>
<sst xmlns="http://schemas.openxmlformats.org/spreadsheetml/2006/main" count="538" uniqueCount="375">
  <si>
    <t>Spese tecniche</t>
  </si>
  <si>
    <t>Costo costruzione</t>
  </si>
  <si>
    <t>. Residenze</t>
  </si>
  <si>
    <t>. Autorimesse</t>
  </si>
  <si>
    <t>Spese commercializzazione</t>
  </si>
  <si>
    <t>Spese generali</t>
  </si>
  <si>
    <t>Totale</t>
  </si>
  <si>
    <t>RICAVI</t>
  </si>
  <si>
    <t>Totale costi</t>
  </si>
  <si>
    <t>Totale ricavi</t>
  </si>
  <si>
    <t>Tasse</t>
  </si>
  <si>
    <t>Acquisizione area</t>
  </si>
  <si>
    <t>. Opere urbanizzazione</t>
  </si>
  <si>
    <t>RT</t>
  </si>
  <si>
    <t>FE</t>
  </si>
  <si>
    <t>SPESE</t>
  </si>
  <si>
    <t>FF</t>
  </si>
  <si>
    <t>T</t>
  </si>
  <si>
    <t>Oneri concessori</t>
  </si>
  <si>
    <t>. Demolizioni</t>
  </si>
  <si>
    <t>Importo</t>
  </si>
  <si>
    <t>Oneri</t>
  </si>
  <si>
    <t>Urbanizzazione primaria</t>
  </si>
  <si>
    <t>Urbanizzazione secondaria</t>
  </si>
  <si>
    <t>Tariffa (€/mc)</t>
  </si>
  <si>
    <t>Dimensioni (mq)</t>
  </si>
  <si>
    <t>Superficie residenziale</t>
  </si>
  <si>
    <t>Superficie equivalente</t>
  </si>
  <si>
    <t>Costo unitario (€/mq)</t>
  </si>
  <si>
    <t>Costo totale (€)</t>
  </si>
  <si>
    <t>Totale (€)</t>
  </si>
  <si>
    <t>Aliquota</t>
  </si>
  <si>
    <t>Contributo (€)</t>
  </si>
  <si>
    <t>Riepilogo oneri</t>
  </si>
  <si>
    <t>Contributo costo costruzione</t>
  </si>
  <si>
    <t>Importo (€)</t>
  </si>
  <si>
    <t>Costo unitario (€/mc-mq)</t>
  </si>
  <si>
    <t>Superficie lotto (mq)</t>
  </si>
  <si>
    <t>Indice fondiario (mc/mq)</t>
  </si>
  <si>
    <t>Volume edificabile (mc)</t>
  </si>
  <si>
    <t>Altezza interpiano (ml)</t>
  </si>
  <si>
    <t>Superficie residenziale (mq)</t>
  </si>
  <si>
    <t>S1 - Acquisizione area (€)</t>
  </si>
  <si>
    <t>Valore totale (€)</t>
  </si>
  <si>
    <t>Spese intermediario (€)</t>
  </si>
  <si>
    <t>Spese notarili (€)</t>
  </si>
  <si>
    <t>Aliquote</t>
  </si>
  <si>
    <t>Voce</t>
  </si>
  <si>
    <t>Dimensioni (mc/mq)</t>
  </si>
  <si>
    <t>Importo CC (€)</t>
  </si>
  <si>
    <t>RT - Ricavi totali</t>
  </si>
  <si>
    <t>Quantità (mq)</t>
  </si>
  <si>
    <t xml:space="preserve">Totale </t>
  </si>
  <si>
    <t>Valore unitario (€/mq)</t>
  </si>
  <si>
    <t>Ricavo totale</t>
  </si>
  <si>
    <t>Totale spese</t>
  </si>
  <si>
    <t>FE - Flusso economico</t>
  </si>
  <si>
    <t>Capitale a debito</t>
  </si>
  <si>
    <t>Dimensioni</t>
  </si>
  <si>
    <t>Struttura finanziaria</t>
  </si>
  <si>
    <t>DESCRIZIONE INVESTIMENTO</t>
  </si>
  <si>
    <t>Interessi passivi</t>
  </si>
  <si>
    <t>T - Tasse</t>
  </si>
  <si>
    <t>Tasse sugli utili</t>
  </si>
  <si>
    <t>IRAP</t>
  </si>
  <si>
    <t>Tasso interesse passivo (TAN)</t>
  </si>
  <si>
    <t>Beta</t>
  </si>
  <si>
    <t>Tasso inflazione</t>
  </si>
  <si>
    <t>Tassazione</t>
  </si>
  <si>
    <t>Saggio rendimento interno annuo</t>
  </si>
  <si>
    <t>Ca - Costo area</t>
  </si>
  <si>
    <t>On - Oneri concessori</t>
  </si>
  <si>
    <t>CC - Costo di costruzione</t>
  </si>
  <si>
    <t>St - Spese tecniche</t>
  </si>
  <si>
    <t>Sg - Spese generali</t>
  </si>
  <si>
    <t>Cc - Costo costruzione</t>
  </si>
  <si>
    <t>Sc - Spese commercializzazione</t>
  </si>
  <si>
    <t>I - Interessi</t>
  </si>
  <si>
    <t>Ca</t>
  </si>
  <si>
    <t>On</t>
  </si>
  <si>
    <t>Cc</t>
  </si>
  <si>
    <t>Cc1</t>
  </si>
  <si>
    <t>Cc2</t>
  </si>
  <si>
    <t>Cc3</t>
  </si>
  <si>
    <t>Cc4</t>
  </si>
  <si>
    <t>St</t>
  </si>
  <si>
    <t>Sg</t>
  </si>
  <si>
    <t>Sc</t>
  </si>
  <si>
    <t>CT</t>
  </si>
  <si>
    <t>I</t>
  </si>
  <si>
    <t>Interessi</t>
  </si>
  <si>
    <t>FN</t>
  </si>
  <si>
    <t>Esposizione/Int. Passivi</t>
  </si>
  <si>
    <t>Esposizione/Int. Attivi</t>
  </si>
  <si>
    <t>Tasso interesse attivo (TAN)</t>
  </si>
  <si>
    <t>Imponibile</t>
  </si>
  <si>
    <t>Valutazione intervento di demolizione e ricostruzione edificio uso residenziale</t>
  </si>
  <si>
    <t>Superficie in pianta (mq)</t>
  </si>
  <si>
    <t>Altezza massima (ml)</t>
  </si>
  <si>
    <t>Piani fuori terra</t>
  </si>
  <si>
    <t>Superficie scoperta (mq)</t>
  </si>
  <si>
    <t>Via Verdi</t>
  </si>
  <si>
    <t>Via Malcanton</t>
  </si>
  <si>
    <t>Via Castellana</t>
  </si>
  <si>
    <t>Superficie (mq)</t>
  </si>
  <si>
    <t>Prezzo (€)</t>
  </si>
  <si>
    <t>Prezzo unitario (€/mc)</t>
  </si>
  <si>
    <t>Unità di misura</t>
  </si>
  <si>
    <t>Aliquote (%)</t>
  </si>
  <si>
    <t>Riferimento</t>
  </si>
  <si>
    <t xml:space="preserve">Ricavo </t>
  </si>
  <si>
    <t>Valore di mercato del fabbricato</t>
  </si>
  <si>
    <t>€ / mq fabbricato</t>
  </si>
  <si>
    <t>Mercato immobiliare</t>
  </si>
  <si>
    <t>Costo di produzione del fabbricato (area esclusa)</t>
  </si>
  <si>
    <t>Costo di costruzione</t>
  </si>
  <si>
    <t>Mercato costruzioni</t>
  </si>
  <si>
    <t>Utile normale del promotore</t>
  </si>
  <si>
    <t>Valore mercato fabbricato</t>
  </si>
  <si>
    <t xml:space="preserve">Valore di trasformazione </t>
  </si>
  <si>
    <t>Indice fondiario</t>
  </si>
  <si>
    <t>€ / mq area</t>
  </si>
  <si>
    <t>Costo di urbanizzazione (area esclusa)</t>
  </si>
  <si>
    <t>€ / mq</t>
  </si>
  <si>
    <t>Al lordo interessi sul valore area</t>
  </si>
  <si>
    <t>Valori</t>
  </si>
  <si>
    <t>Incidenza area</t>
  </si>
  <si>
    <t>Superfice area (mq)</t>
  </si>
  <si>
    <t>Valore mercato abitazioni nuove ordinarie (€/mq)</t>
  </si>
  <si>
    <t>Valore ordinariamente costruibile (€)</t>
  </si>
  <si>
    <t>Valore totale area (€)</t>
  </si>
  <si>
    <t>Anno di costruzione</t>
  </si>
  <si>
    <t>Is</t>
  </si>
  <si>
    <t>Costo di costruzione attuale (€/mq)</t>
  </si>
  <si>
    <t>Costo di costruzione (€/mq)</t>
  </si>
  <si>
    <t>Anno</t>
  </si>
  <si>
    <t>Indice ISTAT</t>
  </si>
  <si>
    <t>Elementi funzionali</t>
  </si>
  <si>
    <t>Costo noto (€)</t>
  </si>
  <si>
    <r>
      <t>P</t>
    </r>
    <r>
      <rPr>
        <i/>
        <vertAlign val="subscript"/>
        <sz val="11"/>
        <color theme="1"/>
        <rFont val="Calibri"/>
        <family val="2"/>
        <scheme val="minor"/>
      </rPr>
      <t>f</t>
    </r>
  </si>
  <si>
    <r>
      <t>C</t>
    </r>
    <r>
      <rPr>
        <i/>
        <vertAlign val="subscript"/>
        <sz val="11"/>
        <color theme="1"/>
        <rFont val="Calibri"/>
        <family val="2"/>
        <scheme val="minor"/>
      </rPr>
      <t>f</t>
    </r>
  </si>
  <si>
    <r>
      <t>P</t>
    </r>
    <r>
      <rPr>
        <i/>
        <vertAlign val="subscript"/>
        <sz val="11"/>
        <color theme="1"/>
        <rFont val="Calibri"/>
        <family val="2"/>
        <scheme val="minor"/>
      </rPr>
      <t>f</t>
    </r>
    <r>
      <rPr>
        <i/>
        <sz val="11"/>
        <color theme="1"/>
        <rFont val="Calibri"/>
        <family val="2"/>
        <scheme val="minor"/>
      </rPr>
      <t>*C</t>
    </r>
    <r>
      <rPr>
        <i/>
        <vertAlign val="subscript"/>
        <sz val="11"/>
        <color theme="1"/>
        <rFont val="Calibri"/>
        <family val="2"/>
        <scheme val="minor"/>
      </rPr>
      <t>f</t>
    </r>
  </si>
  <si>
    <t>Scavi e movimenti di terra</t>
  </si>
  <si>
    <t>Sondaggi e diaframmi</t>
  </si>
  <si>
    <t>Fondazioni</t>
  </si>
  <si>
    <t>Strutture c.a.</t>
  </si>
  <si>
    <t>Murature e tavolati</t>
  </si>
  <si>
    <t>Vespai, sottofondi e pavimenti</t>
  </si>
  <si>
    <t>Opere in pietra</t>
  </si>
  <si>
    <t>Rivestimenti e zoccolini</t>
  </si>
  <si>
    <t>Intonaci e tinteggiature</t>
  </si>
  <si>
    <t>Canne e fognature</t>
  </si>
  <si>
    <t>Coibentazione</t>
  </si>
  <si>
    <t>Impermeabilizzazioni e copertura</t>
  </si>
  <si>
    <t>Opere e serramenti e lattonerie</t>
  </si>
  <si>
    <t>Serramenti in legno</t>
  </si>
  <si>
    <t>Impianto di climatizzazione</t>
  </si>
  <si>
    <t>Impianto idrosanitario</t>
  </si>
  <si>
    <t>Impianto elettrico</t>
  </si>
  <si>
    <t>Impianto ascensori</t>
  </si>
  <si>
    <t>Somma</t>
  </si>
  <si>
    <t>Costo unitario storico (€/mq)</t>
  </si>
  <si>
    <t>Stima per comparazione diretta</t>
  </si>
  <si>
    <t>Stima per elementi funzionali</t>
  </si>
  <si>
    <t>Indici CC</t>
  </si>
  <si>
    <t>Costo unitario medio attuale (€/mq)</t>
  </si>
  <si>
    <t>Cc1 - Demolizioni (mc)</t>
  </si>
  <si>
    <t>Cc3 - Residenze (mq)</t>
  </si>
  <si>
    <t>Cc4 - Autorimesse/cantine (mq)</t>
  </si>
  <si>
    <t>Componente</t>
  </si>
  <si>
    <t>Superficie non residenziale (peso 0,6)</t>
  </si>
  <si>
    <t>Tabella dei dati</t>
  </si>
  <si>
    <t>Prezzo</t>
  </si>
  <si>
    <t>?</t>
  </si>
  <si>
    <t>Prezzo unitario</t>
  </si>
  <si>
    <t>Finiture</t>
  </si>
  <si>
    <t>Ottime</t>
  </si>
  <si>
    <t>Buone</t>
  </si>
  <si>
    <t>Normali</t>
  </si>
  <si>
    <t xml:space="preserve">Orto/giardino esclusivo (mq) </t>
  </si>
  <si>
    <t>Garage/Cantina (mq)</t>
  </si>
  <si>
    <t>Climatizzazione centralizzata</t>
  </si>
  <si>
    <t>SI</t>
  </si>
  <si>
    <t>NO</t>
  </si>
  <si>
    <t>Localizzazione</t>
  </si>
  <si>
    <t>Periferia</t>
  </si>
  <si>
    <t>Semiperiferia</t>
  </si>
  <si>
    <t>Tabella degli aggiustamenti</t>
  </si>
  <si>
    <t>Parametri</t>
  </si>
  <si>
    <t>Immobili simili</t>
  </si>
  <si>
    <t>da Buone a Ottime</t>
  </si>
  <si>
    <t>da Normali a Ottime</t>
  </si>
  <si>
    <t>da Semiperiferia a Periferia</t>
  </si>
  <si>
    <t>Prezzi marginali</t>
  </si>
  <si>
    <t xml:space="preserve">  . da Normali a Buone</t>
  </si>
  <si>
    <t>€/mq</t>
  </si>
  <si>
    <t xml:space="preserve">  .da Buone a Ottime</t>
  </si>
  <si>
    <t>€/ mq per cambio di classe</t>
  </si>
  <si>
    <t xml:space="preserve">  . da Periferia a Semiperiferia</t>
  </si>
  <si>
    <t>Tabella di valutazione</t>
  </si>
  <si>
    <t xml:space="preserve">Prezzo totale (€) </t>
  </si>
  <si>
    <t>Prezzo unitario (€/mq)</t>
  </si>
  <si>
    <t>Media</t>
  </si>
  <si>
    <t>Minimo</t>
  </si>
  <si>
    <t>Massimo</t>
  </si>
  <si>
    <t>Scarto massimo/Media</t>
  </si>
  <si>
    <t>Immobile da stimare</t>
  </si>
  <si>
    <t>Superficie commerciale</t>
  </si>
  <si>
    <t>Interessi attivi</t>
  </si>
  <si>
    <t>CAPM</t>
  </si>
  <si>
    <t>PAM</t>
  </si>
  <si>
    <t>Rischio specifico</t>
  </si>
  <si>
    <t>Tasso di sconto</t>
  </si>
  <si>
    <r>
      <t>Il costo del capitale proprio (k</t>
    </r>
    <r>
      <rPr>
        <b/>
        <vertAlign val="subscript"/>
        <sz val="11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>)</t>
    </r>
  </si>
  <si>
    <r>
      <t>Il costo del capitale a debito (k</t>
    </r>
    <r>
      <rPr>
        <b/>
        <vertAlign val="subscript"/>
        <sz val="11"/>
        <color theme="1"/>
        <rFont val="Calibri"/>
        <family val="2"/>
        <scheme val="minor"/>
      </rPr>
      <t>d</t>
    </r>
    <r>
      <rPr>
        <b/>
        <sz val="11"/>
        <color theme="1"/>
        <rFont val="Calibri"/>
        <family val="2"/>
        <scheme val="minor"/>
      </rPr>
      <t>)</t>
    </r>
  </si>
  <si>
    <t>Tasso interesse bancario</t>
  </si>
  <si>
    <t>Costo del capitale a debito</t>
  </si>
  <si>
    <t>Il costo medio ponderato del capitale (WACC)</t>
  </si>
  <si>
    <t>Capitale debito</t>
  </si>
  <si>
    <t>Capitale proprio</t>
  </si>
  <si>
    <t>La convenienza dell'investimento</t>
  </si>
  <si>
    <t>Costo del capitale a debito reale annuo</t>
  </si>
  <si>
    <t>Costo capitale proprio nominale</t>
  </si>
  <si>
    <t>Superficie non residenziale (mq)</t>
  </si>
  <si>
    <t>Coefficiente di ponderazione SNR</t>
  </si>
  <si>
    <t>Superficie residenziale SR (mq)</t>
  </si>
  <si>
    <t>Prassi catastale</t>
  </si>
  <si>
    <t>Coefficiente ponderazione scoperto SR</t>
  </si>
  <si>
    <t>Coefficiente pond. scoperto &gt; SR</t>
  </si>
  <si>
    <t>€ / mq fabbricato (SR)</t>
  </si>
  <si>
    <t>mc fabbricato SR  / mq area</t>
  </si>
  <si>
    <t>Coefficiente  area inedeficata</t>
  </si>
  <si>
    <t>Rapporto SC/SR</t>
  </si>
  <si>
    <t>mq SR / mq area</t>
  </si>
  <si>
    <t>mq SC  / mq SR</t>
  </si>
  <si>
    <t>Valore di trasfor. area urbanizzata</t>
  </si>
  <si>
    <t>Costo costruzione opere urbanizzazione</t>
  </si>
  <si>
    <t>PRG - NTO</t>
  </si>
  <si>
    <t>Stima progetto sul lotto</t>
  </si>
  <si>
    <t>Al netto interessi sul valore area</t>
  </si>
  <si>
    <t>Valore di trasfor. area non urbanizzata</t>
  </si>
  <si>
    <t>Valore di trasf. area non urbanizzata</t>
  </si>
  <si>
    <t>Immobile costruito</t>
  </si>
  <si>
    <t>Immobile da costruire</t>
  </si>
  <si>
    <t>Calcolati come da norma di legge e parametri comunali</t>
  </si>
  <si>
    <t>Aliquote stimate in base alla complessità progettuale ed esecutiva</t>
  </si>
  <si>
    <t>Costo di produzione delle finiture</t>
  </si>
  <si>
    <t>Letteratura specialistica</t>
  </si>
  <si>
    <t>Costo di realizzazione</t>
  </si>
  <si>
    <t>Fonte</t>
  </si>
  <si>
    <t>STIMA PER CAPITALIZZAZIONE DEL REDDITO</t>
  </si>
  <si>
    <t>DATI DI INPUT</t>
  </si>
  <si>
    <t>CALCOLO DEL REDDITO NETTO DA LOCAZIONE</t>
  </si>
  <si>
    <t>Note</t>
  </si>
  <si>
    <t>Importi (€)</t>
  </si>
  <si>
    <t>Dimensioni (SC mq)</t>
  </si>
  <si>
    <t>Da progetto</t>
  </si>
  <si>
    <t>Canone mensile (€/mq/mese)</t>
  </si>
  <si>
    <t>OMI- Agenzia del territorio</t>
  </si>
  <si>
    <t>Canone annuo locazione</t>
  </si>
  <si>
    <t>Canone mensile anticipato</t>
  </si>
  <si>
    <t>Interessi su canoni anticipati</t>
  </si>
  <si>
    <t>Cauzione anticipata</t>
  </si>
  <si>
    <t>Massimo tre canoni</t>
  </si>
  <si>
    <t>Interessi su cauzione</t>
  </si>
  <si>
    <t>Tasso Interesse attivo</t>
  </si>
  <si>
    <t>Cauzione</t>
  </si>
  <si>
    <t>Reddito padronale lordo</t>
  </si>
  <si>
    <t>Tasso interesse legale</t>
  </si>
  <si>
    <t>Tasso interesse passivo</t>
  </si>
  <si>
    <t>Spese annue antipate (Sa,Qa,Qm, Imp. Loc.)</t>
  </si>
  <si>
    <t>Spese amministrazione</t>
  </si>
  <si>
    <t>Canone annuo</t>
  </si>
  <si>
    <t>Quota sfitto</t>
  </si>
  <si>
    <t>Quote</t>
  </si>
  <si>
    <t>Assicurazione</t>
  </si>
  <si>
    <t>Quota inesigibilità</t>
  </si>
  <si>
    <t>Reintegrazione</t>
  </si>
  <si>
    <t>Quota assicurazione</t>
  </si>
  <si>
    <t>Manutenzione</t>
  </si>
  <si>
    <t xml:space="preserve">Quota manutenzione </t>
  </si>
  <si>
    <t>Imposte</t>
  </si>
  <si>
    <t>Locali</t>
  </si>
  <si>
    <t>Quota reintegrazione</t>
  </si>
  <si>
    <t>Reddito</t>
  </si>
  <si>
    <t>Imposte sul reddito</t>
  </si>
  <si>
    <t>Canone annuo/Cedolare secca</t>
  </si>
  <si>
    <t>Improduttività</t>
  </si>
  <si>
    <t>Sfitto</t>
  </si>
  <si>
    <t>Imposte locali TASI/IMU</t>
  </si>
  <si>
    <t>Inesigibilità</t>
  </si>
  <si>
    <t>Interessi su anticipazioni</t>
  </si>
  <si>
    <t>CALCOLO DEL SAGGIO MEDIO DI CAPITALIZZAZIONE</t>
  </si>
  <si>
    <t>Spese totali</t>
  </si>
  <si>
    <t>Canone (€/mese/mq)</t>
  </si>
  <si>
    <t>REDDITO NETTO</t>
  </si>
  <si>
    <t>Canone (€/anno/mq)</t>
  </si>
  <si>
    <t>Valore (€/mq)</t>
  </si>
  <si>
    <t>Rendimento lordo</t>
  </si>
  <si>
    <t>Bilancio da locazione ordinario</t>
  </si>
  <si>
    <t>SAGGIO DI CAPITALIZZAZIONE</t>
  </si>
  <si>
    <t>CALCOLO DEL VALORE DI CAPITALIZZAZIONE/MERCATO</t>
  </si>
  <si>
    <t>VALORE DI MERCATO</t>
  </si>
  <si>
    <t>VALORE DI MERCATO (€/mq)</t>
  </si>
  <si>
    <t>Quota reddito netto</t>
  </si>
  <si>
    <t>Importi</t>
  </si>
  <si>
    <t>OMI- Agenzia del territorio corretto</t>
  </si>
  <si>
    <t>Cc - Costo Costruzione</t>
  </si>
  <si>
    <t>Superficie commerciale scoperto SR</t>
  </si>
  <si>
    <t>Superficie commerciale scoperto &gt; SR</t>
  </si>
  <si>
    <t>Superficie commerciale SNR</t>
  </si>
  <si>
    <t>PRG</t>
  </si>
  <si>
    <t>Costo capitale proprio reale</t>
  </si>
  <si>
    <t>Costo reale del capitale proprio</t>
  </si>
  <si>
    <t xml:space="preserve">Costo medio ponderato reale </t>
  </si>
  <si>
    <t>Costo di costruzione + ST</t>
  </si>
  <si>
    <t>Costo di costruzione + ST + SG</t>
  </si>
  <si>
    <t>Aree simili compravendute di recente</t>
  </si>
  <si>
    <t>Consulente immobiliare</t>
  </si>
  <si>
    <t>Media stime</t>
  </si>
  <si>
    <t>Prassi locale</t>
  </si>
  <si>
    <t>Media parcelle</t>
  </si>
  <si>
    <t>Agenzia Entrate</t>
  </si>
  <si>
    <t>Imposte  (€)</t>
  </si>
  <si>
    <t>Media stime CC</t>
  </si>
  <si>
    <t>50% Cc3</t>
  </si>
  <si>
    <t xml:space="preserve">Costo </t>
  </si>
  <si>
    <t>Aggiustato</t>
  </si>
  <si>
    <t>Costo aggiustato unitario attuale (€/mq)</t>
  </si>
  <si>
    <t>Edifici simili costruiti di recente</t>
  </si>
  <si>
    <t>Cc2 - Opere urbanizzazione (mq)</t>
  </si>
  <si>
    <t>Costo demolizione fabbricato (€)</t>
  </si>
  <si>
    <t>Valore di mercato (€)</t>
  </si>
  <si>
    <t>Volume residenziale preesistente (mc)</t>
  </si>
  <si>
    <t>Nuova volumetria (mc)</t>
  </si>
  <si>
    <t>Volume residenziale di progetto (mc)</t>
  </si>
  <si>
    <t>Classe energetica (n. A)</t>
  </si>
  <si>
    <t>FLUSSO CASSA ECONOMICO</t>
  </si>
  <si>
    <t>COSTI</t>
  </si>
  <si>
    <t>ANNO</t>
  </si>
  <si>
    <t>Esposizione  finanziaria</t>
  </si>
  <si>
    <t>FLUSSO CASSA NETTO</t>
  </si>
  <si>
    <t>FLUSSO CASSA FINANZIARIO</t>
  </si>
  <si>
    <t>ESPOSIZIONE FINANZIARIA</t>
  </si>
  <si>
    <t>Rendimento lordo risk free (rf)</t>
  </si>
  <si>
    <t>Rendimento lordo mercato (rm)</t>
  </si>
  <si>
    <t>Stato di conservazione</t>
  </si>
  <si>
    <t>Nuovo</t>
  </si>
  <si>
    <t>Valore unitario (€/mc)</t>
  </si>
  <si>
    <t>Volume edificabile</t>
  </si>
  <si>
    <t>Superficie commerciale edificabile (mq)</t>
  </si>
  <si>
    <t>Valore unitario area (€/mc)</t>
  </si>
  <si>
    <t>€ / mc</t>
  </si>
  <si>
    <t>RISULTATI</t>
  </si>
  <si>
    <t>ASPETTI FISCALI E FINANZIARI</t>
  </si>
  <si>
    <t>Media costo capitale proprio nominale</t>
  </si>
  <si>
    <t>Agenzia entrate</t>
  </si>
  <si>
    <t>Progetto</t>
  </si>
  <si>
    <t xml:space="preserve">Superficie commerciale totale (mq) </t>
  </si>
  <si>
    <t>Comparazione diretta monoparametrica</t>
  </si>
  <si>
    <t>Mercato immobiliare/OMI</t>
  </si>
  <si>
    <t>Stima per valore di trasformazione</t>
  </si>
  <si>
    <t>Valore attuale netto</t>
  </si>
  <si>
    <t>Flusso di cassa economico (WACC)</t>
  </si>
  <si>
    <t>Flusso di cassa netto (Ke)</t>
  </si>
  <si>
    <t>RICAVI - COSTI</t>
  </si>
  <si>
    <t>Ia (2024)</t>
  </si>
  <si>
    <t>Condominio Draganziolo</t>
  </si>
  <si>
    <t>Residence Rio Bianco</t>
  </si>
  <si>
    <t>Residenza Boscalto</t>
  </si>
  <si>
    <t>ESPOSIZIONE</t>
  </si>
  <si>
    <t>Media valori comparabili</t>
  </si>
  <si>
    <t>Superficie equivalente (mq)</t>
  </si>
  <si>
    <t>Superficie</t>
  </si>
  <si>
    <t>Prezzo  corretto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</si>
</sst>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_-* #,##0_-;\-* #,##0_-;_-* &quot;-&quot;??_-;_-@_-"/>
    <numFmt numFmtId="167" formatCode="_-* #,##0.0_-;\-* #,##0.0_-;_-* &quot;-&quot;??_-;_-@_-"/>
    <numFmt numFmtId="168" formatCode="0.0"/>
    <numFmt numFmtId="169" formatCode="_-* #,##0\ _€_-;\-* #,##0\ _€_-;_-* &quot;-&quot;??\ _€_-;_-@_-"/>
    <numFmt numFmtId="170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42">
    <xf numFmtId="0" fontId="0" fillId="0" borderId="0" xfId="0"/>
    <xf numFmtId="0" fontId="0" fillId="0" borderId="0" xfId="0" applyAlignment="1"/>
    <xf numFmtId="9" fontId="0" fillId="0" borderId="0" xfId="2" applyFont="1"/>
    <xf numFmtId="165" fontId="0" fillId="0" borderId="0" xfId="2" applyNumberFormat="1" applyFont="1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1" applyFont="1"/>
    <xf numFmtId="43" fontId="0" fillId="2" borderId="0" xfId="1" applyFont="1" applyFill="1"/>
    <xf numFmtId="9" fontId="0" fillId="2" borderId="0" xfId="2" applyFont="1" applyFill="1"/>
    <xf numFmtId="0" fontId="0" fillId="0" borderId="1" xfId="0" applyBorder="1"/>
    <xf numFmtId="9" fontId="0" fillId="2" borderId="1" xfId="2" applyFont="1" applyFill="1" applyBorder="1"/>
    <xf numFmtId="9" fontId="0" fillId="0" borderId="1" xfId="0" applyNumberFormat="1" applyBorder="1"/>
    <xf numFmtId="0" fontId="0" fillId="0" borderId="1" xfId="0" applyBorder="1" applyAlignment="1"/>
    <xf numFmtId="165" fontId="0" fillId="2" borderId="0" xfId="2" applyNumberFormat="1" applyFont="1" applyFill="1"/>
    <xf numFmtId="0" fontId="3" fillId="0" borderId="0" xfId="0" applyFont="1"/>
    <xf numFmtId="9" fontId="0" fillId="0" borderId="0" xfId="2" applyFont="1" applyFill="1"/>
    <xf numFmtId="10" fontId="0" fillId="0" borderId="0" xfId="2" applyNumberFormat="1" applyFont="1" applyFill="1"/>
    <xf numFmtId="166" fontId="0" fillId="0" borderId="0" xfId="1" applyNumberFormat="1" applyFont="1"/>
    <xf numFmtId="166" fontId="0" fillId="0" borderId="0" xfId="0" applyNumberFormat="1"/>
    <xf numFmtId="0" fontId="4" fillId="0" borderId="0" xfId="0" applyFont="1"/>
    <xf numFmtId="0" fontId="0" fillId="0" borderId="1" xfId="0" applyBorder="1" applyAlignment="1">
      <alignment horizontal="center"/>
    </xf>
    <xf numFmtId="0" fontId="5" fillId="0" borderId="3" xfId="3" applyBorder="1"/>
    <xf numFmtId="0" fontId="5" fillId="0" borderId="3" xfId="3" applyBorder="1" applyAlignment="1">
      <alignment horizontal="right"/>
    </xf>
    <xf numFmtId="0" fontId="5" fillId="0" borderId="4" xfId="3" applyBorder="1"/>
    <xf numFmtId="0" fontId="6" fillId="0" borderId="4" xfId="3" applyFont="1" applyBorder="1"/>
    <xf numFmtId="0" fontId="7" fillId="0" borderId="4" xfId="3" applyFont="1" applyBorder="1"/>
    <xf numFmtId="43" fontId="6" fillId="0" borderId="6" xfId="4" applyFont="1" applyBorder="1"/>
    <xf numFmtId="0" fontId="5" fillId="0" borderId="9" xfId="3" applyBorder="1"/>
    <xf numFmtId="0" fontId="5" fillId="0" borderId="10" xfId="3" applyBorder="1"/>
    <xf numFmtId="0" fontId="6" fillId="0" borderId="10" xfId="3" applyFont="1" applyBorder="1"/>
    <xf numFmtId="43" fontId="6" fillId="0" borderId="11" xfId="4" applyFont="1" applyBorder="1"/>
    <xf numFmtId="0" fontId="6" fillId="0" borderId="2" xfId="3" applyFont="1" applyBorder="1"/>
    <xf numFmtId="0" fontId="7" fillId="0" borderId="6" xfId="3" applyFont="1" applyBorder="1"/>
    <xf numFmtId="0" fontId="5" fillId="0" borderId="11" xfId="3" applyBorder="1"/>
    <xf numFmtId="0" fontId="6" fillId="0" borderId="6" xfId="3" applyFont="1" applyBorder="1"/>
    <xf numFmtId="0" fontId="6" fillId="0" borderId="11" xfId="3" applyFont="1" applyBorder="1"/>
    <xf numFmtId="0" fontId="6" fillId="0" borderId="4" xfId="3" applyFont="1" applyFill="1" applyBorder="1"/>
    <xf numFmtId="0" fontId="5" fillId="0" borderId="9" xfId="3" applyBorder="1" applyAlignment="1">
      <alignment horizontal="right"/>
    </xf>
    <xf numFmtId="10" fontId="5" fillId="0" borderId="11" xfId="3" applyNumberFormat="1" applyBorder="1"/>
    <xf numFmtId="10" fontId="5" fillId="0" borderId="10" xfId="3" applyNumberFormat="1" applyBorder="1"/>
    <xf numFmtId="10" fontId="5" fillId="3" borderId="10" xfId="3" applyNumberFormat="1" applyFill="1" applyBorder="1"/>
    <xf numFmtId="10" fontId="5" fillId="0" borderId="9" xfId="3" applyNumberFormat="1" applyBorder="1"/>
    <xf numFmtId="43" fontId="6" fillId="0" borderId="1" xfId="4" applyFont="1" applyBorder="1"/>
    <xf numFmtId="0" fontId="0" fillId="0" borderId="4" xfId="0" applyBorder="1"/>
    <xf numFmtId="0" fontId="0" fillId="0" borderId="6" xfId="0" applyBorder="1"/>
    <xf numFmtId="0" fontId="5" fillId="0" borderId="2" xfId="3" applyBorder="1" applyAlignment="1">
      <alignment horizontal="center"/>
    </xf>
    <xf numFmtId="0" fontId="0" fillId="0" borderId="12" xfId="0" applyBorder="1"/>
    <xf numFmtId="0" fontId="0" fillId="0" borderId="0" xfId="0" applyFill="1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165" fontId="0" fillId="0" borderId="13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5" xfId="2" applyNumberFormat="1" applyFont="1" applyBorder="1" applyAlignment="1">
      <alignment horizontal="center"/>
    </xf>
    <xf numFmtId="165" fontId="0" fillId="2" borderId="5" xfId="2" applyNumberFormat="1" applyFont="1" applyFill="1" applyBorder="1" applyAlignment="1">
      <alignment horizontal="center"/>
    </xf>
    <xf numFmtId="165" fontId="0" fillId="0" borderId="8" xfId="2" applyNumberFormat="1" applyFont="1" applyBorder="1" applyAlignment="1">
      <alignment horizontal="center"/>
    </xf>
    <xf numFmtId="0" fontId="0" fillId="0" borderId="13" xfId="0" applyBorder="1" applyAlignment="1">
      <alignment horizontal="right"/>
    </xf>
    <xf numFmtId="165" fontId="0" fillId="0" borderId="14" xfId="2" applyNumberFormat="1" applyFont="1" applyBorder="1" applyAlignment="1">
      <alignment horizontal="center"/>
    </xf>
    <xf numFmtId="43" fontId="0" fillId="0" borderId="9" xfId="1" applyNumberFormat="1" applyFont="1" applyBorder="1"/>
    <xf numFmtId="43" fontId="0" fillId="2" borderId="10" xfId="1" applyNumberFormat="1" applyFont="1" applyFill="1" applyBorder="1"/>
    <xf numFmtId="43" fontId="0" fillId="0" borderId="10" xfId="1" applyNumberFormat="1" applyFont="1" applyBorder="1"/>
    <xf numFmtId="43" fontId="0" fillId="0" borderId="11" xfId="0" applyNumberFormat="1" applyBorder="1"/>
    <xf numFmtId="0" fontId="0" fillId="0" borderId="1" xfId="0" applyFont="1" applyBorder="1"/>
    <xf numFmtId="0" fontId="8" fillId="0" borderId="15" xfId="0" applyFont="1" applyBorder="1" applyAlignment="1">
      <alignment horizontal="left" wrapText="1" readingOrder="1"/>
    </xf>
    <xf numFmtId="0" fontId="8" fillId="0" borderId="16" xfId="0" applyFont="1" applyBorder="1" applyAlignment="1">
      <alignment horizontal="left" wrapText="1" readingOrder="1"/>
    </xf>
    <xf numFmtId="0" fontId="8" fillId="0" borderId="17" xfId="0" applyFont="1" applyBorder="1" applyAlignment="1">
      <alignment horizontal="left" wrapText="1" readingOrder="1"/>
    </xf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2" xfId="0" applyBorder="1"/>
    <xf numFmtId="166" fontId="0" fillId="0" borderId="9" xfId="1" applyNumberFormat="1" applyFont="1" applyBorder="1"/>
    <xf numFmtId="10" fontId="0" fillId="0" borderId="18" xfId="2" applyNumberFormat="1" applyFont="1" applyBorder="1"/>
    <xf numFmtId="168" fontId="0" fillId="0" borderId="10" xfId="0" applyNumberFormat="1" applyBorder="1"/>
    <xf numFmtId="10" fontId="0" fillId="0" borderId="5" xfId="2" applyNumberFormat="1" applyFont="1" applyBorder="1"/>
    <xf numFmtId="166" fontId="0" fillId="0" borderId="11" xfId="1" applyNumberFormat="1" applyFont="1" applyBorder="1"/>
    <xf numFmtId="10" fontId="0" fillId="0" borderId="7" xfId="2" applyNumberFormat="1" applyFont="1" applyBorder="1"/>
    <xf numFmtId="10" fontId="0" fillId="0" borderId="8" xfId="2" applyNumberFormat="1" applyFont="1" applyBorder="1"/>
    <xf numFmtId="166" fontId="0" fillId="0" borderId="1" xfId="1" applyNumberFormat="1" applyFont="1" applyBorder="1"/>
    <xf numFmtId="10" fontId="0" fillId="0" borderId="14" xfId="2" applyNumberFormat="1" applyFont="1" applyBorder="1"/>
    <xf numFmtId="166" fontId="0" fillId="0" borderId="3" xfId="0" applyNumberFormat="1" applyBorder="1"/>
    <xf numFmtId="166" fontId="0" fillId="0" borderId="9" xfId="0" applyNumberFormat="1" applyBorder="1"/>
    <xf numFmtId="166" fontId="0" fillId="0" borderId="18" xfId="0" applyNumberFormat="1" applyBorder="1"/>
    <xf numFmtId="166" fontId="0" fillId="0" borderId="7" xfId="0" applyNumberFormat="1" applyBorder="1"/>
    <xf numFmtId="166" fontId="0" fillId="0" borderId="11" xfId="0" applyNumberFormat="1" applyBorder="1"/>
    <xf numFmtId="166" fontId="0" fillId="0" borderId="8" xfId="0" applyNumberFormat="1" applyBorder="1"/>
    <xf numFmtId="167" fontId="0" fillId="0" borderId="10" xfId="1" applyNumberFormat="1" applyFont="1" applyBorder="1"/>
    <xf numFmtId="166" fontId="0" fillId="0" borderId="0" xfId="0" applyNumberFormat="1" applyBorder="1"/>
    <xf numFmtId="166" fontId="0" fillId="0" borderId="10" xfId="0" applyNumberFormat="1" applyBorder="1"/>
    <xf numFmtId="167" fontId="0" fillId="0" borderId="5" xfId="0" applyNumberFormat="1" applyBorder="1"/>
    <xf numFmtId="166" fontId="0" fillId="0" borderId="2" xfId="1" applyNumberFormat="1" applyFont="1" applyBorder="1"/>
    <xf numFmtId="166" fontId="0" fillId="0" borderId="4" xfId="1" applyNumberFormat="1" applyFont="1" applyBorder="1"/>
    <xf numFmtId="166" fontId="0" fillId="0" borderId="6" xfId="1" applyNumberFormat="1" applyFont="1" applyBorder="1"/>
    <xf numFmtId="0" fontId="9" fillId="0" borderId="3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166" fontId="0" fillId="2" borderId="0" xfId="1" applyNumberFormat="1" applyFont="1" applyFill="1" applyBorder="1"/>
    <xf numFmtId="166" fontId="0" fillId="0" borderId="5" xfId="1" applyNumberFormat="1" applyFont="1" applyBorder="1"/>
    <xf numFmtId="166" fontId="0" fillId="0" borderId="0" xfId="1" applyNumberFormat="1" applyFont="1" applyBorder="1"/>
    <xf numFmtId="166" fontId="0" fillId="2" borderId="10" xfId="1" applyNumberFormat="1" applyFont="1" applyFill="1" applyBorder="1"/>
    <xf numFmtId="0" fontId="0" fillId="0" borderId="1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166" fontId="0" fillId="0" borderId="14" xfId="0" applyNumberFormat="1" applyBorder="1"/>
    <xf numFmtId="0" fontId="0" fillId="0" borderId="1" xfId="0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4" fontId="1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left"/>
    </xf>
    <xf numFmtId="0" fontId="11" fillId="0" borderId="0" xfId="0" quotePrefix="1" applyFont="1" applyAlignment="1">
      <alignment horizontal="right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2" fontId="11" fillId="0" borderId="0" xfId="0" applyNumberFormat="1" applyFont="1"/>
    <xf numFmtId="166" fontId="11" fillId="0" borderId="0" xfId="4" applyNumberFormat="1" applyFont="1"/>
    <xf numFmtId="0" fontId="11" fillId="0" borderId="1" xfId="0" applyFont="1" applyBorder="1"/>
    <xf numFmtId="4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66" fontId="11" fillId="0" borderId="1" xfId="4" applyNumberFormat="1" applyFont="1" applyBorder="1" applyAlignment="1">
      <alignment horizontal="right"/>
    </xf>
    <xf numFmtId="0" fontId="11" fillId="0" borderId="1" xfId="0" quotePrefix="1" applyFont="1" applyBorder="1" applyAlignment="1">
      <alignment horizontal="left"/>
    </xf>
    <xf numFmtId="0" fontId="11" fillId="0" borderId="1" xfId="0" quotePrefix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2" xfId="0" quotePrefix="1" applyFont="1" applyBorder="1" applyAlignment="1">
      <alignment horizontal="left"/>
    </xf>
    <xf numFmtId="0" fontId="11" fillId="0" borderId="4" xfId="0" quotePrefix="1" applyFont="1" applyBorder="1" applyAlignment="1">
      <alignment horizontal="left"/>
    </xf>
    <xf numFmtId="0" fontId="11" fillId="0" borderId="6" xfId="0" quotePrefix="1" applyFont="1" applyBorder="1" applyAlignment="1">
      <alignment horizontal="left"/>
    </xf>
    <xf numFmtId="0" fontId="11" fillId="0" borderId="2" xfId="0" applyFont="1" applyBorder="1"/>
    <xf numFmtId="0" fontId="11" fillId="0" borderId="12" xfId="0" applyFont="1" applyBorder="1" applyAlignment="1">
      <alignment horizontal="left" vertical="center"/>
    </xf>
    <xf numFmtId="0" fontId="11" fillId="0" borderId="9" xfId="0" applyFont="1" applyBorder="1" applyAlignment="1">
      <alignment horizontal="right"/>
    </xf>
    <xf numFmtId="166" fontId="11" fillId="0" borderId="10" xfId="4" applyNumberFormat="1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9" xfId="0" applyFont="1" applyBorder="1"/>
    <xf numFmtId="0" fontId="11" fillId="0" borderId="12" xfId="0" quotePrefix="1" applyFont="1" applyBorder="1" applyAlignment="1">
      <alignment horizontal="left"/>
    </xf>
    <xf numFmtId="166" fontId="11" fillId="0" borderId="10" xfId="4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166" fontId="11" fillId="0" borderId="11" xfId="4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center" vertical="center"/>
    </xf>
    <xf numFmtId="166" fontId="11" fillId="0" borderId="1" xfId="4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11" fillId="0" borderId="4" xfId="0" applyFont="1" applyBorder="1"/>
    <xf numFmtId="3" fontId="11" fillId="0" borderId="0" xfId="0" applyNumberFormat="1" applyFont="1" applyBorder="1" applyAlignment="1">
      <alignment horizontal="right"/>
    </xf>
    <xf numFmtId="0" fontId="11" fillId="0" borderId="6" xfId="0" applyFont="1" applyBorder="1"/>
    <xf numFmtId="166" fontId="11" fillId="0" borderId="10" xfId="4" applyNumberFormat="1" applyFont="1" applyBorder="1"/>
    <xf numFmtId="3" fontId="11" fillId="0" borderId="10" xfId="0" applyNumberFormat="1" applyFont="1" applyBorder="1" applyAlignment="1">
      <alignment horizontal="right"/>
    </xf>
    <xf numFmtId="166" fontId="11" fillId="0" borderId="9" xfId="4" applyNumberFormat="1" applyFont="1" applyBorder="1"/>
    <xf numFmtId="3" fontId="11" fillId="0" borderId="13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11" fillId="0" borderId="12" xfId="0" applyFont="1" applyBorder="1"/>
    <xf numFmtId="165" fontId="11" fillId="0" borderId="11" xfId="2" applyNumberFormat="1" applyFont="1" applyBorder="1" applyAlignment="1">
      <alignment horizontal="right"/>
    </xf>
    <xf numFmtId="0" fontId="13" fillId="0" borderId="0" xfId="0" applyFont="1"/>
    <xf numFmtId="0" fontId="13" fillId="0" borderId="9" xfId="0" applyFont="1" applyBorder="1"/>
    <xf numFmtId="0" fontId="13" fillId="0" borderId="3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13" fillId="0" borderId="18" xfId="0" applyFont="1" applyBorder="1" applyAlignment="1">
      <alignment vertical="center"/>
    </xf>
    <xf numFmtId="0" fontId="13" fillId="0" borderId="1" xfId="0" applyFont="1" applyBorder="1" applyAlignment="1"/>
    <xf numFmtId="43" fontId="13" fillId="0" borderId="13" xfId="0" applyNumberFormat="1" applyFont="1" applyBorder="1"/>
    <xf numFmtId="166" fontId="13" fillId="2" borderId="1" xfId="1" applyNumberFormat="1" applyFont="1" applyFill="1" applyBorder="1"/>
    <xf numFmtId="166" fontId="13" fillId="0" borderId="14" xfId="1" applyNumberFormat="1" applyFont="1" applyBorder="1"/>
    <xf numFmtId="0" fontId="13" fillId="0" borderId="11" xfId="0" applyFont="1" applyBorder="1" applyAlignment="1"/>
    <xf numFmtId="166" fontId="13" fillId="0" borderId="8" xfId="1" applyNumberFormat="1" applyFont="1" applyBorder="1"/>
    <xf numFmtId="0" fontId="13" fillId="0" borderId="0" xfId="0" applyFont="1" applyBorder="1" applyAlignment="1"/>
    <xf numFmtId="0" fontId="13" fillId="0" borderId="0" xfId="0" applyFont="1" applyBorder="1" applyAlignment="1">
      <alignment horizontal="right"/>
    </xf>
    <xf numFmtId="166" fontId="13" fillId="0" borderId="0" xfId="1" applyNumberFormat="1" applyFont="1" applyBorder="1"/>
    <xf numFmtId="10" fontId="0" fillId="0" borderId="0" xfId="2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center" vertical="center"/>
    </xf>
    <xf numFmtId="2" fontId="0" fillId="0" borderId="0" xfId="0" applyNumberFormat="1" applyAlignment="1"/>
    <xf numFmtId="43" fontId="0" fillId="0" borderId="10" xfId="1" applyFont="1" applyBorder="1" applyAlignment="1">
      <alignment horizontal="right"/>
    </xf>
    <xf numFmtId="43" fontId="0" fillId="0" borderId="11" xfId="1" applyFont="1" applyBorder="1" applyAlignment="1">
      <alignment horizontal="right"/>
    </xf>
    <xf numFmtId="166" fontId="0" fillId="0" borderId="10" xfId="1" applyNumberFormat="1" applyFont="1" applyBorder="1" applyAlignment="1">
      <alignment horizontal="right"/>
    </xf>
    <xf numFmtId="9" fontId="0" fillId="2" borderId="10" xfId="2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6" fillId="0" borderId="10" xfId="3" applyFont="1" applyFill="1" applyBorder="1"/>
    <xf numFmtId="0" fontId="5" fillId="0" borderId="4" xfId="3" applyFill="1" applyBorder="1"/>
    <xf numFmtId="43" fontId="5" fillId="3" borderId="7" xfId="1" applyFont="1" applyFill="1" applyBorder="1"/>
    <xf numFmtId="43" fontId="5" fillId="0" borderId="0" xfId="1" applyFont="1" applyBorder="1"/>
    <xf numFmtId="43" fontId="5" fillId="3" borderId="0" xfId="1" applyFont="1" applyFill="1" applyBorder="1"/>
    <xf numFmtId="43" fontId="5" fillId="0" borderId="0" xfId="1" applyFont="1" applyFill="1" applyBorder="1"/>
    <xf numFmtId="43" fontId="6" fillId="0" borderId="7" xfId="1" applyFont="1" applyBorder="1"/>
    <xf numFmtId="43" fontId="6" fillId="0" borderId="13" xfId="1" applyFont="1" applyBorder="1"/>
    <xf numFmtId="43" fontId="5" fillId="0" borderId="3" xfId="1" applyFont="1" applyBorder="1"/>
    <xf numFmtId="0" fontId="6" fillId="0" borderId="2" xfId="3" applyFont="1" applyBorder="1" applyAlignment="1">
      <alignment wrapText="1"/>
    </xf>
    <xf numFmtId="0" fontId="5" fillId="0" borderId="18" xfId="3" applyBorder="1"/>
    <xf numFmtId="0" fontId="6" fillId="0" borderId="6" xfId="3" applyFont="1" applyFill="1" applyBorder="1"/>
    <xf numFmtId="0" fontId="0" fillId="0" borderId="5" xfId="0" applyBorder="1"/>
    <xf numFmtId="0" fontId="6" fillId="0" borderId="9" xfId="3" applyFont="1" applyBorder="1"/>
    <xf numFmtId="0" fontId="0" fillId="0" borderId="14" xfId="0" applyBorder="1" applyAlignment="1">
      <alignment horizontal="center" vertical="center"/>
    </xf>
    <xf numFmtId="166" fontId="0" fillId="4" borderId="10" xfId="1" applyNumberFormat="1" applyFont="1" applyFill="1" applyBorder="1"/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3" fontId="0" fillId="0" borderId="5" xfId="1" applyFont="1" applyBorder="1"/>
    <xf numFmtId="43" fontId="0" fillId="0" borderId="14" xfId="1" applyFont="1" applyBorder="1"/>
    <xf numFmtId="167" fontId="0" fillId="0" borderId="5" xfId="1" applyNumberFormat="1" applyFont="1" applyBorder="1"/>
    <xf numFmtId="167" fontId="0" fillId="0" borderId="14" xfId="1" applyNumberFormat="1" applyFont="1" applyBorder="1"/>
    <xf numFmtId="43" fontId="0" fillId="0" borderId="0" xfId="1" applyFont="1" applyBorder="1"/>
    <xf numFmtId="43" fontId="0" fillId="0" borderId="8" xfId="1" applyFont="1" applyBorder="1"/>
    <xf numFmtId="0" fontId="0" fillId="0" borderId="14" xfId="0" applyBorder="1"/>
    <xf numFmtId="9" fontId="0" fillId="2" borderId="10" xfId="2" applyFont="1" applyFill="1" applyBorder="1"/>
    <xf numFmtId="165" fontId="0" fillId="2" borderId="5" xfId="2" applyNumberFormat="1" applyFont="1" applyFill="1" applyBorder="1"/>
    <xf numFmtId="0" fontId="0" fillId="4" borderId="1" xfId="0" applyFill="1" applyBorder="1"/>
    <xf numFmtId="0" fontId="0" fillId="4" borderId="14" xfId="0" applyFill="1" applyBorder="1" applyAlignment="1">
      <alignment horizontal="center"/>
    </xf>
    <xf numFmtId="0" fontId="11" fillId="0" borderId="2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11" fillId="0" borderId="4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8" xfId="0" applyFont="1" applyBorder="1" applyAlignment="1">
      <alignment horizontal="right"/>
    </xf>
    <xf numFmtId="0" fontId="11" fillId="0" borderId="14" xfId="0" applyFont="1" applyBorder="1" applyAlignment="1">
      <alignment horizontal="right"/>
    </xf>
    <xf numFmtId="0" fontId="11" fillId="0" borderId="12" xfId="0" applyFont="1" applyBorder="1" applyAlignment="1">
      <alignment horizontal="left"/>
    </xf>
    <xf numFmtId="0" fontId="15" fillId="0" borderId="0" xfId="0" applyFont="1"/>
    <xf numFmtId="0" fontId="15" fillId="0" borderId="0" xfId="0" applyFont="1" applyBorder="1" applyAlignment="1">
      <alignment horizontal="right"/>
    </xf>
    <xf numFmtId="0" fontId="15" fillId="0" borderId="0" xfId="0" applyFont="1" applyAlignment="1"/>
    <xf numFmtId="0" fontId="15" fillId="0" borderId="12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12" xfId="0" applyFont="1" applyFill="1" applyBorder="1" applyAlignment="1">
      <alignment horizontal="left" wrapText="1"/>
    </xf>
    <xf numFmtId="0" fontId="15" fillId="0" borderId="13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left" wrapText="1"/>
    </xf>
    <xf numFmtId="169" fontId="15" fillId="0" borderId="10" xfId="1" applyNumberFormat="1" applyFont="1" applyBorder="1" applyAlignment="1"/>
    <xf numFmtId="0" fontId="15" fillId="0" borderId="5" xfId="0" applyFont="1" applyFill="1" applyBorder="1" applyAlignment="1"/>
    <xf numFmtId="0" fontId="15" fillId="0" borderId="13" xfId="0" applyFont="1" applyBorder="1" applyAlignment="1">
      <alignment horizontal="right"/>
    </xf>
    <xf numFmtId="0" fontId="15" fillId="0" borderId="1" xfId="0" applyFont="1" applyBorder="1" applyAlignment="1"/>
    <xf numFmtId="0" fontId="15" fillId="0" borderId="4" xfId="0" applyFont="1" applyBorder="1"/>
    <xf numFmtId="170" fontId="15" fillId="0" borderId="10" xfId="1" applyNumberFormat="1" applyFont="1" applyBorder="1" applyAlignment="1"/>
    <xf numFmtId="0" fontId="15" fillId="0" borderId="10" xfId="0" applyFont="1" applyBorder="1" applyAlignment="1"/>
    <xf numFmtId="165" fontId="15" fillId="0" borderId="10" xfId="2" applyNumberFormat="1" applyFont="1" applyBorder="1" applyAlignment="1">
      <alignment horizontal="right" vertical="center"/>
    </xf>
    <xf numFmtId="0" fontId="15" fillId="0" borderId="10" xfId="0" applyFont="1" applyBorder="1" applyAlignment="1">
      <alignment vertical="center"/>
    </xf>
    <xf numFmtId="0" fontId="15" fillId="0" borderId="6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right"/>
    </xf>
    <xf numFmtId="0" fontId="15" fillId="0" borderId="4" xfId="0" applyFont="1" applyFill="1" applyBorder="1" applyAlignment="1">
      <alignment horizontal="left" wrapText="1"/>
    </xf>
    <xf numFmtId="0" fontId="15" fillId="0" borderId="12" xfId="0" applyFont="1" applyFill="1" applyBorder="1"/>
    <xf numFmtId="0" fontId="15" fillId="0" borderId="4" xfId="0" applyFont="1" applyBorder="1" applyAlignment="1">
      <alignment horizontal="left"/>
    </xf>
    <xf numFmtId="0" fontId="15" fillId="0" borderId="6" xfId="0" applyFont="1" applyBorder="1"/>
    <xf numFmtId="0" fontId="15" fillId="0" borderId="9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15" fillId="0" borderId="11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0" fontId="15" fillId="0" borderId="6" xfId="0" applyFont="1" applyBorder="1" applyAlignment="1">
      <alignment horizontal="left" wrapText="1"/>
    </xf>
    <xf numFmtId="165" fontId="15" fillId="0" borderId="11" xfId="2" applyNumberFormat="1" applyFont="1" applyBorder="1" applyAlignment="1">
      <alignment horizontal="right" vertical="center"/>
    </xf>
    <xf numFmtId="0" fontId="15" fillId="0" borderId="11" xfId="0" applyFont="1" applyBorder="1" applyAlignment="1"/>
    <xf numFmtId="0" fontId="15" fillId="0" borderId="2" xfId="0" applyFont="1" applyBorder="1"/>
    <xf numFmtId="0" fontId="15" fillId="0" borderId="3" xfId="0" applyFont="1" applyBorder="1" applyAlignment="1">
      <alignment horizontal="right"/>
    </xf>
    <xf numFmtId="0" fontId="15" fillId="0" borderId="12" xfId="0" applyFont="1" applyBorder="1"/>
    <xf numFmtId="0" fontId="15" fillId="0" borderId="1" xfId="0" applyFont="1" applyFill="1" applyBorder="1" applyAlignment="1">
      <alignment horizontal="left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0" xfId="0" applyFont="1" applyBorder="1"/>
    <xf numFmtId="0" fontId="15" fillId="0" borderId="5" xfId="0" applyFont="1" applyBorder="1" applyAlignment="1"/>
    <xf numFmtId="165" fontId="15" fillId="0" borderId="10" xfId="2" applyNumberFormat="1" applyFont="1" applyBorder="1"/>
    <xf numFmtId="0" fontId="15" fillId="0" borderId="0" xfId="0" applyFont="1" applyBorder="1"/>
    <xf numFmtId="164" fontId="15" fillId="0" borderId="0" xfId="0" applyNumberFormat="1" applyFont="1" applyBorder="1" applyAlignment="1"/>
    <xf numFmtId="9" fontId="15" fillId="0" borderId="10" xfId="2" applyFont="1" applyBorder="1"/>
    <xf numFmtId="0" fontId="15" fillId="0" borderId="5" xfId="0" applyFont="1" applyBorder="1"/>
    <xf numFmtId="0" fontId="15" fillId="0" borderId="11" xfId="0" applyFont="1" applyBorder="1"/>
    <xf numFmtId="165" fontId="15" fillId="0" borderId="11" xfId="2" applyNumberFormat="1" applyFont="1" applyBorder="1"/>
    <xf numFmtId="0" fontId="15" fillId="0" borderId="8" xfId="0" applyFont="1" applyBorder="1" applyAlignment="1"/>
    <xf numFmtId="170" fontId="15" fillId="0" borderId="1" xfId="1" applyNumberFormat="1" applyFont="1" applyBorder="1" applyAlignment="1">
      <alignment horizontal="right"/>
    </xf>
    <xf numFmtId="0" fontId="15" fillId="0" borderId="1" xfId="0" applyFont="1" applyBorder="1"/>
    <xf numFmtId="170" fontId="15" fillId="0" borderId="1" xfId="0" applyNumberFormat="1" applyFont="1" applyBorder="1" applyAlignment="1">
      <alignment horizontal="right"/>
    </xf>
    <xf numFmtId="9" fontId="15" fillId="0" borderId="1" xfId="2" applyFont="1" applyBorder="1" applyAlignment="1">
      <alignment horizontal="right"/>
    </xf>
    <xf numFmtId="167" fontId="15" fillId="0" borderId="10" xfId="1" applyNumberFormat="1" applyFont="1" applyBorder="1" applyAlignment="1">
      <alignment horizontal="right"/>
    </xf>
    <xf numFmtId="167" fontId="15" fillId="0" borderId="11" xfId="1" applyNumberFormat="1" applyFont="1" applyBorder="1" applyAlignment="1">
      <alignment horizontal="right"/>
    </xf>
    <xf numFmtId="167" fontId="15" fillId="0" borderId="1" xfId="1" applyNumberFormat="1" applyFont="1" applyBorder="1" applyAlignment="1">
      <alignment horizontal="right"/>
    </xf>
    <xf numFmtId="167" fontId="15" fillId="0" borderId="11" xfId="1" applyNumberFormat="1" applyFont="1" applyBorder="1" applyAlignment="1">
      <alignment horizontal="right" vertical="center"/>
    </xf>
    <xf numFmtId="167" fontId="15" fillId="0" borderId="9" xfId="1" applyNumberFormat="1" applyFont="1" applyBorder="1" applyAlignment="1">
      <alignment horizontal="right"/>
    </xf>
    <xf numFmtId="166" fontId="15" fillId="0" borderId="10" xfId="1" applyNumberFormat="1" applyFont="1" applyBorder="1"/>
    <xf numFmtId="165" fontId="0" fillId="2" borderId="10" xfId="2" applyNumberFormat="1" applyFont="1" applyFill="1" applyBorder="1"/>
    <xf numFmtId="167" fontId="0" fillId="0" borderId="11" xfId="1" applyNumberFormat="1" applyFont="1" applyBorder="1"/>
    <xf numFmtId="9" fontId="0" fillId="4" borderId="1" xfId="2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3" xfId="0" applyBorder="1" applyAlignment="1">
      <alignment horizontal="center" vertical="center"/>
    </xf>
    <xf numFmtId="43" fontId="0" fillId="0" borderId="1" xfId="1" applyFont="1" applyBorder="1"/>
    <xf numFmtId="0" fontId="7" fillId="0" borderId="9" xfId="3" applyFont="1" applyBorder="1" applyAlignment="1">
      <alignment horizontal="center"/>
    </xf>
    <xf numFmtId="0" fontId="5" fillId="0" borderId="9" xfId="3" applyBorder="1" applyAlignment="1">
      <alignment horizontal="center"/>
    </xf>
    <xf numFmtId="0" fontId="7" fillId="0" borderId="11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5" fillId="0" borderId="11" xfId="3" applyBorder="1" applyAlignment="1">
      <alignment horizontal="center"/>
    </xf>
    <xf numFmtId="0" fontId="5" fillId="0" borderId="18" xfId="3" applyBorder="1" applyAlignment="1">
      <alignment horizontal="center"/>
    </xf>
    <xf numFmtId="0" fontId="7" fillId="0" borderId="5" xfId="3" applyFont="1" applyBorder="1" applyAlignment="1">
      <alignment horizontal="center"/>
    </xf>
    <xf numFmtId="0" fontId="5" fillId="0" borderId="5" xfId="3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8" xfId="3" applyBorder="1" applyAlignment="1">
      <alignment horizontal="center"/>
    </xf>
    <xf numFmtId="43" fontId="7" fillId="0" borderId="11" xfId="4" applyFont="1" applyBorder="1" applyAlignment="1">
      <alignment horizontal="center"/>
    </xf>
    <xf numFmtId="166" fontId="0" fillId="2" borderId="10" xfId="1" applyNumberFormat="1" applyFont="1" applyFill="1" applyBorder="1" applyAlignment="1">
      <alignment horizontal="right"/>
    </xf>
    <xf numFmtId="166" fontId="0" fillId="0" borderId="10" xfId="1" applyNumberFormat="1" applyFont="1" applyFill="1" applyBorder="1" applyAlignment="1">
      <alignment horizontal="right"/>
    </xf>
    <xf numFmtId="166" fontId="0" fillId="0" borderId="1" xfId="0" applyNumberFormat="1" applyBorder="1"/>
    <xf numFmtId="0" fontId="0" fillId="2" borderId="0" xfId="0" applyFill="1" applyBorder="1" applyAlignment="1">
      <alignment horizontal="center"/>
    </xf>
    <xf numFmtId="10" fontId="0" fillId="0" borderId="2" xfId="2" applyNumberFormat="1" applyFont="1" applyBorder="1"/>
    <xf numFmtId="10" fontId="0" fillId="0" borderId="4" xfId="2" applyNumberFormat="1" applyFont="1" applyBorder="1"/>
    <xf numFmtId="10" fontId="0" fillId="0" borderId="6" xfId="2" applyNumberFormat="1" applyFont="1" applyBorder="1"/>
    <xf numFmtId="0" fontId="9" fillId="0" borderId="9" xfId="0" applyFont="1" applyBorder="1" applyAlignment="1">
      <alignment horizontal="center" vertical="center"/>
    </xf>
    <xf numFmtId="2" fontId="0" fillId="2" borderId="9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1" fontId="0" fillId="0" borderId="0" xfId="0" applyNumberFormat="1" applyBorder="1"/>
    <xf numFmtId="0" fontId="0" fillId="0" borderId="8" xfId="0" applyBorder="1"/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wrapText="1"/>
    </xf>
    <xf numFmtId="43" fontId="0" fillId="0" borderId="1" xfId="0" applyNumberFormat="1" applyBorder="1"/>
    <xf numFmtId="43" fontId="0" fillId="2" borderId="1" xfId="1" applyFont="1" applyFill="1" applyBorder="1"/>
    <xf numFmtId="43" fontId="0" fillId="0" borderId="1" xfId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70" fontId="15" fillId="0" borderId="1" xfId="1" applyNumberFormat="1" applyFont="1" applyBorder="1" applyAlignment="1">
      <alignment vertical="center"/>
    </xf>
    <xf numFmtId="165" fontId="15" fillId="0" borderId="10" xfId="2" applyNumberFormat="1" applyFont="1" applyBorder="1" applyAlignment="1">
      <alignment horizontal="center"/>
    </xf>
    <xf numFmtId="0" fontId="2" fillId="0" borderId="4" xfId="0" applyFont="1" applyBorder="1"/>
    <xf numFmtId="166" fontId="2" fillId="0" borderId="0" xfId="1" applyNumberFormat="1" applyFont="1" applyBorder="1"/>
    <xf numFmtId="166" fontId="0" fillId="0" borderId="5" xfId="0" applyNumberFormat="1" applyBorder="1"/>
    <xf numFmtId="0" fontId="0" fillId="0" borderId="7" xfId="0" applyBorder="1"/>
    <xf numFmtId="166" fontId="0" fillId="0" borderId="7" xfId="1" applyNumberFormat="1" applyFont="1" applyBorder="1"/>
    <xf numFmtId="166" fontId="0" fillId="0" borderId="8" xfId="1" applyNumberFormat="1" applyFont="1" applyBorder="1"/>
    <xf numFmtId="0" fontId="2" fillId="0" borderId="5" xfId="0" applyFont="1" applyBorder="1"/>
    <xf numFmtId="0" fontId="0" fillId="0" borderId="9" xfId="0" applyBorder="1"/>
    <xf numFmtId="166" fontId="0" fillId="0" borderId="10" xfId="1" applyNumberFormat="1" applyFont="1" applyBorder="1"/>
    <xf numFmtId="166" fontId="2" fillId="0" borderId="10" xfId="1" applyNumberFormat="1" applyFont="1" applyBorder="1"/>
    <xf numFmtId="0" fontId="0" fillId="0" borderId="18" xfId="0" applyBorder="1"/>
    <xf numFmtId="166" fontId="0" fillId="0" borderId="3" xfId="1" applyNumberFormat="1" applyFont="1" applyBorder="1"/>
    <xf numFmtId="0" fontId="0" fillId="0" borderId="2" xfId="0" applyBorder="1" applyAlignment="1"/>
    <xf numFmtId="0" fontId="0" fillId="0" borderId="18" xfId="0" applyBorder="1" applyAlignment="1"/>
    <xf numFmtId="0" fontId="0" fillId="0" borderId="6" xfId="0" applyBorder="1" applyAlignment="1"/>
    <xf numFmtId="166" fontId="1" fillId="0" borderId="7" xfId="1" applyNumberFormat="1" applyFont="1" applyBorder="1"/>
    <xf numFmtId="166" fontId="1" fillId="0" borderId="11" xfId="1" applyNumberFormat="1" applyFont="1" applyBorder="1"/>
    <xf numFmtId="166" fontId="1" fillId="0" borderId="11" xfId="0" applyNumberFormat="1" applyFont="1" applyBorder="1"/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166" fontId="0" fillId="0" borderId="13" xfId="1" applyNumberFormat="1" applyFont="1" applyBorder="1"/>
    <xf numFmtId="166" fontId="0" fillId="0" borderId="18" xfId="1" applyNumberFormat="1" applyFont="1" applyBorder="1"/>
    <xf numFmtId="43" fontId="6" fillId="0" borderId="1" xfId="1" applyFont="1" applyFill="1" applyBorder="1"/>
    <xf numFmtId="43" fontId="3" fillId="0" borderId="1" xfId="1" applyFont="1" applyBorder="1" applyAlignment="1">
      <alignment horizontal="center"/>
    </xf>
    <xf numFmtId="43" fontId="3" fillId="0" borderId="1" xfId="1" applyFont="1" applyBorder="1"/>
    <xf numFmtId="165" fontId="0" fillId="2" borderId="0" xfId="2" applyNumberFormat="1" applyFont="1" applyFill="1" applyAlignment="1">
      <alignment horizontal="center"/>
    </xf>
    <xf numFmtId="10" fontId="0" fillId="2" borderId="0" xfId="2" applyNumberFormat="1" applyFont="1" applyFill="1"/>
    <xf numFmtId="165" fontId="0" fillId="2" borderId="0" xfId="1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5" fontId="0" fillId="0" borderId="0" xfId="2" applyNumberFormat="1" applyFont="1" applyAlignment="1">
      <alignment horizontal="center" vertical="center"/>
    </xf>
    <xf numFmtId="165" fontId="0" fillId="0" borderId="0" xfId="2" applyNumberFormat="1" applyFont="1" applyFill="1" applyAlignment="1">
      <alignment horizontal="center" vertical="center"/>
    </xf>
    <xf numFmtId="43" fontId="6" fillId="0" borderId="9" xfId="1" applyFont="1" applyFill="1" applyBorder="1"/>
    <xf numFmtId="43" fontId="6" fillId="0" borderId="10" xfId="1" applyFont="1" applyFill="1" applyBorder="1"/>
    <xf numFmtId="43" fontId="3" fillId="0" borderId="10" xfId="1" applyFont="1" applyFill="1" applyBorder="1" applyAlignment="1">
      <alignment horizontal="right"/>
    </xf>
    <xf numFmtId="43" fontId="6" fillId="0" borderId="11" xfId="1" applyFont="1" applyFill="1" applyBorder="1"/>
    <xf numFmtId="1" fontId="0" fillId="0" borderId="9" xfId="1" applyNumberFormat="1" applyFont="1" applyBorder="1"/>
    <xf numFmtId="1" fontId="0" fillId="0" borderId="18" xfId="0" applyNumberFormat="1" applyBorder="1"/>
    <xf numFmtId="43" fontId="3" fillId="0" borderId="0" xfId="1" applyFont="1"/>
    <xf numFmtId="165" fontId="3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9" fontId="0" fillId="0" borderId="0" xfId="2" applyFont="1" applyAlignment="1">
      <alignment horizontal="center"/>
    </xf>
    <xf numFmtId="166" fontId="0" fillId="0" borderId="0" xfId="1" applyNumberFormat="1" applyFont="1" applyAlignment="1">
      <alignment horizontal="center" vertical="center"/>
    </xf>
    <xf numFmtId="0" fontId="9" fillId="0" borderId="0" xfId="0" applyFont="1"/>
    <xf numFmtId="166" fontId="9" fillId="0" borderId="0" xfId="1" applyNumberFormat="1" applyFont="1"/>
    <xf numFmtId="43" fontId="0" fillId="2" borderId="0" xfId="1" applyFont="1" applyFill="1" applyBorder="1" applyAlignment="1">
      <alignment horizontal="center" vertical="center"/>
    </xf>
    <xf numFmtId="165" fontId="0" fillId="0" borderId="13" xfId="2" applyNumberFormat="1" applyFont="1" applyBorder="1" applyAlignment="1">
      <alignment horizontal="center" vertical="center"/>
    </xf>
    <xf numFmtId="43" fontId="0" fillId="0" borderId="13" xfId="0" applyNumberFormat="1" applyBorder="1" applyAlignment="1">
      <alignment horizontal="center" vertical="center"/>
    </xf>
    <xf numFmtId="166" fontId="0" fillId="2" borderId="10" xfId="1" applyNumberFormat="1" applyFont="1" applyFill="1" applyBorder="1" applyAlignment="1">
      <alignment horizontal="center" vertical="center"/>
    </xf>
    <xf numFmtId="166" fontId="0" fillId="0" borderId="10" xfId="1" applyNumberFormat="1" applyFont="1" applyBorder="1" applyAlignment="1">
      <alignment horizontal="center" vertical="center"/>
    </xf>
    <xf numFmtId="166" fontId="0" fillId="2" borderId="0" xfId="1" applyNumberFormat="1" applyFont="1" applyFill="1" applyBorder="1" applyAlignment="1">
      <alignment horizontal="center" vertical="center"/>
    </xf>
    <xf numFmtId="167" fontId="0" fillId="0" borderId="10" xfId="1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165" fontId="0" fillId="0" borderId="4" xfId="2" applyNumberFormat="1" applyFont="1" applyBorder="1" applyAlignment="1">
      <alignment horizontal="left"/>
    </xf>
    <xf numFmtId="165" fontId="0" fillId="0" borderId="4" xfId="2" applyNumberFormat="1" applyFont="1" applyBorder="1" applyAlignment="1">
      <alignment horizontal="center"/>
    </xf>
    <xf numFmtId="165" fontId="0" fillId="0" borderId="6" xfId="2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2" fontId="0" fillId="0" borderId="0" xfId="0" applyNumberFormat="1"/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166" fontId="11" fillId="0" borderId="9" xfId="0" applyNumberFormat="1" applyFont="1" applyBorder="1" applyAlignment="1">
      <alignment horizontal="right"/>
    </xf>
    <xf numFmtId="166" fontId="11" fillId="0" borderId="0" xfId="4" applyNumberFormat="1" applyFont="1" applyBorder="1"/>
    <xf numFmtId="166" fontId="11" fillId="0" borderId="3" xfId="4" applyNumberFormat="1" applyFont="1" applyBorder="1"/>
    <xf numFmtId="166" fontId="11" fillId="0" borderId="2" xfId="4" applyNumberFormat="1" applyFont="1" applyBorder="1"/>
    <xf numFmtId="166" fontId="11" fillId="0" borderId="4" xfId="4" applyNumberFormat="1" applyFont="1" applyBorder="1"/>
    <xf numFmtId="166" fontId="11" fillId="0" borderId="12" xfId="4" applyNumberFormat="1" applyFont="1" applyBorder="1"/>
    <xf numFmtId="165" fontId="0" fillId="2" borderId="0" xfId="0" applyNumberFormat="1" applyFill="1" applyAlignment="1">
      <alignment horizontal="center" vertical="center"/>
    </xf>
    <xf numFmtId="165" fontId="0" fillId="0" borderId="0" xfId="2" applyNumberFormat="1" applyFont="1" applyAlignment="1">
      <alignment horizontal="center"/>
    </xf>
    <xf numFmtId="165" fontId="0" fillId="2" borderId="0" xfId="2" applyNumberFormat="1" applyFont="1" applyFill="1" applyAlignment="1">
      <alignment horizontal="center"/>
    </xf>
    <xf numFmtId="165" fontId="3" fillId="0" borderId="0" xfId="2" applyNumberFormat="1" applyFont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4" xfId="0" applyBorder="1" applyAlignment="1">
      <alignment horizontal="left"/>
    </xf>
    <xf numFmtId="43" fontId="7" fillId="0" borderId="9" xfId="4" applyFont="1" applyBorder="1" applyAlignment="1">
      <alignment horizontal="center" vertical="center"/>
    </xf>
    <xf numFmtId="43" fontId="7" fillId="0" borderId="11" xfId="4" applyFont="1" applyBorder="1" applyAlignment="1">
      <alignment horizontal="center" vertical="center"/>
    </xf>
    <xf numFmtId="165" fontId="0" fillId="0" borderId="2" xfId="2" applyNumberFormat="1" applyFont="1" applyBorder="1" applyAlignment="1">
      <alignment horizontal="center"/>
    </xf>
    <xf numFmtId="165" fontId="0" fillId="0" borderId="18" xfId="2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3" fillId="0" borderId="12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left" wrapText="1"/>
    </xf>
    <xf numFmtId="0" fontId="15" fillId="0" borderId="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</cellXfs>
  <cellStyles count="5">
    <cellStyle name="Migliaia" xfId="1" builtinId="3"/>
    <cellStyle name="Migliaia 2" xfId="4" xr:uid="{00000000-0005-0000-0000-000001000000}"/>
    <cellStyle name="Normale" xfId="0" builtinId="0"/>
    <cellStyle name="Normale 2" xfId="3" xr:uid="{00000000-0005-0000-0000-000003000000}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Flussi di cassa ed Esposizione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'Flusso di cassa'!$B$30</c:f>
              <c:strCache>
                <c:ptCount val="1"/>
                <c:pt idx="0">
                  <c:v>FLUSSO CASSA ECONOMICO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'Flusso di cassa'!$C$29:$G$29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'Flusso di cassa'!$C$30:$G$30</c:f>
              <c:numCache>
                <c:formatCode>_-* #,##0_-;\-* #,##0_-;_-* "-"??_-;_-@_-</c:formatCode>
                <c:ptCount val="5"/>
                <c:pt idx="0">
                  <c:v>-283688.70760387427</c:v>
                </c:pt>
                <c:pt idx="1">
                  <c:v>-58128.563333333332</c:v>
                </c:pt>
                <c:pt idx="2">
                  <c:v>-703538.23387735104</c:v>
                </c:pt>
                <c:pt idx="3">
                  <c:v>467889.37636219501</c:v>
                </c:pt>
                <c:pt idx="4">
                  <c:v>1234797.2706913012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C8-4DE6-A140-5079154B955E}"/>
            </c:ext>
          </c:extLst>
        </c:ser>
        <c:ser>
          <c:idx val="1"/>
          <c:order val="1"/>
          <c:tx>
            <c:strRef>
              <c:f>'Flusso di cassa'!$B$31</c:f>
              <c:strCache>
                <c:ptCount val="1"/>
                <c:pt idx="0">
                  <c:v>FLUSSO CASSA NETTO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'Flusso di cassa'!$C$29:$G$29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'Flusso di cassa'!$C$31:$G$31</c:f>
              <c:numCache>
                <c:formatCode>_-* #,##0_-;\-* #,##0_-;_-* "-"??_-;_-@_-</c:formatCode>
                <c:ptCount val="5"/>
                <c:pt idx="0">
                  <c:v>-288795.10434074403</c:v>
                </c:pt>
                <c:pt idx="1">
                  <c:v>-64373.189351466724</c:v>
                </c:pt>
                <c:pt idx="2">
                  <c:v>-722558.95137360319</c:v>
                </c:pt>
                <c:pt idx="3">
                  <c:v>456948.29472552985</c:v>
                </c:pt>
                <c:pt idx="4">
                  <c:v>1065188.3479575331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3C8-4DE6-A140-5079154B955E}"/>
            </c:ext>
          </c:extLst>
        </c:ser>
        <c:ser>
          <c:idx val="2"/>
          <c:order val="2"/>
          <c:tx>
            <c:strRef>
              <c:f>'Flusso di cassa'!$B$32</c:f>
              <c:strCache>
                <c:ptCount val="1"/>
                <c:pt idx="0">
                  <c:v>ESPOSIZIONE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'Flusso di cassa'!$C$29:$G$29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xVal>
          <c:yVal>
            <c:numRef>
              <c:f>'Flusso di cassa'!$C$32:$G$32</c:f>
              <c:numCache>
                <c:formatCode>_-* #,##0_-;\-* #,##0_-;_-* "-"??_-;_-@_-</c:formatCode>
                <c:ptCount val="5"/>
                <c:pt idx="0">
                  <c:v>-288795.10434074403</c:v>
                </c:pt>
                <c:pt idx="1">
                  <c:v>-353168.29369221075</c:v>
                </c:pt>
                <c:pt idx="2">
                  <c:v>-1075727.2450658139</c:v>
                </c:pt>
                <c:pt idx="3">
                  <c:v>-618778.95034028403</c:v>
                </c:pt>
                <c:pt idx="4">
                  <c:v>446409.39761724905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C8-4DE6-A140-5079154B9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5912096"/>
        <c:axId val="1949393120"/>
      </c:scatterChart>
      <c:valAx>
        <c:axId val="1705912096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49393120"/>
        <c:crosses val="autoZero"/>
        <c:crossBetween val="midCat"/>
        <c:majorUnit val="1"/>
      </c:valAx>
      <c:valAx>
        <c:axId val="194939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05912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266700</xdr:colOff>
      <xdr:row>24</xdr:row>
      <xdr:rowOff>139700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DCD0BFC-FE52-4D54-A401-8476897D1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A4" sqref="A4:C21"/>
    </sheetView>
  </sheetViews>
  <sheetFormatPr defaultRowHeight="15" x14ac:dyDescent="0.25"/>
  <cols>
    <col min="1" max="1" width="37.28515625" customWidth="1"/>
    <col min="2" max="2" width="12.28515625" customWidth="1"/>
    <col min="3" max="3" width="18.140625" customWidth="1"/>
  </cols>
  <sheetData>
    <row r="1" spans="1:3" ht="18.75" x14ac:dyDescent="0.3">
      <c r="A1" s="18" t="s">
        <v>96</v>
      </c>
    </row>
    <row r="2" spans="1:3" x14ac:dyDescent="0.25">
      <c r="A2" t="s">
        <v>60</v>
      </c>
    </row>
    <row r="4" spans="1:3" x14ac:dyDescent="0.25">
      <c r="B4" s="273" t="s">
        <v>58</v>
      </c>
      <c r="C4" s="274" t="s">
        <v>249</v>
      </c>
    </row>
    <row r="5" spans="1:3" x14ac:dyDescent="0.25">
      <c r="A5" t="s">
        <v>37</v>
      </c>
      <c r="B5" s="6">
        <v>2830</v>
      </c>
      <c r="C5" t="s">
        <v>356</v>
      </c>
    </row>
    <row r="6" spans="1:3" x14ac:dyDescent="0.25">
      <c r="A6" t="s">
        <v>38</v>
      </c>
      <c r="B6" s="6">
        <v>1</v>
      </c>
      <c r="C6" s="272" t="s">
        <v>311</v>
      </c>
    </row>
    <row r="7" spans="1:3" x14ac:dyDescent="0.25">
      <c r="A7" t="s">
        <v>39</v>
      </c>
      <c r="B7" s="5">
        <f>+B6*B5</f>
        <v>2830</v>
      </c>
      <c r="C7" s="272"/>
    </row>
    <row r="8" spans="1:3" x14ac:dyDescent="0.25">
      <c r="A8" t="s">
        <v>40</v>
      </c>
      <c r="B8" s="6">
        <v>3</v>
      </c>
      <c r="C8" s="272" t="s">
        <v>311</v>
      </c>
    </row>
    <row r="9" spans="1:3" x14ac:dyDescent="0.25">
      <c r="A9" t="s">
        <v>98</v>
      </c>
      <c r="B9" s="6">
        <v>7</v>
      </c>
      <c r="C9" s="272" t="s">
        <v>311</v>
      </c>
    </row>
    <row r="10" spans="1:3" x14ac:dyDescent="0.25">
      <c r="A10" t="s">
        <v>99</v>
      </c>
      <c r="B10" s="6">
        <v>2</v>
      </c>
      <c r="C10" s="272" t="s">
        <v>311</v>
      </c>
    </row>
    <row r="11" spans="1:3" x14ac:dyDescent="0.25">
      <c r="A11" t="s">
        <v>225</v>
      </c>
      <c r="B11" s="5">
        <f>+B7/B8</f>
        <v>943.33333333333337</v>
      </c>
      <c r="C11" s="272"/>
    </row>
    <row r="12" spans="1:3" x14ac:dyDescent="0.25">
      <c r="A12" t="s">
        <v>223</v>
      </c>
      <c r="B12" s="6">
        <f>+B15</f>
        <v>471.66666666666669</v>
      </c>
      <c r="C12" s="272" t="s">
        <v>357</v>
      </c>
    </row>
    <row r="13" spans="1:3" x14ac:dyDescent="0.25">
      <c r="A13" t="s">
        <v>224</v>
      </c>
      <c r="B13" s="7">
        <v>0.5</v>
      </c>
      <c r="C13" s="272" t="s">
        <v>226</v>
      </c>
    </row>
    <row r="14" spans="1:3" x14ac:dyDescent="0.25">
      <c r="A14" t="s">
        <v>310</v>
      </c>
      <c r="B14" s="167">
        <f>+B13*B12</f>
        <v>235.83333333333334</v>
      </c>
      <c r="C14" s="275"/>
    </row>
    <row r="15" spans="1:3" x14ac:dyDescent="0.25">
      <c r="A15" t="s">
        <v>97</v>
      </c>
      <c r="B15" s="5">
        <f>+B11/B10</f>
        <v>471.66666666666669</v>
      </c>
      <c r="C15" s="275"/>
    </row>
    <row r="16" spans="1:3" x14ac:dyDescent="0.25">
      <c r="A16" t="s">
        <v>100</v>
      </c>
      <c r="B16" s="5">
        <f>+B5-B15</f>
        <v>2358.3333333333335</v>
      </c>
      <c r="C16" s="275"/>
    </row>
    <row r="17" spans="1:3" x14ac:dyDescent="0.25">
      <c r="A17" t="s">
        <v>227</v>
      </c>
      <c r="B17" s="7">
        <v>0.1</v>
      </c>
      <c r="C17" s="272" t="s">
        <v>226</v>
      </c>
    </row>
    <row r="18" spans="1:3" x14ac:dyDescent="0.25">
      <c r="A18" t="s">
        <v>308</v>
      </c>
      <c r="B18" s="167">
        <f>+B17*B11</f>
        <v>94.333333333333343</v>
      </c>
      <c r="C18" s="275"/>
    </row>
    <row r="19" spans="1:3" x14ac:dyDescent="0.25">
      <c r="A19" t="s">
        <v>228</v>
      </c>
      <c r="B19" s="7">
        <v>0.02</v>
      </c>
      <c r="C19" s="272" t="s">
        <v>226</v>
      </c>
    </row>
    <row r="20" spans="1:3" x14ac:dyDescent="0.25">
      <c r="A20" t="s">
        <v>309</v>
      </c>
      <c r="B20" s="167">
        <f>+(B16-B11)*B19</f>
        <v>28.3</v>
      </c>
      <c r="C20" s="275"/>
    </row>
    <row r="21" spans="1:3" x14ac:dyDescent="0.25">
      <c r="A21" s="13" t="s">
        <v>358</v>
      </c>
      <c r="B21" s="356">
        <f>+B11+B14+B18+B20</f>
        <v>1301.8</v>
      </c>
      <c r="C21" s="272"/>
    </row>
    <row r="22" spans="1:3" x14ac:dyDescent="0.25">
      <c r="B22" s="5"/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E45" sqref="E45:E52"/>
    </sheetView>
  </sheetViews>
  <sheetFormatPr defaultColWidth="9.140625" defaultRowHeight="15" x14ac:dyDescent="0.2"/>
  <cols>
    <col min="1" max="1" width="32.85546875" style="103" customWidth="1"/>
    <col min="2" max="2" width="17.42578125" style="104" customWidth="1"/>
    <col min="3" max="6" width="19.42578125" style="104" customWidth="1"/>
    <col min="7" max="7" width="15" style="103" customWidth="1"/>
    <col min="8" max="13" width="9.140625" style="151"/>
    <col min="14" max="14" width="9.140625" style="151" customWidth="1"/>
    <col min="15" max="16384" width="9.140625" style="151"/>
  </cols>
  <sheetData>
    <row r="1" spans="1:7" x14ac:dyDescent="0.2">
      <c r="A1" s="151" t="s">
        <v>50</v>
      </c>
      <c r="B1" s="151"/>
      <c r="C1" s="151"/>
      <c r="D1" s="151"/>
      <c r="E1" s="151"/>
      <c r="F1" s="151"/>
    </row>
    <row r="2" spans="1:7" ht="30" x14ac:dyDescent="0.2">
      <c r="A2" s="152"/>
      <c r="B2" s="153" t="s">
        <v>51</v>
      </c>
      <c r="C2" s="154" t="s">
        <v>53</v>
      </c>
      <c r="D2" s="155" t="s">
        <v>30</v>
      </c>
      <c r="F2" s="151"/>
    </row>
    <row r="3" spans="1:7" x14ac:dyDescent="0.2">
      <c r="A3" s="156" t="s">
        <v>207</v>
      </c>
      <c r="B3" s="157">
        <f>+Descrizione!B21</f>
        <v>1301.8</v>
      </c>
      <c r="C3" s="158">
        <f>+C55</f>
        <v>2436.1484673961118</v>
      </c>
      <c r="D3" s="159">
        <f>+C3*B3</f>
        <v>3171378.074856258</v>
      </c>
      <c r="F3" s="151"/>
    </row>
    <row r="4" spans="1:7" x14ac:dyDescent="0.2">
      <c r="A4" s="160"/>
      <c r="B4" s="412" t="s">
        <v>52</v>
      </c>
      <c r="C4" s="413"/>
      <c r="D4" s="161">
        <f>SUM(D3:D3)</f>
        <v>3171378.074856258</v>
      </c>
      <c r="F4" s="151"/>
    </row>
    <row r="5" spans="1:7" x14ac:dyDescent="0.2">
      <c r="A5" s="162"/>
      <c r="B5" s="163"/>
      <c r="C5" s="163"/>
      <c r="D5" s="164"/>
      <c r="F5" s="151"/>
    </row>
    <row r="6" spans="1:7" x14ac:dyDescent="0.2">
      <c r="A6" s="103" t="s">
        <v>171</v>
      </c>
    </row>
    <row r="7" spans="1:7" x14ac:dyDescent="0.2">
      <c r="A7" s="414" t="s">
        <v>188</v>
      </c>
      <c r="B7" s="415" t="s">
        <v>206</v>
      </c>
      <c r="C7" s="416" t="s">
        <v>189</v>
      </c>
      <c r="D7" s="416"/>
      <c r="E7" s="416"/>
      <c r="F7" s="416"/>
    </row>
    <row r="8" spans="1:7" ht="15.75" x14ac:dyDescent="0.25">
      <c r="A8" s="414"/>
      <c r="B8" s="415"/>
      <c r="C8" s="123">
        <v>1</v>
      </c>
      <c r="D8" s="123">
        <v>2</v>
      </c>
      <c r="E8" s="123">
        <v>3</v>
      </c>
      <c r="F8" s="123">
        <v>4</v>
      </c>
      <c r="G8" s="105"/>
    </row>
    <row r="9" spans="1:7" x14ac:dyDescent="0.2">
      <c r="A9" s="117" t="s">
        <v>172</v>
      </c>
      <c r="B9" s="119" t="s">
        <v>173</v>
      </c>
      <c r="C9" s="118">
        <v>280000</v>
      </c>
      <c r="D9" s="118">
        <v>390000</v>
      </c>
      <c r="E9" s="118">
        <v>330000</v>
      </c>
      <c r="F9" s="118">
        <v>180000</v>
      </c>
      <c r="G9" s="107"/>
    </row>
    <row r="10" spans="1:7" x14ac:dyDescent="0.2">
      <c r="A10" s="117" t="s">
        <v>41</v>
      </c>
      <c r="B10" s="119">
        <v>95</v>
      </c>
      <c r="C10" s="119">
        <v>138</v>
      </c>
      <c r="D10" s="119">
        <v>170</v>
      </c>
      <c r="E10" s="119">
        <v>168</v>
      </c>
      <c r="F10" s="119">
        <v>90</v>
      </c>
      <c r="G10" s="107"/>
    </row>
    <row r="11" spans="1:7" x14ac:dyDescent="0.2">
      <c r="A11" s="117" t="s">
        <v>174</v>
      </c>
      <c r="B11" s="119"/>
      <c r="C11" s="120">
        <f>+C9/C10</f>
        <v>2028.9855072463768</v>
      </c>
      <c r="D11" s="120">
        <f>+D9/D10</f>
        <v>2294.1176470588234</v>
      </c>
      <c r="E11" s="120">
        <f>+E9/E10</f>
        <v>1964.2857142857142</v>
      </c>
      <c r="F11" s="120">
        <f>+F9/F10</f>
        <v>2000</v>
      </c>
      <c r="G11" s="107"/>
    </row>
    <row r="12" spans="1:7" x14ac:dyDescent="0.2">
      <c r="A12" s="117" t="s">
        <v>175</v>
      </c>
      <c r="B12" s="119" t="s">
        <v>176</v>
      </c>
      <c r="C12" s="119" t="s">
        <v>177</v>
      </c>
      <c r="D12" s="119" t="s">
        <v>177</v>
      </c>
      <c r="E12" s="119" t="s">
        <v>178</v>
      </c>
      <c r="F12" s="119" t="s">
        <v>177</v>
      </c>
      <c r="G12" s="107"/>
    </row>
    <row r="13" spans="1:7" x14ac:dyDescent="0.2">
      <c r="A13" s="117" t="s">
        <v>346</v>
      </c>
      <c r="B13" s="119" t="s">
        <v>347</v>
      </c>
      <c r="C13" s="119" t="s">
        <v>347</v>
      </c>
      <c r="D13" s="119" t="s">
        <v>347</v>
      </c>
      <c r="E13" s="119" t="s">
        <v>347</v>
      </c>
      <c r="F13" s="119" t="s">
        <v>347</v>
      </c>
      <c r="G13" s="107"/>
    </row>
    <row r="14" spans="1:7" x14ac:dyDescent="0.2">
      <c r="A14" s="121" t="s">
        <v>179</v>
      </c>
      <c r="B14" s="119">
        <v>50</v>
      </c>
      <c r="C14" s="119">
        <v>100</v>
      </c>
      <c r="D14" s="119">
        <v>0</v>
      </c>
      <c r="E14" s="119">
        <v>200</v>
      </c>
      <c r="F14" s="119">
        <v>0</v>
      </c>
      <c r="G14" s="107"/>
    </row>
    <row r="15" spans="1:7" x14ac:dyDescent="0.2">
      <c r="A15" s="117" t="s">
        <v>180</v>
      </c>
      <c r="B15" s="119">
        <v>30</v>
      </c>
      <c r="C15" s="119">
        <v>20</v>
      </c>
      <c r="D15" s="119">
        <v>20</v>
      </c>
      <c r="E15" s="119">
        <v>40</v>
      </c>
      <c r="F15" s="119">
        <v>40</v>
      </c>
      <c r="G15" s="107"/>
    </row>
    <row r="16" spans="1:7" x14ac:dyDescent="0.2">
      <c r="A16" s="117" t="s">
        <v>336</v>
      </c>
      <c r="B16" s="119">
        <v>3</v>
      </c>
      <c r="C16" s="119">
        <v>2</v>
      </c>
      <c r="D16" s="119">
        <v>3</v>
      </c>
      <c r="E16" s="119">
        <v>4</v>
      </c>
      <c r="F16" s="119">
        <v>2</v>
      </c>
      <c r="G16" s="107"/>
    </row>
    <row r="17" spans="1:7" x14ac:dyDescent="0.2">
      <c r="A17" s="117" t="s">
        <v>181</v>
      </c>
      <c r="B17" s="122" t="s">
        <v>182</v>
      </c>
      <c r="C17" s="122" t="s">
        <v>182</v>
      </c>
      <c r="D17" s="119" t="s">
        <v>182</v>
      </c>
      <c r="E17" s="119" t="s">
        <v>182</v>
      </c>
      <c r="F17" s="122" t="s">
        <v>183</v>
      </c>
      <c r="G17" s="106"/>
    </row>
    <row r="18" spans="1:7" x14ac:dyDescent="0.2">
      <c r="A18" s="117" t="s">
        <v>184</v>
      </c>
      <c r="B18" s="122" t="s">
        <v>185</v>
      </c>
      <c r="C18" s="122" t="s">
        <v>185</v>
      </c>
      <c r="D18" s="119" t="s">
        <v>186</v>
      </c>
      <c r="E18" s="119" t="s">
        <v>185</v>
      </c>
      <c r="F18" s="119" t="s">
        <v>185</v>
      </c>
      <c r="G18" s="106"/>
    </row>
    <row r="19" spans="1:7" x14ac:dyDescent="0.2">
      <c r="B19" s="109"/>
      <c r="C19" s="109"/>
      <c r="F19" s="109"/>
      <c r="G19" s="104"/>
    </row>
    <row r="20" spans="1:7" x14ac:dyDescent="0.2">
      <c r="A20" s="103" t="s">
        <v>187</v>
      </c>
    </row>
    <row r="21" spans="1:7" x14ac:dyDescent="0.2">
      <c r="A21" s="414" t="s">
        <v>188</v>
      </c>
      <c r="B21" s="417" t="s">
        <v>189</v>
      </c>
      <c r="C21" s="418"/>
      <c r="D21" s="418"/>
      <c r="E21" s="419"/>
      <c r="F21" s="103"/>
    </row>
    <row r="22" spans="1:7" x14ac:dyDescent="0.2">
      <c r="A22" s="414"/>
      <c r="B22" s="114">
        <v>1</v>
      </c>
      <c r="C22" s="114">
        <v>2</v>
      </c>
      <c r="D22" s="114">
        <v>3</v>
      </c>
      <c r="E22" s="114">
        <v>4</v>
      </c>
      <c r="F22" s="103"/>
    </row>
    <row r="23" spans="1:7" x14ac:dyDescent="0.2">
      <c r="A23" s="377" t="s">
        <v>372</v>
      </c>
      <c r="B23" s="114">
        <f>+$B$10-C10</f>
        <v>-43</v>
      </c>
      <c r="C23" s="114">
        <f t="shared" ref="C23:E23" si="0">+$B$10-D10</f>
        <v>-75</v>
      </c>
      <c r="D23" s="114">
        <f t="shared" si="0"/>
        <v>-73</v>
      </c>
      <c r="E23" s="114">
        <f t="shared" si="0"/>
        <v>5</v>
      </c>
      <c r="F23" s="103"/>
    </row>
    <row r="24" spans="1:7" ht="30" x14ac:dyDescent="0.2">
      <c r="A24" s="110" t="s">
        <v>175</v>
      </c>
      <c r="B24" s="111" t="s">
        <v>190</v>
      </c>
      <c r="C24" s="111" t="s">
        <v>190</v>
      </c>
      <c r="D24" s="111" t="s">
        <v>191</v>
      </c>
      <c r="E24" s="111" t="s">
        <v>190</v>
      </c>
      <c r="F24" s="103"/>
    </row>
    <row r="25" spans="1:7" x14ac:dyDescent="0.2">
      <c r="A25" s="110" t="str">
        <f>+A16</f>
        <v>Classe energetica (n. A)</v>
      </c>
      <c r="B25" s="111">
        <f>+$B$16-C16</f>
        <v>1</v>
      </c>
      <c r="C25" s="111">
        <f>+$B$16-D16</f>
        <v>0</v>
      </c>
      <c r="D25" s="111">
        <f>+$B$16-E16</f>
        <v>-1</v>
      </c>
      <c r="E25" s="111">
        <f>+$B$16-F16</f>
        <v>1</v>
      </c>
      <c r="F25" s="103"/>
    </row>
    <row r="26" spans="1:7" x14ac:dyDescent="0.2">
      <c r="A26" s="110" t="str">
        <f>+A17</f>
        <v>Climatizzazione centralizzata</v>
      </c>
      <c r="B26" s="112">
        <v>0</v>
      </c>
      <c r="C26" s="111">
        <v>0</v>
      </c>
      <c r="D26" s="111">
        <v>1</v>
      </c>
      <c r="E26" s="112">
        <v>1</v>
      </c>
      <c r="F26" s="103"/>
    </row>
    <row r="27" spans="1:7" ht="30" x14ac:dyDescent="0.2">
      <c r="A27" s="113" t="s">
        <v>184</v>
      </c>
      <c r="B27" s="114">
        <v>0</v>
      </c>
      <c r="C27" s="111" t="s">
        <v>192</v>
      </c>
      <c r="D27" s="111">
        <v>0</v>
      </c>
      <c r="E27" s="114">
        <v>0</v>
      </c>
      <c r="F27" s="103"/>
    </row>
    <row r="28" spans="1:7" x14ac:dyDescent="0.2">
      <c r="F28" s="103"/>
    </row>
    <row r="29" spans="1:7" x14ac:dyDescent="0.2">
      <c r="A29" s="103" t="s">
        <v>193</v>
      </c>
    </row>
    <row r="30" spans="1:7" x14ac:dyDescent="0.2">
      <c r="A30" s="128" t="s">
        <v>188</v>
      </c>
      <c r="B30" s="130" t="s">
        <v>20</v>
      </c>
      <c r="C30" s="133" t="s">
        <v>107</v>
      </c>
      <c r="D30" s="409" t="s">
        <v>249</v>
      </c>
      <c r="E30" s="411"/>
    </row>
    <row r="31" spans="1:7" x14ac:dyDescent="0.2">
      <c r="A31" s="128" t="s">
        <v>27</v>
      </c>
      <c r="B31" s="383">
        <f>AVERAGE(C11:F11)</f>
        <v>2071.8472171477288</v>
      </c>
      <c r="C31" s="381" t="s">
        <v>195</v>
      </c>
      <c r="D31" s="382" t="s">
        <v>371</v>
      </c>
      <c r="E31" s="380"/>
    </row>
    <row r="32" spans="1:7" x14ac:dyDescent="0.2">
      <c r="A32" s="125" t="s">
        <v>175</v>
      </c>
      <c r="B32" s="133"/>
      <c r="C32" s="133"/>
      <c r="D32" s="203"/>
      <c r="E32" s="204"/>
    </row>
    <row r="33" spans="1:7" x14ac:dyDescent="0.2">
      <c r="A33" s="126" t="s">
        <v>194</v>
      </c>
      <c r="B33" s="135">
        <v>300</v>
      </c>
      <c r="C33" s="136" t="s">
        <v>195</v>
      </c>
      <c r="D33" s="207" t="s">
        <v>246</v>
      </c>
      <c r="E33" s="206"/>
    </row>
    <row r="34" spans="1:7" x14ac:dyDescent="0.2">
      <c r="A34" s="127" t="s">
        <v>196</v>
      </c>
      <c r="B34" s="137">
        <v>300</v>
      </c>
      <c r="C34" s="138" t="s">
        <v>195</v>
      </c>
      <c r="D34" s="208" t="s">
        <v>246</v>
      </c>
      <c r="E34" s="209"/>
      <c r="G34" s="115"/>
    </row>
    <row r="35" spans="1:7" ht="30" x14ac:dyDescent="0.2">
      <c r="A35" s="129" t="s">
        <v>336</v>
      </c>
      <c r="B35" s="139">
        <v>60</v>
      </c>
      <c r="C35" s="111" t="s">
        <v>197</v>
      </c>
      <c r="D35" s="173" t="s">
        <v>247</v>
      </c>
      <c r="E35" s="210"/>
    </row>
    <row r="36" spans="1:7" x14ac:dyDescent="0.2">
      <c r="A36" s="134" t="s">
        <v>181</v>
      </c>
      <c r="B36" s="139">
        <v>100</v>
      </c>
      <c r="C36" s="114" t="s">
        <v>195</v>
      </c>
      <c r="D36" s="211" t="s">
        <v>248</v>
      </c>
      <c r="E36" s="210"/>
    </row>
    <row r="37" spans="1:7" x14ac:dyDescent="0.2">
      <c r="A37" s="126" t="s">
        <v>184</v>
      </c>
      <c r="B37" s="135"/>
      <c r="C37" s="136"/>
      <c r="D37" s="205"/>
      <c r="E37" s="206"/>
    </row>
    <row r="38" spans="1:7" x14ac:dyDescent="0.2">
      <c r="A38" s="127" t="s">
        <v>198</v>
      </c>
      <c r="B38" s="140">
        <v>300</v>
      </c>
      <c r="C38" s="138" t="s">
        <v>195</v>
      </c>
      <c r="D38" s="208" t="s">
        <v>113</v>
      </c>
      <c r="E38" s="209"/>
    </row>
    <row r="39" spans="1:7" x14ac:dyDescent="0.2">
      <c r="A39" s="108"/>
    </row>
    <row r="40" spans="1:7" x14ac:dyDescent="0.2">
      <c r="A40" s="108"/>
    </row>
    <row r="41" spans="1:7" x14ac:dyDescent="0.2">
      <c r="A41" s="108"/>
    </row>
    <row r="43" spans="1:7" x14ac:dyDescent="0.2">
      <c r="A43" s="108" t="s">
        <v>199</v>
      </c>
    </row>
    <row r="44" spans="1:7" x14ac:dyDescent="0.2">
      <c r="A44" s="407" t="s">
        <v>188</v>
      </c>
      <c r="B44" s="409" t="s">
        <v>189</v>
      </c>
      <c r="C44" s="410"/>
      <c r="D44" s="410"/>
      <c r="E44" s="411"/>
    </row>
    <row r="45" spans="1:7" ht="15.75" x14ac:dyDescent="0.25">
      <c r="A45" s="408"/>
      <c r="B45" s="378">
        <v>1</v>
      </c>
      <c r="C45" s="376">
        <v>2</v>
      </c>
      <c r="D45" s="378">
        <v>3</v>
      </c>
      <c r="E45" s="378">
        <v>4</v>
      </c>
      <c r="F45" s="105"/>
      <c r="G45" s="105"/>
    </row>
    <row r="46" spans="1:7" x14ac:dyDescent="0.2">
      <c r="A46" s="386" t="str">
        <f>+A11</f>
        <v>Prezzo unitario</v>
      </c>
      <c r="B46" s="146">
        <f>+C9</f>
        <v>280000</v>
      </c>
      <c r="C46" s="385">
        <f>+D9</f>
        <v>390000</v>
      </c>
      <c r="D46" s="146">
        <f>+E9</f>
        <v>330000</v>
      </c>
      <c r="E46" s="146">
        <f>+F9</f>
        <v>180000</v>
      </c>
      <c r="F46" s="107"/>
      <c r="G46" s="107"/>
    </row>
    <row r="47" spans="1:7" x14ac:dyDescent="0.2">
      <c r="A47" s="384" t="s">
        <v>373</v>
      </c>
      <c r="B47" s="144">
        <f>+$B$31*B23</f>
        <v>-89089.430337352343</v>
      </c>
      <c r="C47" s="384">
        <f>+$B$31*C23</f>
        <v>-155388.54128607965</v>
      </c>
      <c r="D47" s="144">
        <f>+$B$31*D23</f>
        <v>-151244.84685178421</v>
      </c>
      <c r="E47" s="144">
        <f>+$B$31*E23</f>
        <v>10359.236085738645</v>
      </c>
      <c r="F47" s="107"/>
      <c r="G47" s="107"/>
    </row>
    <row r="48" spans="1:7" x14ac:dyDescent="0.2">
      <c r="A48" s="387" t="str">
        <f>+A12</f>
        <v>Finiture</v>
      </c>
      <c r="B48" s="145">
        <f>+B34*B10</f>
        <v>28500</v>
      </c>
      <c r="C48" s="142">
        <f>+B34*B10</f>
        <v>28500</v>
      </c>
      <c r="D48" s="145">
        <f>+(B33+B34)*B10</f>
        <v>57000</v>
      </c>
      <c r="E48" s="145">
        <f>+B34*B10</f>
        <v>28500</v>
      </c>
      <c r="F48" s="107"/>
      <c r="G48" s="107"/>
    </row>
    <row r="49" spans="1:7" x14ac:dyDescent="0.2">
      <c r="A49" s="387" t="str">
        <f>+A16</f>
        <v>Classe energetica (n. A)</v>
      </c>
      <c r="B49" s="145">
        <f>+$B$35*$B$10*B25</f>
        <v>5700</v>
      </c>
      <c r="C49" s="142">
        <f>+$B$35*$B$10*C25</f>
        <v>0</v>
      </c>
      <c r="D49" s="145">
        <f>+$B$35*$B$10*D25</f>
        <v>-5700</v>
      </c>
      <c r="E49" s="145">
        <f>+$B$35*$B$10*E25</f>
        <v>5700</v>
      </c>
      <c r="F49" s="107"/>
      <c r="G49" s="107"/>
    </row>
    <row r="50" spans="1:7" x14ac:dyDescent="0.2">
      <c r="A50" s="387" t="str">
        <f>+A17</f>
        <v>Climatizzazione centralizzata</v>
      </c>
      <c r="B50" s="145">
        <f>+B26*$B$10*$B$35</f>
        <v>0</v>
      </c>
      <c r="C50" s="142">
        <f>+C26*$B$10*$B$35</f>
        <v>0</v>
      </c>
      <c r="D50" s="145">
        <f>+D26*$B$10*$B$35</f>
        <v>5700</v>
      </c>
      <c r="E50" s="145">
        <f>+E26*$B$10*$B$35</f>
        <v>5700</v>
      </c>
      <c r="F50" s="107"/>
      <c r="G50" s="107"/>
    </row>
    <row r="51" spans="1:7" x14ac:dyDescent="0.2">
      <c r="A51" s="387" t="str">
        <f>+A18</f>
        <v>Localizzazione</v>
      </c>
      <c r="B51" s="145">
        <v>0</v>
      </c>
      <c r="C51" s="142">
        <f>-B38*B10</f>
        <v>-28500</v>
      </c>
      <c r="D51" s="145">
        <v>0</v>
      </c>
      <c r="E51" s="145">
        <v>0</v>
      </c>
      <c r="F51" s="107"/>
      <c r="G51" s="107"/>
    </row>
    <row r="52" spans="1:7" x14ac:dyDescent="0.2">
      <c r="A52" s="388" t="s">
        <v>374</v>
      </c>
      <c r="B52" s="148">
        <f>SUM(B46:B51)</f>
        <v>225110.56966264767</v>
      </c>
      <c r="C52" s="147">
        <f t="shared" ref="C52:E52" si="1">SUM(C46:C51)</f>
        <v>234611.45871392032</v>
      </c>
      <c r="D52" s="148">
        <f t="shared" si="1"/>
        <v>235755.15314821579</v>
      </c>
      <c r="E52" s="148">
        <f t="shared" si="1"/>
        <v>230259.23608573864</v>
      </c>
      <c r="F52" s="107"/>
      <c r="G52" s="107"/>
    </row>
    <row r="53" spans="1:7" x14ac:dyDescent="0.2">
      <c r="A53" s="116"/>
    </row>
    <row r="54" spans="1:7" ht="30" x14ac:dyDescent="0.2">
      <c r="A54" s="149"/>
      <c r="B54" s="111" t="s">
        <v>200</v>
      </c>
      <c r="C54" s="124" t="s">
        <v>201</v>
      </c>
    </row>
    <row r="55" spans="1:7" x14ac:dyDescent="0.2">
      <c r="A55" s="141" t="s">
        <v>202</v>
      </c>
      <c r="B55" s="145">
        <f>AVERAGE(B52:E52)</f>
        <v>231434.10440263062</v>
      </c>
      <c r="C55" s="131">
        <f>+B55/$B$10</f>
        <v>2436.1484673961118</v>
      </c>
    </row>
    <row r="56" spans="1:7" x14ac:dyDescent="0.2">
      <c r="A56" s="141" t="s">
        <v>203</v>
      </c>
      <c r="B56" s="145">
        <f>MIN(B52:E52)</f>
        <v>225110.56966264767</v>
      </c>
      <c r="C56" s="131">
        <f t="shared" ref="C56:C57" si="2">+B56/$B$10</f>
        <v>2369.5849438173441</v>
      </c>
    </row>
    <row r="57" spans="1:7" x14ac:dyDescent="0.2">
      <c r="A57" s="141" t="s">
        <v>204</v>
      </c>
      <c r="B57" s="145">
        <f>MAX(B52:E52)</f>
        <v>235755.15314821579</v>
      </c>
      <c r="C57" s="131">
        <f t="shared" si="2"/>
        <v>2481.6331910338504</v>
      </c>
    </row>
    <row r="58" spans="1:7" x14ac:dyDescent="0.2">
      <c r="A58" s="143" t="s">
        <v>205</v>
      </c>
      <c r="B58" s="150">
        <f>+(B57-B56)/B55</f>
        <v>4.5994014205657081E-2</v>
      </c>
      <c r="C58" s="132"/>
    </row>
  </sheetData>
  <mergeCells count="9">
    <mergeCell ref="A44:A45"/>
    <mergeCell ref="B44:E44"/>
    <mergeCell ref="B4:C4"/>
    <mergeCell ref="A7:A8"/>
    <mergeCell ref="B7:B8"/>
    <mergeCell ref="C7:F7"/>
    <mergeCell ref="A21:A22"/>
    <mergeCell ref="B21:E21"/>
    <mergeCell ref="D30:E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6"/>
  <sheetViews>
    <sheetView topLeftCell="A7" workbookViewId="0">
      <selection activeCell="B7" sqref="B7"/>
    </sheetView>
  </sheetViews>
  <sheetFormatPr defaultColWidth="9.140625" defaultRowHeight="14.25" x14ac:dyDescent="0.2"/>
  <cols>
    <col min="1" max="1" width="31.140625" style="212" customWidth="1"/>
    <col min="2" max="2" width="14" style="213" customWidth="1"/>
    <col min="3" max="3" width="47.140625" style="214" customWidth="1"/>
    <col min="4" max="5" width="9.140625" style="212"/>
    <col min="6" max="6" width="21.7109375" style="212" customWidth="1"/>
    <col min="7" max="7" width="17.28515625" style="212" customWidth="1"/>
    <col min="8" max="8" width="13.28515625" style="212" customWidth="1"/>
    <col min="9" max="16384" width="9.140625" style="212"/>
  </cols>
  <sheetData>
    <row r="1" spans="1:8" x14ac:dyDescent="0.2">
      <c r="A1" s="212" t="s">
        <v>250</v>
      </c>
    </row>
    <row r="3" spans="1:8" x14ac:dyDescent="0.2">
      <c r="A3" s="212" t="s">
        <v>251</v>
      </c>
      <c r="F3" s="420" t="s">
        <v>252</v>
      </c>
      <c r="G3" s="420"/>
      <c r="H3" s="420"/>
    </row>
    <row r="4" spans="1:8" x14ac:dyDescent="0.2">
      <c r="A4" s="215" t="s">
        <v>188</v>
      </c>
      <c r="B4" s="216" t="s">
        <v>305</v>
      </c>
      <c r="C4" s="217" t="s">
        <v>253</v>
      </c>
      <c r="F4" s="218"/>
      <c r="G4" s="219"/>
      <c r="H4" s="220" t="s">
        <v>254</v>
      </c>
    </row>
    <row r="5" spans="1:8" x14ac:dyDescent="0.2">
      <c r="A5" s="221" t="s">
        <v>255</v>
      </c>
      <c r="B5" s="222">
        <v>95</v>
      </c>
      <c r="C5" s="223" t="s">
        <v>256</v>
      </c>
      <c r="F5" s="218" t="s">
        <v>7</v>
      </c>
      <c r="G5" s="224"/>
      <c r="H5" s="225"/>
    </row>
    <row r="6" spans="1:8" x14ac:dyDescent="0.2">
      <c r="A6" s="221" t="s">
        <v>257</v>
      </c>
      <c r="B6" s="227">
        <v>9.5</v>
      </c>
      <c r="C6" s="223" t="s">
        <v>306</v>
      </c>
      <c r="F6" s="226" t="s">
        <v>259</v>
      </c>
      <c r="G6" s="213"/>
      <c r="H6" s="263">
        <f>+B7*12</f>
        <v>10830</v>
      </c>
    </row>
    <row r="7" spans="1:8" x14ac:dyDescent="0.2">
      <c r="A7" s="221" t="s">
        <v>260</v>
      </c>
      <c r="B7" s="222">
        <f>+B6*B5</f>
        <v>902.5</v>
      </c>
      <c r="C7" s="223"/>
      <c r="F7" s="226" t="s">
        <v>261</v>
      </c>
      <c r="G7" s="213"/>
      <c r="H7" s="263">
        <f>+B7*6.5*B9</f>
        <v>58.662500000000001</v>
      </c>
    </row>
    <row r="8" spans="1:8" x14ac:dyDescent="0.2">
      <c r="A8" s="221" t="s">
        <v>262</v>
      </c>
      <c r="B8" s="222">
        <f>+B7*3</f>
        <v>2707.5</v>
      </c>
      <c r="C8" s="228" t="s">
        <v>263</v>
      </c>
      <c r="F8" s="226" t="s">
        <v>264</v>
      </c>
      <c r="G8" s="213"/>
      <c r="H8" s="263">
        <f>+B8*(B9-B10)</f>
        <v>24.367500000000003</v>
      </c>
    </row>
    <row r="9" spans="1:8" ht="28.5" x14ac:dyDescent="0.2">
      <c r="A9" s="221" t="s">
        <v>265</v>
      </c>
      <c r="B9" s="229">
        <v>0.01</v>
      </c>
      <c r="C9" s="230" t="s">
        <v>266</v>
      </c>
      <c r="F9" s="231" t="s">
        <v>267</v>
      </c>
      <c r="G9" s="232"/>
      <c r="H9" s="264">
        <f>SUM(H6:H8)</f>
        <v>10913.03</v>
      </c>
    </row>
    <row r="10" spans="1:8" x14ac:dyDescent="0.2">
      <c r="A10" s="221" t="s">
        <v>268</v>
      </c>
      <c r="B10" s="229">
        <v>1E-3</v>
      </c>
      <c r="C10" s="230" t="s">
        <v>266</v>
      </c>
      <c r="F10" s="233"/>
      <c r="G10" s="213"/>
      <c r="H10" s="263"/>
    </row>
    <row r="11" spans="1:8" x14ac:dyDescent="0.2">
      <c r="A11" s="221" t="s">
        <v>269</v>
      </c>
      <c r="B11" s="229">
        <v>0.03</v>
      </c>
      <c r="C11" s="230" t="s">
        <v>270</v>
      </c>
      <c r="F11" s="234" t="s">
        <v>15</v>
      </c>
      <c r="G11" s="224"/>
      <c r="H11" s="265"/>
    </row>
    <row r="12" spans="1:8" x14ac:dyDescent="0.2">
      <c r="A12" s="235" t="s">
        <v>271</v>
      </c>
      <c r="B12" s="229">
        <v>0.02</v>
      </c>
      <c r="C12" s="230" t="s">
        <v>272</v>
      </c>
      <c r="F12" s="236" t="s">
        <v>271</v>
      </c>
      <c r="G12" s="232"/>
      <c r="H12" s="266">
        <f>H6*B12</f>
        <v>216.6</v>
      </c>
    </row>
    <row r="13" spans="1:8" x14ac:dyDescent="0.2">
      <c r="A13" s="221" t="s">
        <v>273</v>
      </c>
      <c r="B13" s="229">
        <v>0.02</v>
      </c>
      <c r="C13" s="230" t="s">
        <v>272</v>
      </c>
      <c r="F13" s="425" t="s">
        <v>274</v>
      </c>
      <c r="G13" s="237" t="s">
        <v>275</v>
      </c>
      <c r="H13" s="267">
        <f>H6*B15</f>
        <v>162.44999999999999</v>
      </c>
    </row>
    <row r="14" spans="1:8" x14ac:dyDescent="0.2">
      <c r="A14" s="221" t="s">
        <v>276</v>
      </c>
      <c r="B14" s="229">
        <v>0.01</v>
      </c>
      <c r="C14" s="230" t="s">
        <v>272</v>
      </c>
      <c r="F14" s="426"/>
      <c r="G14" s="238" t="s">
        <v>277</v>
      </c>
      <c r="H14" s="263">
        <f>H6*B17</f>
        <v>1083</v>
      </c>
    </row>
    <row r="15" spans="1:8" x14ac:dyDescent="0.2">
      <c r="A15" s="221" t="s">
        <v>278</v>
      </c>
      <c r="B15" s="229">
        <v>1.4999999999999999E-2</v>
      </c>
      <c r="C15" s="228" t="s">
        <v>272</v>
      </c>
      <c r="F15" s="427"/>
      <c r="G15" s="239" t="s">
        <v>279</v>
      </c>
      <c r="H15" s="264">
        <f>H6*B16</f>
        <v>108.3</v>
      </c>
    </row>
    <row r="16" spans="1:8" x14ac:dyDescent="0.2">
      <c r="A16" s="221" t="s">
        <v>280</v>
      </c>
      <c r="B16" s="229">
        <v>0.01</v>
      </c>
      <c r="C16" s="230" t="s">
        <v>272</v>
      </c>
      <c r="F16" s="428" t="s">
        <v>281</v>
      </c>
      <c r="G16" s="237" t="s">
        <v>282</v>
      </c>
      <c r="H16" s="267">
        <f>H6*B19</f>
        <v>1083</v>
      </c>
    </row>
    <row r="17" spans="1:8" x14ac:dyDescent="0.2">
      <c r="A17" s="221" t="s">
        <v>283</v>
      </c>
      <c r="B17" s="229">
        <v>0.1</v>
      </c>
      <c r="C17" s="230" t="s">
        <v>272</v>
      </c>
      <c r="F17" s="429"/>
      <c r="G17" s="239" t="s">
        <v>284</v>
      </c>
      <c r="H17" s="264">
        <f>H6*B18</f>
        <v>2274.2999999999997</v>
      </c>
    </row>
    <row r="18" spans="1:8" x14ac:dyDescent="0.2">
      <c r="A18" s="221" t="s">
        <v>285</v>
      </c>
      <c r="B18" s="229">
        <v>0.21</v>
      </c>
      <c r="C18" s="228" t="s">
        <v>286</v>
      </c>
      <c r="F18" s="430" t="s">
        <v>287</v>
      </c>
      <c r="G18" s="240" t="s">
        <v>288</v>
      </c>
      <c r="H18" s="263">
        <f>+H6*B13</f>
        <v>216.6</v>
      </c>
    </row>
    <row r="19" spans="1:8" x14ac:dyDescent="0.2">
      <c r="A19" s="241" t="s">
        <v>289</v>
      </c>
      <c r="B19" s="242">
        <v>0.1</v>
      </c>
      <c r="C19" s="243" t="s">
        <v>272</v>
      </c>
      <c r="F19" s="430"/>
      <c r="G19" s="239" t="s">
        <v>290</v>
      </c>
      <c r="H19" s="263">
        <f>+H6*B14</f>
        <v>108.3</v>
      </c>
    </row>
    <row r="20" spans="1:8" x14ac:dyDescent="0.2">
      <c r="F20" s="244" t="s">
        <v>291</v>
      </c>
      <c r="G20" s="245"/>
      <c r="H20" s="267">
        <f>+B11*(H16+H13+H12+H15)/2</f>
        <v>23.555249999999997</v>
      </c>
    </row>
    <row r="21" spans="1:8" x14ac:dyDescent="0.2">
      <c r="A21" s="420" t="s">
        <v>292</v>
      </c>
      <c r="B21" s="420"/>
      <c r="C21" s="420"/>
      <c r="F21" s="246" t="s">
        <v>293</v>
      </c>
      <c r="G21" s="224"/>
      <c r="H21" s="265">
        <f>SUM(H12:H20)</f>
        <v>5276.1052500000005</v>
      </c>
    </row>
    <row r="22" spans="1:8" x14ac:dyDescent="0.2">
      <c r="A22" s="247"/>
      <c r="B22" s="216" t="s">
        <v>305</v>
      </c>
      <c r="C22" s="248" t="s">
        <v>253</v>
      </c>
      <c r="F22" s="421" t="s">
        <v>295</v>
      </c>
      <c r="G22" s="422"/>
      <c r="H22" s="265">
        <f>+H9-H21</f>
        <v>5636.9247500000001</v>
      </c>
    </row>
    <row r="23" spans="1:8" x14ac:dyDescent="0.2">
      <c r="A23" s="249" t="s">
        <v>294</v>
      </c>
      <c r="B23" s="249">
        <v>9</v>
      </c>
      <c r="C23" s="223" t="s">
        <v>258</v>
      </c>
      <c r="F23" s="423"/>
      <c r="G23" s="424"/>
      <c r="H23" s="262">
        <f>+H22/H6</f>
        <v>0.52049166666666669</v>
      </c>
    </row>
    <row r="24" spans="1:8" x14ac:dyDescent="0.2">
      <c r="A24" s="249" t="s">
        <v>296</v>
      </c>
      <c r="B24" s="249">
        <f>+B23*12</f>
        <v>108</v>
      </c>
      <c r="C24" s="250"/>
    </row>
    <row r="25" spans="1:8" x14ac:dyDescent="0.2">
      <c r="A25" s="249" t="s">
        <v>297</v>
      </c>
      <c r="B25" s="268">
        <v>2300</v>
      </c>
      <c r="C25" s="223" t="s">
        <v>258</v>
      </c>
    </row>
    <row r="26" spans="1:8" x14ac:dyDescent="0.2">
      <c r="A26" s="249" t="s">
        <v>298</v>
      </c>
      <c r="B26" s="251">
        <f>+B24/B25</f>
        <v>4.6956521739130432E-2</v>
      </c>
      <c r="C26" s="250"/>
      <c r="F26" s="252"/>
      <c r="G26" s="213"/>
      <c r="H26" s="253"/>
    </row>
    <row r="27" spans="1:8" x14ac:dyDescent="0.2">
      <c r="A27" s="249" t="s">
        <v>304</v>
      </c>
      <c r="B27" s="254">
        <f>+H23</f>
        <v>0.52049166666666669</v>
      </c>
      <c r="C27" s="255" t="s">
        <v>299</v>
      </c>
      <c r="F27" s="252"/>
      <c r="G27" s="213"/>
      <c r="H27" s="253"/>
    </row>
    <row r="28" spans="1:8" x14ac:dyDescent="0.2">
      <c r="A28" s="256" t="s">
        <v>300</v>
      </c>
      <c r="B28" s="257">
        <f>+B26*B27</f>
        <v>2.4440478260869564E-2</v>
      </c>
      <c r="C28" s="258"/>
      <c r="F28" s="252"/>
      <c r="G28" s="213"/>
      <c r="H28" s="253"/>
    </row>
    <row r="32" spans="1:8" x14ac:dyDescent="0.2">
      <c r="A32" s="252" t="s">
        <v>301</v>
      </c>
      <c r="C32" s="253"/>
    </row>
    <row r="33" spans="1:3" x14ac:dyDescent="0.2">
      <c r="A33" s="246" t="s">
        <v>295</v>
      </c>
      <c r="B33" s="311">
        <f>+H22</f>
        <v>5636.9247500000001</v>
      </c>
      <c r="C33" s="212"/>
    </row>
    <row r="34" spans="1:3" x14ac:dyDescent="0.2">
      <c r="A34" s="256" t="s">
        <v>300</v>
      </c>
      <c r="B34" s="312">
        <f>+B28</f>
        <v>2.4440478260869564E-2</v>
      </c>
      <c r="C34" s="212"/>
    </row>
    <row r="35" spans="1:3" x14ac:dyDescent="0.2">
      <c r="A35" s="246" t="s">
        <v>302</v>
      </c>
      <c r="B35" s="259">
        <f>+B33/B34</f>
        <v>230638.88888888891</v>
      </c>
      <c r="C35" s="212"/>
    </row>
    <row r="36" spans="1:3" x14ac:dyDescent="0.2">
      <c r="A36" s="260" t="s">
        <v>303</v>
      </c>
      <c r="B36" s="261">
        <f>+B35/B5</f>
        <v>2427.7777777777778</v>
      </c>
    </row>
  </sheetData>
  <mergeCells count="6">
    <mergeCell ref="A21:C21"/>
    <mergeCell ref="F22:G23"/>
    <mergeCell ref="F3:H3"/>
    <mergeCell ref="F13:F15"/>
    <mergeCell ref="F16:F17"/>
    <mergeCell ref="F18:F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6"/>
  <sheetViews>
    <sheetView workbookViewId="0">
      <selection activeCell="B3" sqref="B3:C6"/>
    </sheetView>
  </sheetViews>
  <sheetFormatPr defaultRowHeight="15" x14ac:dyDescent="0.25"/>
  <cols>
    <col min="1" max="1" width="6.85546875" customWidth="1"/>
    <col min="2" max="2" width="20.140625" customWidth="1"/>
    <col min="3" max="3" width="13.28515625" bestFit="1" customWidth="1"/>
  </cols>
  <sheetData>
    <row r="1" spans="1:3" x14ac:dyDescent="0.25">
      <c r="A1" t="s">
        <v>76</v>
      </c>
    </row>
    <row r="3" spans="1:3" x14ac:dyDescent="0.25">
      <c r="B3" s="45"/>
      <c r="C3" s="172" t="s">
        <v>305</v>
      </c>
    </row>
    <row r="4" spans="1:3" x14ac:dyDescent="0.25">
      <c r="A4" s="1" t="s">
        <v>13</v>
      </c>
      <c r="B4" s="42" t="s">
        <v>54</v>
      </c>
      <c r="C4" s="83">
        <f>+'RT - Ricavi totali'!D3</f>
        <v>3171378.074856258</v>
      </c>
    </row>
    <row r="5" spans="1:3" x14ac:dyDescent="0.25">
      <c r="B5" s="42" t="s">
        <v>31</v>
      </c>
      <c r="C5" s="269">
        <v>0.03</v>
      </c>
    </row>
    <row r="6" spans="1:3" x14ac:dyDescent="0.25">
      <c r="B6" s="43" t="s">
        <v>55</v>
      </c>
      <c r="C6" s="270">
        <f>+C5*C4</f>
        <v>95141.342245687731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7"/>
  <sheetViews>
    <sheetView workbookViewId="0">
      <selection activeCell="F17" sqref="F17"/>
    </sheetView>
  </sheetViews>
  <sheetFormatPr defaultRowHeight="15" x14ac:dyDescent="0.25"/>
  <cols>
    <col min="1" max="1" width="24.28515625" customWidth="1"/>
    <col min="2" max="2" width="12" bestFit="1" customWidth="1"/>
    <col min="3" max="3" width="13.42578125" bestFit="1" customWidth="1"/>
    <col min="4" max="4" width="11.85546875" bestFit="1" customWidth="1"/>
    <col min="5" max="6" width="12.140625" bestFit="1" customWidth="1"/>
    <col min="7" max="7" width="11.5703125" customWidth="1"/>
  </cols>
  <sheetData>
    <row r="1" spans="1:8" x14ac:dyDescent="0.25">
      <c r="A1" t="s">
        <v>77</v>
      </c>
    </row>
    <row r="3" spans="1:8" x14ac:dyDescent="0.25">
      <c r="A3" s="431"/>
      <c r="B3" s="402" t="s">
        <v>339</v>
      </c>
      <c r="C3" s="403"/>
      <c r="D3" s="403"/>
      <c r="E3" s="403"/>
      <c r="F3" s="403"/>
      <c r="G3" s="431" t="s">
        <v>6</v>
      </c>
    </row>
    <row r="4" spans="1:8" x14ac:dyDescent="0.25">
      <c r="A4" s="433"/>
      <c r="B4" s="337">
        <v>0</v>
      </c>
      <c r="C4" s="338">
        <v>1</v>
      </c>
      <c r="D4" s="336">
        <v>2</v>
      </c>
      <c r="E4" s="338">
        <v>3</v>
      </c>
      <c r="F4" s="336">
        <v>4</v>
      </c>
      <c r="G4" s="432"/>
    </row>
    <row r="5" spans="1:8" x14ac:dyDescent="0.25">
      <c r="A5" s="320" t="s">
        <v>56</v>
      </c>
      <c r="B5" s="324">
        <f>+'Flusso di cassa'!C18</f>
        <v>-283688.70760387427</v>
      </c>
      <c r="C5" s="68">
        <f>+'Flusso di cassa'!D18</f>
        <v>-58128.563333333332</v>
      </c>
      <c r="D5" s="324">
        <f>+'Flusso di cassa'!E18</f>
        <v>-703538.23387735104</v>
      </c>
      <c r="E5" s="68">
        <f>+'Flusso di cassa'!F18</f>
        <v>467889.37636219501</v>
      </c>
      <c r="F5" s="340">
        <f>+'Flusso di cassa'!G18</f>
        <v>1234797.2706913012</v>
      </c>
      <c r="G5" s="321">
        <f>SUM(B5:F5)</f>
        <v>657331.14223893755</v>
      </c>
      <c r="H5" s="17"/>
    </row>
    <row r="6" spans="1:8" x14ac:dyDescent="0.25">
      <c r="A6" s="320" t="s">
        <v>92</v>
      </c>
      <c r="B6" s="324">
        <f>+B5</f>
        <v>-283688.70760387427</v>
      </c>
      <c r="C6" s="68">
        <f>+B6+C5+B8</f>
        <v>-346923.66767407738</v>
      </c>
      <c r="D6" s="324">
        <f t="shared" ref="D6:F6" si="0">+C6+D5+C8</f>
        <v>-1056706.527569562</v>
      </c>
      <c r="E6" s="68">
        <f t="shared" si="0"/>
        <v>-607837.86870361911</v>
      </c>
      <c r="F6" s="324">
        <f t="shared" si="0"/>
        <v>616018.32035101694</v>
      </c>
      <c r="G6" s="68"/>
      <c r="H6" s="17"/>
    </row>
    <row r="7" spans="1:8" x14ac:dyDescent="0.25">
      <c r="A7" s="48"/>
      <c r="B7" s="96">
        <f>+B6*'Fiscalità e Finanza'!$B$6*'Fiscalità e Finanza'!$B$7</f>
        <v>-5106.3967368697367</v>
      </c>
      <c r="C7" s="96">
        <f>+C6*'Fiscalità e Finanza'!$B$6*'Fiscalità e Finanza'!$B$7</f>
        <v>-6244.6260181333928</v>
      </c>
      <c r="D7" s="96">
        <f>+D6*'Fiscalità e Finanza'!$B$6*'Fiscalità e Finanza'!$B$7</f>
        <v>-19020.717496252117</v>
      </c>
      <c r="E7" s="96">
        <f>+E6*'Fiscalità e Finanza'!$B$6*'Fiscalità e Finanza'!$B$7</f>
        <v>-10941.081636665145</v>
      </c>
      <c r="F7" s="96">
        <f>+F6*'Fiscalità e Finanza'!$B$6*'Fiscalità e Finanza'!$B$7</f>
        <v>11088.329766318304</v>
      </c>
      <c r="G7" s="85"/>
    </row>
    <row r="8" spans="1:8" x14ac:dyDescent="0.25">
      <c r="A8" s="49" t="s">
        <v>61</v>
      </c>
      <c r="B8" s="317">
        <f>IF(B6&lt;0,B7,0)</f>
        <v>-5106.3967368697367</v>
      </c>
      <c r="C8" s="72">
        <f t="shared" ref="C8:F8" si="1">IF(C6&lt;0,C7,0)</f>
        <v>-6244.6260181333928</v>
      </c>
      <c r="D8" s="317">
        <f t="shared" si="1"/>
        <v>-19020.717496252117</v>
      </c>
      <c r="E8" s="72">
        <f t="shared" si="1"/>
        <v>-10941.081636665145</v>
      </c>
      <c r="F8" s="317">
        <f t="shared" si="1"/>
        <v>0</v>
      </c>
      <c r="G8" s="81">
        <f>SUM(B8:F8)</f>
        <v>-41312.821887920392</v>
      </c>
      <c r="H8" s="17"/>
    </row>
    <row r="9" spans="1:8" x14ac:dyDescent="0.25">
      <c r="A9" s="48" t="s">
        <v>93</v>
      </c>
      <c r="B9" s="96">
        <f>IF(B6&lt;0,B6,B9+B10)</f>
        <v>-283688.70760387427</v>
      </c>
      <c r="C9" s="321">
        <f>IF(C6&lt;0,C6,+B9+C5+B11)</f>
        <v>-346923.66767407738</v>
      </c>
      <c r="D9" s="96">
        <f>IF(D6&lt;0,D6,+C9+D5+C11)</f>
        <v>-1056706.527569562</v>
      </c>
      <c r="E9" s="321">
        <f>IF(E6&lt;0,E6,+D9+E5+D11)</f>
        <v>-607837.86870361911</v>
      </c>
      <c r="F9" s="96">
        <f>IF(F6&lt;0,F6,+E9+F5+E11)</f>
        <v>626959.4019876821</v>
      </c>
      <c r="G9" s="48"/>
    </row>
    <row r="10" spans="1:8" x14ac:dyDescent="0.25">
      <c r="A10" s="48"/>
      <c r="B10" s="96">
        <f>+B9*'Fiscalità e Finanza'!$B$8</f>
        <v>-1418.4435380193713</v>
      </c>
      <c r="C10" s="96">
        <f>+C9*'Fiscalità e Finanza'!$B$8</f>
        <v>-1734.6183383703869</v>
      </c>
      <c r="D10" s="96">
        <f>+D9*'Fiscalità e Finanza'!$B$8</f>
        <v>-5283.5326378478103</v>
      </c>
      <c r="E10" s="96">
        <f>+E9*'Fiscalità e Finanza'!$B$8</f>
        <v>-3039.1893435180955</v>
      </c>
      <c r="F10" s="96">
        <f>+F9*'Fiscalità e Finanza'!$B$8</f>
        <v>3134.7970099384106</v>
      </c>
      <c r="G10" s="48"/>
    </row>
    <row r="11" spans="1:8" x14ac:dyDescent="0.25">
      <c r="A11" s="49" t="s">
        <v>208</v>
      </c>
      <c r="B11" s="317">
        <f>IF(B9&gt;0,B10,0)</f>
        <v>0</v>
      </c>
      <c r="C11" s="72">
        <f t="shared" ref="C11:F11" si="2">IF(C9&gt;0,C10,0)</f>
        <v>0</v>
      </c>
      <c r="D11" s="317">
        <f t="shared" si="2"/>
        <v>0</v>
      </c>
      <c r="E11" s="72">
        <f t="shared" si="2"/>
        <v>0</v>
      </c>
      <c r="F11" s="317">
        <f t="shared" si="2"/>
        <v>3134.7970099384106</v>
      </c>
      <c r="G11" s="81">
        <f>SUM(B11:F11)</f>
        <v>3134.7970099384106</v>
      </c>
    </row>
    <row r="12" spans="1:8" x14ac:dyDescent="0.25">
      <c r="A12" s="49" t="s">
        <v>90</v>
      </c>
      <c r="B12" s="317">
        <f>+B8+B11</f>
        <v>-5106.3967368697367</v>
      </c>
      <c r="C12" s="72">
        <f>+C8+C11</f>
        <v>-6244.6260181333928</v>
      </c>
      <c r="D12" s="317">
        <f>+D8+D11</f>
        <v>-19020.717496252117</v>
      </c>
      <c r="E12" s="72">
        <f>+E8+E11</f>
        <v>-10941.081636665145</v>
      </c>
      <c r="F12" s="317">
        <f>+F8+F11</f>
        <v>3134.7970099384106</v>
      </c>
      <c r="G12" s="81">
        <f>SUM(B12:F12)</f>
        <v>-38178.024877981981</v>
      </c>
    </row>
    <row r="14" spans="1:8" x14ac:dyDescent="0.25">
      <c r="B14">
        <f t="shared" ref="B14:F14" si="3">+B4</f>
        <v>0</v>
      </c>
      <c r="C14">
        <f t="shared" si="3"/>
        <v>1</v>
      </c>
      <c r="D14">
        <f t="shared" si="3"/>
        <v>2</v>
      </c>
      <c r="E14">
        <f t="shared" si="3"/>
        <v>3</v>
      </c>
      <c r="F14">
        <f t="shared" si="3"/>
        <v>4</v>
      </c>
    </row>
    <row r="15" spans="1:8" x14ac:dyDescent="0.25">
      <c r="A15" t="s">
        <v>342</v>
      </c>
      <c r="B15" s="17">
        <f>+B5+B12</f>
        <v>-288795.10434074403</v>
      </c>
      <c r="C15" s="17">
        <f t="shared" ref="C15:F15" si="4">+C5+C12</f>
        <v>-64373.189351466724</v>
      </c>
      <c r="D15" s="17">
        <f t="shared" si="4"/>
        <v>-722558.95137360319</v>
      </c>
      <c r="E15" s="17">
        <f t="shared" si="4"/>
        <v>456948.29472552985</v>
      </c>
      <c r="F15" s="17">
        <f t="shared" si="4"/>
        <v>1237932.0677012396</v>
      </c>
      <c r="G15" s="17">
        <f>SUM(B15:F15)</f>
        <v>619153.11736095557</v>
      </c>
    </row>
    <row r="16" spans="1:8" x14ac:dyDescent="0.25">
      <c r="A16" t="s">
        <v>343</v>
      </c>
      <c r="B16" s="17">
        <f>SUM(B15:B15)</f>
        <v>-288795.10434074403</v>
      </c>
      <c r="C16" s="17">
        <f>SUM(B15:C15)</f>
        <v>-353168.29369221075</v>
      </c>
      <c r="D16" s="17">
        <f>SUM(B15:D15)</f>
        <v>-1075727.2450658139</v>
      </c>
      <c r="E16" s="17">
        <f>SUM(B15:E15)</f>
        <v>-618778.95034028403</v>
      </c>
      <c r="F16" s="17">
        <f>SUM(B15:F15)</f>
        <v>619153.11736095557</v>
      </c>
    </row>
    <row r="17" spans="2:6" x14ac:dyDescent="0.25">
      <c r="B17" s="17"/>
      <c r="C17" s="17"/>
      <c r="D17" s="17"/>
      <c r="E17" s="17"/>
      <c r="F17" s="17"/>
    </row>
  </sheetData>
  <mergeCells count="3">
    <mergeCell ref="B3:F3"/>
    <mergeCell ref="G3:G4"/>
    <mergeCell ref="A3:A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"/>
  <sheetViews>
    <sheetView workbookViewId="0">
      <selection activeCell="A3" sqref="A3:F8"/>
    </sheetView>
  </sheetViews>
  <sheetFormatPr defaultRowHeight="15" x14ac:dyDescent="0.25"/>
  <cols>
    <col min="1" max="1" width="24.28515625" customWidth="1"/>
    <col min="2" max="2" width="12" bestFit="1" customWidth="1"/>
    <col min="3" max="3" width="13.42578125" bestFit="1" customWidth="1"/>
    <col min="4" max="4" width="11.85546875" bestFit="1" customWidth="1"/>
    <col min="5" max="6" width="12.140625" bestFit="1" customWidth="1"/>
    <col min="7" max="7" width="11.5703125" customWidth="1"/>
  </cols>
  <sheetData>
    <row r="1" spans="1:7" x14ac:dyDescent="0.25">
      <c r="A1" t="s">
        <v>62</v>
      </c>
    </row>
    <row r="3" spans="1:7" x14ac:dyDescent="0.25">
      <c r="A3" s="431"/>
      <c r="B3" s="402" t="s">
        <v>339</v>
      </c>
      <c r="C3" s="403"/>
      <c r="D3" s="403"/>
      <c r="E3" s="403"/>
      <c r="F3" s="404"/>
      <c r="G3" s="1"/>
    </row>
    <row r="4" spans="1:7" x14ac:dyDescent="0.25">
      <c r="A4" s="432"/>
      <c r="B4" s="308">
        <v>0</v>
      </c>
      <c r="C4" s="307">
        <v>1</v>
      </c>
      <c r="D4" s="309">
        <v>2</v>
      </c>
      <c r="E4" s="307">
        <v>3</v>
      </c>
      <c r="F4" s="310">
        <v>4</v>
      </c>
      <c r="G4" s="1"/>
    </row>
    <row r="5" spans="1:7" x14ac:dyDescent="0.25">
      <c r="A5" s="48" t="s">
        <v>340</v>
      </c>
      <c r="B5" s="96">
        <f>+'I - Interessi'!B16</f>
        <v>-288795.10434074403</v>
      </c>
      <c r="C5" s="321">
        <f>+'I - Interessi'!C16</f>
        <v>-353168.29369221075</v>
      </c>
      <c r="D5" s="96">
        <f>+'I - Interessi'!D16</f>
        <v>-1075727.2450658139</v>
      </c>
      <c r="E5" s="321">
        <f>+'I - Interessi'!E16</f>
        <v>-618778.95034028403</v>
      </c>
      <c r="F5" s="95">
        <f>+'I - Interessi'!F16</f>
        <v>619153.11736095557</v>
      </c>
      <c r="G5" s="16"/>
    </row>
    <row r="6" spans="1:7" x14ac:dyDescent="0.25">
      <c r="A6" s="48"/>
      <c r="B6" s="96">
        <f>IF(B5&gt;0,B5,0)</f>
        <v>0</v>
      </c>
      <c r="C6" s="321">
        <f t="shared" ref="C6:F6" si="0">IF(C5&gt;0,C5,0)</f>
        <v>0</v>
      </c>
      <c r="D6" s="96">
        <f t="shared" si="0"/>
        <v>0</v>
      </c>
      <c r="E6" s="321">
        <f t="shared" si="0"/>
        <v>0</v>
      </c>
      <c r="F6" s="95">
        <f t="shared" si="0"/>
        <v>619153.11736095557</v>
      </c>
      <c r="G6" s="16"/>
    </row>
    <row r="7" spans="1:7" x14ac:dyDescent="0.25">
      <c r="A7" s="48" t="s">
        <v>95</v>
      </c>
      <c r="B7" s="96">
        <f>+B6</f>
        <v>0</v>
      </c>
      <c r="C7" s="321">
        <f>+C6-B6</f>
        <v>0</v>
      </c>
      <c r="D7" s="96">
        <f t="shared" ref="D7:F7" si="1">+D6-C6</f>
        <v>0</v>
      </c>
      <c r="E7" s="321">
        <f t="shared" si="1"/>
        <v>0</v>
      </c>
      <c r="F7" s="95">
        <f t="shared" si="1"/>
        <v>619153.11736095557</v>
      </c>
      <c r="G7" s="16"/>
    </row>
    <row r="8" spans="1:7" x14ac:dyDescent="0.25">
      <c r="A8" s="8" t="s">
        <v>10</v>
      </c>
      <c r="B8" s="339">
        <f>+B7*('Fiscalità e Finanza'!$B$12+'Fiscalità e Finanza'!$B$13)</f>
        <v>0</v>
      </c>
      <c r="C8" s="339">
        <f>+C7*('Fiscalità e Finanza'!$B$12+'Fiscalità e Finanza'!$B$13)</f>
        <v>0</v>
      </c>
      <c r="D8" s="339">
        <f>+D7*('Fiscalità e Finanza'!$B$12+'Fiscalità e Finanza'!$B$13)</f>
        <v>0</v>
      </c>
      <c r="E8" s="339">
        <f>+E7*('Fiscalità e Finanza'!$B$12+'Fiscalità e Finanza'!$B$13)</f>
        <v>0</v>
      </c>
      <c r="F8" s="339">
        <f>+F7*('Fiscalità e Finanza'!$B$12+'Fiscalità e Finanza'!$B$13)</f>
        <v>172743.71974370658</v>
      </c>
      <c r="G8" s="17"/>
    </row>
    <row r="9" spans="1:7" x14ac:dyDescent="0.25">
      <c r="B9" s="16"/>
      <c r="C9" s="16"/>
      <c r="D9" s="16"/>
      <c r="E9" s="16"/>
      <c r="F9" s="16"/>
      <c r="G9" s="17"/>
    </row>
    <row r="10" spans="1:7" x14ac:dyDescent="0.25">
      <c r="B10" s="16"/>
      <c r="C10" s="16"/>
      <c r="D10" s="16"/>
      <c r="E10" s="16"/>
      <c r="F10" s="16"/>
      <c r="G10" s="17"/>
    </row>
    <row r="11" spans="1:7" x14ac:dyDescent="0.25">
      <c r="B11" s="16"/>
      <c r="C11" s="16"/>
      <c r="D11" s="16"/>
      <c r="E11" s="16"/>
      <c r="F11" s="16"/>
      <c r="G11" s="17"/>
    </row>
    <row r="12" spans="1:7" x14ac:dyDescent="0.25">
      <c r="B12" s="16"/>
      <c r="C12" s="16"/>
      <c r="D12" s="16"/>
      <c r="E12" s="16"/>
      <c r="F12" s="16"/>
      <c r="G12" s="17"/>
    </row>
  </sheetData>
  <mergeCells count="2">
    <mergeCell ref="B3:F3"/>
    <mergeCell ref="A3:A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32"/>
  <sheetViews>
    <sheetView tabSelected="1" topLeftCell="A13" zoomScale="130" zoomScaleNormal="130" workbookViewId="0">
      <selection activeCell="K21" sqref="K21"/>
    </sheetView>
  </sheetViews>
  <sheetFormatPr defaultRowHeight="15" x14ac:dyDescent="0.25"/>
  <cols>
    <col min="1" max="1" width="5.85546875" customWidth="1"/>
    <col min="2" max="2" width="27.5703125" customWidth="1"/>
    <col min="3" max="3" width="13.5703125" bestFit="1" customWidth="1"/>
    <col min="4" max="4" width="12.42578125" bestFit="1" customWidth="1"/>
    <col min="5" max="5" width="12.28515625" bestFit="1" customWidth="1"/>
    <col min="6" max="6" width="12.42578125" bestFit="1" customWidth="1"/>
    <col min="7" max="7" width="12.42578125" customWidth="1"/>
    <col min="8" max="8" width="14.7109375" customWidth="1"/>
  </cols>
  <sheetData>
    <row r="2" spans="1:8" x14ac:dyDescent="0.25">
      <c r="A2" s="434"/>
      <c r="B2" s="435"/>
      <c r="C2" s="402" t="s">
        <v>339</v>
      </c>
      <c r="D2" s="403"/>
      <c r="E2" s="403"/>
      <c r="F2" s="403"/>
      <c r="G2" s="403"/>
      <c r="H2" s="438" t="s">
        <v>6</v>
      </c>
    </row>
    <row r="3" spans="1:8" x14ac:dyDescent="0.25">
      <c r="A3" s="436"/>
      <c r="B3" s="441"/>
      <c r="C3" s="334">
        <v>0</v>
      </c>
      <c r="D3" s="307">
        <v>1</v>
      </c>
      <c r="E3" s="335">
        <v>2</v>
      </c>
      <c r="F3" s="307">
        <v>3</v>
      </c>
      <c r="G3" s="335">
        <v>4</v>
      </c>
      <c r="H3" s="440"/>
    </row>
    <row r="4" spans="1:8" x14ac:dyDescent="0.25">
      <c r="A4" s="331" t="s">
        <v>338</v>
      </c>
      <c r="B4" s="332"/>
      <c r="C4" s="47"/>
      <c r="D4" s="320"/>
      <c r="E4" s="47"/>
      <c r="F4" s="320"/>
      <c r="G4" s="47"/>
      <c r="H4" s="333"/>
    </row>
    <row r="5" spans="1:8" x14ac:dyDescent="0.25">
      <c r="A5" s="67" t="s">
        <v>78</v>
      </c>
      <c r="B5" s="323" t="s">
        <v>11</v>
      </c>
      <c r="C5" s="324">
        <f>+'Ca - Costo area'!$B$12*'Distribuzione Costi&amp;Ricavi'!C4</f>
        <v>283688.70760387427</v>
      </c>
      <c r="D5" s="68">
        <f>+'Ca - Costo area'!$B$12*'Distribuzione Costi&amp;Ricavi'!D4</f>
        <v>0</v>
      </c>
      <c r="E5" s="324">
        <f>+'Ca - Costo area'!$B$12*'Distribuzione Costi&amp;Ricavi'!E4</f>
        <v>0</v>
      </c>
      <c r="F5" s="68">
        <f>+'Ca - Costo area'!$B$12*'Distribuzione Costi&amp;Ricavi'!F4</f>
        <v>0</v>
      </c>
      <c r="G5" s="324">
        <f>+'Ca - Costo area'!$B$12*'Distribuzione Costi&amp;Ricavi'!G4</f>
        <v>0</v>
      </c>
      <c r="H5" s="68">
        <f t="shared" ref="H5:H15" si="0">SUM(C5:G5)</f>
        <v>283688.70760387427</v>
      </c>
    </row>
    <row r="6" spans="1:8" x14ac:dyDescent="0.25">
      <c r="A6" s="42" t="s">
        <v>79</v>
      </c>
      <c r="B6" s="186" t="s">
        <v>18</v>
      </c>
      <c r="C6" s="96">
        <f>+'On - Oneri concessori'!$B$17*'Distribuzione Costi&amp;Ricavi'!C5</f>
        <v>0</v>
      </c>
      <c r="D6" s="321">
        <f>+'On - Oneri concessori'!$B$17*'Distribuzione Costi&amp;Ricavi'!D5</f>
        <v>35386.16333333333</v>
      </c>
      <c r="E6" s="96">
        <f>+'On - Oneri concessori'!$B$17*'Distribuzione Costi&amp;Ricavi'!E5</f>
        <v>35386.16333333333</v>
      </c>
      <c r="F6" s="321">
        <f>+'On - Oneri concessori'!$B$17*'Distribuzione Costi&amp;Ricavi'!F5</f>
        <v>0</v>
      </c>
      <c r="G6" s="96">
        <f>+'On - Oneri concessori'!$B$17*'Distribuzione Costi&amp;Ricavi'!G5</f>
        <v>0</v>
      </c>
      <c r="H6" s="321">
        <f t="shared" si="0"/>
        <v>70772.32666666666</v>
      </c>
    </row>
    <row r="7" spans="1:8" x14ac:dyDescent="0.25">
      <c r="A7" s="42" t="s">
        <v>80</v>
      </c>
      <c r="B7" s="186" t="s">
        <v>1</v>
      </c>
      <c r="C7" s="96">
        <f t="shared" ref="C7:G7" si="1">SUM(C8:C11)</f>
        <v>0</v>
      </c>
      <c r="D7" s="321">
        <f t="shared" si="1"/>
        <v>22080</v>
      </c>
      <c r="E7" s="96">
        <f t="shared" si="1"/>
        <v>1173578.8572293259</v>
      </c>
      <c r="F7" s="321">
        <f t="shared" si="1"/>
        <v>412831.54289173032</v>
      </c>
      <c r="G7" s="96">
        <f t="shared" si="1"/>
        <v>275221.02859448688</v>
      </c>
      <c r="H7" s="321">
        <f t="shared" si="0"/>
        <v>1883711.4287155431</v>
      </c>
    </row>
    <row r="8" spans="1:8" x14ac:dyDescent="0.25">
      <c r="A8" s="313" t="s">
        <v>81</v>
      </c>
      <c r="B8" s="319" t="s">
        <v>19</v>
      </c>
      <c r="C8" s="314">
        <f>+'Cc - Costo costruzione'!$D$4*'Distribuzione Costi&amp;Ricavi'!C7</f>
        <v>0</v>
      </c>
      <c r="D8" s="322">
        <f>+'Cc - Costo costruzione'!$D$4*'Distribuzione Costi&amp;Ricavi'!D7</f>
        <v>22080</v>
      </c>
      <c r="E8" s="314">
        <f>+'Cc - Costo costruzione'!$D$4*'Distribuzione Costi&amp;Ricavi'!E7</f>
        <v>0</v>
      </c>
      <c r="F8" s="322">
        <f>+'Cc - Costo costruzione'!$D$4*'Distribuzione Costi&amp;Ricavi'!F7</f>
        <v>0</v>
      </c>
      <c r="G8" s="314">
        <f>+'Cc - Costo costruzione'!$D$4*'Distribuzione Costi&amp;Ricavi'!G7</f>
        <v>0</v>
      </c>
      <c r="H8" s="322">
        <f t="shared" si="0"/>
        <v>22080</v>
      </c>
    </row>
    <row r="9" spans="1:8" x14ac:dyDescent="0.25">
      <c r="A9" s="313" t="s">
        <v>82</v>
      </c>
      <c r="B9" s="319" t="s">
        <v>12</v>
      </c>
      <c r="C9" s="314">
        <f>+'Cc - Costo costruzione'!$D$5*'Distribuzione Costi&amp;Ricavi'!C8</f>
        <v>0</v>
      </c>
      <c r="D9" s="322">
        <f>+'Cc - Costo costruzione'!$D$5*'Distribuzione Costi&amp;Ricavi'!D8</f>
        <v>0</v>
      </c>
      <c r="E9" s="314">
        <f>+'Cc - Costo costruzione'!$D$5*'Distribuzione Costi&amp;Ricavi'!E8</f>
        <v>141500</v>
      </c>
      <c r="F9" s="322">
        <f>+'Cc - Costo costruzione'!$D$5*'Distribuzione Costi&amp;Ricavi'!F8</f>
        <v>0</v>
      </c>
      <c r="G9" s="314">
        <f>+'Cc - Costo costruzione'!$D$5*'Distribuzione Costi&amp;Ricavi'!G8</f>
        <v>0</v>
      </c>
      <c r="H9" s="322">
        <f t="shared" si="0"/>
        <v>141500</v>
      </c>
    </row>
    <row r="10" spans="1:8" x14ac:dyDescent="0.25">
      <c r="A10" s="313" t="s">
        <v>83</v>
      </c>
      <c r="B10" s="319" t="s">
        <v>2</v>
      </c>
      <c r="C10" s="314">
        <f>+'Cc - Costo costruzione'!$D$6*'Distribuzione Costi&amp;Ricavi'!C9</f>
        <v>0</v>
      </c>
      <c r="D10" s="322">
        <f>+'Cc - Costo costruzione'!$D$6*'Distribuzione Costi&amp;Ricavi'!D9</f>
        <v>0</v>
      </c>
      <c r="E10" s="314">
        <f>+'Cc - Costo costruzione'!$D$6*'Distribuzione Costi&amp;Ricavi'!E9</f>
        <v>688052.5714862172</v>
      </c>
      <c r="F10" s="322">
        <f>+'Cc - Costo costruzione'!$D$6*'Distribuzione Costi&amp;Ricavi'!F9</f>
        <v>412831.54289173032</v>
      </c>
      <c r="G10" s="314">
        <f>+'Cc - Costo costruzione'!$D$6*'Distribuzione Costi&amp;Ricavi'!G9</f>
        <v>275221.02859448688</v>
      </c>
      <c r="H10" s="322">
        <f t="shared" si="0"/>
        <v>1376105.1429724344</v>
      </c>
    </row>
    <row r="11" spans="1:8" x14ac:dyDescent="0.25">
      <c r="A11" s="313" t="s">
        <v>84</v>
      </c>
      <c r="B11" s="319" t="s">
        <v>3</v>
      </c>
      <c r="C11" s="314">
        <f>+'Cc - Costo costruzione'!$D$7*'Distribuzione Costi&amp;Ricavi'!C10</f>
        <v>0</v>
      </c>
      <c r="D11" s="322">
        <f>+'Cc - Costo costruzione'!$D$7*'Distribuzione Costi&amp;Ricavi'!D10</f>
        <v>0</v>
      </c>
      <c r="E11" s="314">
        <f>+'Cc - Costo costruzione'!$D$7*'Distribuzione Costi&amp;Ricavi'!E10</f>
        <v>344026.2857431086</v>
      </c>
      <c r="F11" s="322">
        <f>+'Cc - Costo costruzione'!$D$7*'Distribuzione Costi&amp;Ricavi'!F10</f>
        <v>0</v>
      </c>
      <c r="G11" s="314">
        <f>+'Cc - Costo costruzione'!$D$7*'Distribuzione Costi&amp;Ricavi'!G10</f>
        <v>0</v>
      </c>
      <c r="H11" s="322">
        <f t="shared" si="0"/>
        <v>344026.2857431086</v>
      </c>
    </row>
    <row r="12" spans="1:8" x14ac:dyDescent="0.25">
      <c r="A12" s="42" t="s">
        <v>85</v>
      </c>
      <c r="B12" s="186" t="s">
        <v>0</v>
      </c>
      <c r="C12" s="96">
        <f>+C8*'St - Spese tecniche'!$C4+C9*'St - Spese tecniche'!$C5+'Flusso di cassa'!C10*'St - Spese tecniche'!$C6+'Flusso di cassa'!C11*'St - Spese tecniche'!$C7</f>
        <v>0</v>
      </c>
      <c r="D12" s="321">
        <f>+D8*'St - Spese tecniche'!$C4+D9*'St - Spese tecniche'!$C5+'Flusso di cassa'!D10*'St - Spese tecniche'!$C6+'Flusso di cassa'!D11*'St - Spese tecniche'!$C7</f>
        <v>0</v>
      </c>
      <c r="E12" s="96">
        <f>+E8*'St - Spese tecniche'!$C4+E9*'St - Spese tecniche'!$C5+'Flusso di cassa'!E10*'St - Spese tecniche'!$C6+'Flusso di cassa'!E11*'St - Spese tecniche'!$C7</f>
        <v>72439.99429119064</v>
      </c>
      <c r="F12" s="321">
        <f>+F8*'St - Spese tecniche'!$C4+F9*'St - Spese tecniche'!$C5+'Flusso di cassa'!F10*'St - Spese tecniche'!$C6+'Flusso di cassa'!F11*'St - Spese tecniche'!$C7</f>
        <v>28898.208002421125</v>
      </c>
      <c r="G12" s="96">
        <f>+G8*'St - Spese tecniche'!$C4+G9*'St - Spese tecniche'!$C5+'Flusso di cassa'!G10*'St - Spese tecniche'!$C6+'Flusso di cassa'!G11*'St - Spese tecniche'!$C7</f>
        <v>19265.472001614082</v>
      </c>
      <c r="H12" s="321">
        <f t="shared" si="0"/>
        <v>120603.67429522585</v>
      </c>
    </row>
    <row r="13" spans="1:8" x14ac:dyDescent="0.25">
      <c r="A13" s="42" t="s">
        <v>86</v>
      </c>
      <c r="B13" s="186" t="s">
        <v>5</v>
      </c>
      <c r="C13" s="96">
        <f>+'Sg - Spese generali'!$B$7*('Flusso di cassa'!C7+'Flusso di cassa'!C12)</f>
        <v>0</v>
      </c>
      <c r="D13" s="321">
        <f>+'Sg - Spese generali'!$B$7*('Flusso di cassa'!D7+'Flusso di cassa'!D12)</f>
        <v>662.4</v>
      </c>
      <c r="E13" s="96">
        <f>+'Sg - Spese generali'!$B$7*('Flusso di cassa'!E7+'Flusso di cassa'!E12)</f>
        <v>37380.565545615493</v>
      </c>
      <c r="F13" s="321">
        <f>+'Sg - Spese generali'!$B$7*('Flusso di cassa'!F7+'Flusso di cassa'!F12)</f>
        <v>13251.892526824544</v>
      </c>
      <c r="G13" s="96">
        <f>+'Sg - Spese generali'!$B$7*('Flusso di cassa'!G7+'Flusso di cassa'!G12)</f>
        <v>8834.5950178830299</v>
      </c>
      <c r="H13" s="321">
        <f t="shared" si="0"/>
        <v>60129.45309032307</v>
      </c>
    </row>
    <row r="14" spans="1:8" x14ac:dyDescent="0.25">
      <c r="A14" s="42" t="s">
        <v>87</v>
      </c>
      <c r="B14" s="186" t="s">
        <v>4</v>
      </c>
      <c r="C14" s="96">
        <f>+C17*'Sc - Spese commercializzazione'!$C$5</f>
        <v>0</v>
      </c>
      <c r="D14" s="321">
        <f>+D17*'Sc - Spese commercializzazione'!$C$5</f>
        <v>0</v>
      </c>
      <c r="E14" s="96">
        <f>+E17*'Sc - Spese commercializzazione'!$C$5</f>
        <v>19028.268449137551</v>
      </c>
      <c r="F14" s="321">
        <f>+F17*'Sc - Spese commercializzazione'!$C$5</f>
        <v>28542.402673706318</v>
      </c>
      <c r="G14" s="96">
        <f>+G17*'Sc - Spese commercializzazione'!$C$5</f>
        <v>47570.671122843865</v>
      </c>
      <c r="H14" s="321">
        <f t="shared" si="0"/>
        <v>95141.342245687731</v>
      </c>
    </row>
    <row r="15" spans="1:8" x14ac:dyDescent="0.25">
      <c r="A15" s="43" t="s">
        <v>88</v>
      </c>
      <c r="B15" s="301" t="s">
        <v>8</v>
      </c>
      <c r="C15" s="317">
        <f t="shared" ref="C15:G15" si="2">+C13+C14+C7+C6+C12+C5</f>
        <v>283688.70760387427</v>
      </c>
      <c r="D15" s="72">
        <f t="shared" si="2"/>
        <v>58128.563333333332</v>
      </c>
      <c r="E15" s="317">
        <f t="shared" si="2"/>
        <v>1337813.8488486027</v>
      </c>
      <c r="F15" s="72">
        <f t="shared" si="2"/>
        <v>483524.0460946823</v>
      </c>
      <c r="G15" s="317">
        <f t="shared" si="2"/>
        <v>350891.76673682791</v>
      </c>
      <c r="H15" s="72">
        <f t="shared" si="0"/>
        <v>2514046.9326173207</v>
      </c>
    </row>
    <row r="16" spans="1:8" x14ac:dyDescent="0.25">
      <c r="A16" s="325" t="s">
        <v>7</v>
      </c>
      <c r="B16" s="326"/>
      <c r="C16" s="77"/>
      <c r="D16" s="78"/>
      <c r="E16" s="77"/>
      <c r="F16" s="78"/>
      <c r="G16" s="77"/>
      <c r="H16" s="78"/>
    </row>
    <row r="17" spans="1:8" x14ac:dyDescent="0.25">
      <c r="A17" s="327" t="s">
        <v>13</v>
      </c>
      <c r="B17" s="301" t="s">
        <v>9</v>
      </c>
      <c r="C17" s="328">
        <f>+'RT - Ricavi totali'!$D$3*'Distribuzione Costi&amp;Ricavi'!C12</f>
        <v>0</v>
      </c>
      <c r="D17" s="329">
        <f>+'RT - Ricavi totali'!$D$3*'Distribuzione Costi&amp;Ricavi'!D12</f>
        <v>0</v>
      </c>
      <c r="E17" s="328">
        <f>+'RT - Ricavi totali'!$D$3*'Distribuzione Costi&amp;Ricavi'!E12</f>
        <v>634275.61497125169</v>
      </c>
      <c r="F17" s="329">
        <f>+'RT - Ricavi totali'!$D$3*'Distribuzione Costi&amp;Ricavi'!F12</f>
        <v>951413.42245687731</v>
      </c>
      <c r="G17" s="328">
        <f>+'RT - Ricavi totali'!$D$3*'Distribuzione Costi&amp;Ricavi'!G12</f>
        <v>1585689.037428129</v>
      </c>
      <c r="H17" s="330">
        <f>SUM(C17:G17)</f>
        <v>3171378.074856258</v>
      </c>
    </row>
    <row r="18" spans="1:8" x14ac:dyDescent="0.25">
      <c r="A18" s="43" t="s">
        <v>14</v>
      </c>
      <c r="B18" s="301" t="s">
        <v>337</v>
      </c>
      <c r="C18" s="317">
        <f t="shared" ref="C18:H18" si="3">+C17-C15</f>
        <v>-283688.70760387427</v>
      </c>
      <c r="D18" s="72">
        <f t="shared" si="3"/>
        <v>-58128.563333333332</v>
      </c>
      <c r="E18" s="317">
        <f t="shared" si="3"/>
        <v>-703538.23387735104</v>
      </c>
      <c r="F18" s="72">
        <f t="shared" si="3"/>
        <v>467889.37636219501</v>
      </c>
      <c r="G18" s="317">
        <f t="shared" si="3"/>
        <v>1234797.2706913012</v>
      </c>
      <c r="H18" s="72">
        <f t="shared" si="3"/>
        <v>657331.14223893732</v>
      </c>
    </row>
    <row r="19" spans="1:8" x14ac:dyDescent="0.25">
      <c r="A19" s="47"/>
      <c r="B19" s="47"/>
      <c r="C19" s="96"/>
      <c r="D19" s="96"/>
      <c r="E19" s="96"/>
      <c r="F19" s="96"/>
      <c r="G19" s="96"/>
      <c r="H19" s="96"/>
    </row>
    <row r="20" spans="1:8" x14ac:dyDescent="0.25">
      <c r="A20" s="47"/>
      <c r="B20" s="47"/>
      <c r="C20" s="96"/>
      <c r="D20" s="96"/>
      <c r="E20" s="96"/>
      <c r="F20" s="96"/>
      <c r="G20" s="96"/>
      <c r="H20" s="96"/>
    </row>
    <row r="21" spans="1:8" x14ac:dyDescent="0.25">
      <c r="A21" s="434"/>
      <c r="B21" s="435"/>
      <c r="C21" s="402" t="s">
        <v>339</v>
      </c>
      <c r="D21" s="403"/>
      <c r="E21" s="403"/>
      <c r="F21" s="403"/>
      <c r="G21" s="403"/>
      <c r="H21" s="438" t="s">
        <v>6</v>
      </c>
    </row>
    <row r="22" spans="1:8" x14ac:dyDescent="0.25">
      <c r="A22" s="436"/>
      <c r="B22" s="437"/>
      <c r="C22" s="307">
        <v>0</v>
      </c>
      <c r="D22" s="307">
        <v>1</v>
      </c>
      <c r="E22" s="307">
        <v>2</v>
      </c>
      <c r="F22" s="309">
        <v>3</v>
      </c>
      <c r="G22" s="307">
        <v>4</v>
      </c>
      <c r="H22" s="439"/>
    </row>
    <row r="23" spans="1:8" x14ac:dyDescent="0.25">
      <c r="A23" s="88" t="str">
        <f>+A18</f>
        <v>FE</v>
      </c>
      <c r="B23" s="96" t="str">
        <f t="shared" ref="B23:H23" si="4">+B18</f>
        <v>FLUSSO CASSA ECONOMICO</v>
      </c>
      <c r="C23" s="321">
        <f t="shared" si="4"/>
        <v>-283688.70760387427</v>
      </c>
      <c r="D23" s="321">
        <f t="shared" si="4"/>
        <v>-58128.563333333332</v>
      </c>
      <c r="E23" s="321">
        <f t="shared" si="4"/>
        <v>-703538.23387735104</v>
      </c>
      <c r="F23" s="96">
        <f t="shared" si="4"/>
        <v>467889.37636219501</v>
      </c>
      <c r="G23" s="321">
        <f t="shared" si="4"/>
        <v>1234797.2706913012</v>
      </c>
      <c r="H23" s="95">
        <f t="shared" si="4"/>
        <v>657331.14223893732</v>
      </c>
    </row>
    <row r="24" spans="1:8" x14ac:dyDescent="0.25">
      <c r="A24" s="42" t="s">
        <v>89</v>
      </c>
      <c r="B24" s="47" t="s">
        <v>90</v>
      </c>
      <c r="C24" s="85">
        <f>+'I - Interessi'!B12</f>
        <v>-5106.3967368697367</v>
      </c>
      <c r="D24" s="85">
        <f>+'I - Interessi'!C12</f>
        <v>-6244.6260181333928</v>
      </c>
      <c r="E24" s="85">
        <f>+'I - Interessi'!D12</f>
        <v>-19020.717496252117</v>
      </c>
      <c r="F24" s="84">
        <f>+'I - Interessi'!E12</f>
        <v>-10941.081636665145</v>
      </c>
      <c r="G24" s="85">
        <f>+'I - Interessi'!F12</f>
        <v>3134.7970099384106</v>
      </c>
      <c r="H24" s="315">
        <f>SUM(C24:G24)</f>
        <v>-38178.024877981981</v>
      </c>
    </row>
    <row r="25" spans="1:8" x14ac:dyDescent="0.25">
      <c r="A25" s="42" t="s">
        <v>16</v>
      </c>
      <c r="B25" s="47" t="s">
        <v>342</v>
      </c>
      <c r="C25" s="321">
        <f>+C24+C18</f>
        <v>-288795.10434074403</v>
      </c>
      <c r="D25" s="321">
        <f>+D24+D18</f>
        <v>-64373.189351466724</v>
      </c>
      <c r="E25" s="321">
        <f>+E24+E18</f>
        <v>-722558.95137360319</v>
      </c>
      <c r="F25" s="96">
        <f>+F24+F18</f>
        <v>456948.29472552985</v>
      </c>
      <c r="G25" s="321">
        <f>+G24+G18</f>
        <v>1237932.0677012396</v>
      </c>
      <c r="H25" s="315">
        <f>SUM(C25:G25)</f>
        <v>619153.11736095557</v>
      </c>
    </row>
    <row r="26" spans="1:8" x14ac:dyDescent="0.25">
      <c r="A26" s="42" t="s">
        <v>17</v>
      </c>
      <c r="B26" s="47" t="s">
        <v>10</v>
      </c>
      <c r="C26" s="85">
        <f>-'T - Tasse'!B8</f>
        <v>0</v>
      </c>
      <c r="D26" s="85">
        <f>-'T - Tasse'!C8</f>
        <v>0</v>
      </c>
      <c r="E26" s="85">
        <f>-'T - Tasse'!D8</f>
        <v>0</v>
      </c>
      <c r="F26" s="84">
        <f>-'T - Tasse'!E8</f>
        <v>0</v>
      </c>
      <c r="G26" s="85">
        <f>-'T - Tasse'!F8</f>
        <v>-172743.71974370658</v>
      </c>
      <c r="H26" s="315">
        <f>SUM(C26:G26)</f>
        <v>-172743.71974370658</v>
      </c>
    </row>
    <row r="27" spans="1:8" x14ac:dyDescent="0.25">
      <c r="A27" s="43" t="s">
        <v>91</v>
      </c>
      <c r="B27" s="316" t="s">
        <v>341</v>
      </c>
      <c r="C27" s="72">
        <f t="shared" ref="C27:H27" si="5">+C25+C26</f>
        <v>-288795.10434074403</v>
      </c>
      <c r="D27" s="72">
        <f t="shared" si="5"/>
        <v>-64373.189351466724</v>
      </c>
      <c r="E27" s="72">
        <f t="shared" si="5"/>
        <v>-722558.95137360319</v>
      </c>
      <c r="F27" s="317">
        <f t="shared" si="5"/>
        <v>456948.29472552985</v>
      </c>
      <c r="G27" s="72">
        <f t="shared" si="5"/>
        <v>1065188.3479575331</v>
      </c>
      <c r="H27" s="318">
        <f t="shared" si="5"/>
        <v>446409.39761724899</v>
      </c>
    </row>
    <row r="29" spans="1:8" x14ac:dyDescent="0.25">
      <c r="C29">
        <f>+C3</f>
        <v>0</v>
      </c>
      <c r="D29">
        <f>+D3</f>
        <v>1</v>
      </c>
      <c r="E29">
        <f>+E3</f>
        <v>2</v>
      </c>
      <c r="F29">
        <f>+F3</f>
        <v>3</v>
      </c>
      <c r="G29">
        <f>+G3</f>
        <v>4</v>
      </c>
    </row>
    <row r="30" spans="1:8" x14ac:dyDescent="0.25">
      <c r="B30" t="str">
        <f t="shared" ref="B30:G30" si="6">+B18</f>
        <v>FLUSSO CASSA ECONOMICO</v>
      </c>
      <c r="C30" s="16">
        <f t="shared" si="6"/>
        <v>-283688.70760387427</v>
      </c>
      <c r="D30" s="16">
        <f t="shared" si="6"/>
        <v>-58128.563333333332</v>
      </c>
      <c r="E30" s="16">
        <f t="shared" si="6"/>
        <v>-703538.23387735104</v>
      </c>
      <c r="F30" s="16">
        <f t="shared" si="6"/>
        <v>467889.37636219501</v>
      </c>
      <c r="G30" s="16">
        <f t="shared" si="6"/>
        <v>1234797.2706913012</v>
      </c>
    </row>
    <row r="31" spans="1:8" x14ac:dyDescent="0.25">
      <c r="B31" t="str">
        <f>+B27</f>
        <v>FLUSSO CASSA NETTO</v>
      </c>
      <c r="C31" s="16">
        <f t="shared" ref="C31:G31" si="7">+C27</f>
        <v>-288795.10434074403</v>
      </c>
      <c r="D31" s="16">
        <f t="shared" si="7"/>
        <v>-64373.189351466724</v>
      </c>
      <c r="E31" s="16">
        <f t="shared" si="7"/>
        <v>-722558.95137360319</v>
      </c>
      <c r="F31" s="16">
        <f t="shared" si="7"/>
        <v>456948.29472552985</v>
      </c>
      <c r="G31" s="16">
        <f t="shared" si="7"/>
        <v>1065188.3479575331</v>
      </c>
      <c r="H31" s="17"/>
    </row>
    <row r="32" spans="1:8" x14ac:dyDescent="0.25">
      <c r="B32" t="s">
        <v>370</v>
      </c>
      <c r="C32" s="17">
        <f>+C31</f>
        <v>-288795.10434074403</v>
      </c>
      <c r="D32" s="17">
        <f>+C32+D31</f>
        <v>-353168.29369221075</v>
      </c>
      <c r="E32" s="17">
        <f t="shared" ref="E32:G32" si="8">+D32+E31</f>
        <v>-1075727.2450658139</v>
      </c>
      <c r="F32" s="17">
        <f t="shared" si="8"/>
        <v>-618778.95034028403</v>
      </c>
      <c r="G32" s="17">
        <f t="shared" si="8"/>
        <v>446409.39761724905</v>
      </c>
    </row>
  </sheetData>
  <mergeCells count="6">
    <mergeCell ref="A21:B22"/>
    <mergeCell ref="C21:G21"/>
    <mergeCell ref="H21:H22"/>
    <mergeCell ref="C2:G2"/>
    <mergeCell ref="H2:H3"/>
    <mergeCell ref="A2:B3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E30" sqref="E3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workbookViewId="0">
      <selection activeCell="B23" sqref="B23"/>
    </sheetView>
  </sheetViews>
  <sheetFormatPr defaultRowHeight="15" x14ac:dyDescent="0.25"/>
  <cols>
    <col min="1" max="1" width="32.140625" customWidth="1"/>
    <col min="2" max="3" width="17.5703125" customWidth="1"/>
  </cols>
  <sheetData>
    <row r="1" spans="1:3" ht="18.75" x14ac:dyDescent="0.3">
      <c r="A1" s="18" t="s">
        <v>96</v>
      </c>
    </row>
    <row r="2" spans="1:3" x14ac:dyDescent="0.25">
      <c r="A2" s="13" t="s">
        <v>353</v>
      </c>
    </row>
    <row r="4" spans="1:3" x14ac:dyDescent="0.25">
      <c r="A4" t="s">
        <v>220</v>
      </c>
    </row>
    <row r="5" spans="1:3" ht="45" x14ac:dyDescent="0.25">
      <c r="B5" s="359" t="s">
        <v>363</v>
      </c>
      <c r="C5" s="359" t="s">
        <v>364</v>
      </c>
    </row>
    <row r="6" spans="1:3" x14ac:dyDescent="0.25">
      <c r="A6" t="s">
        <v>69</v>
      </c>
      <c r="B6" s="360">
        <f>IRR('Flusso di cassa'!C18:G18)</f>
        <v>0.22680826161289858</v>
      </c>
      <c r="C6" s="360">
        <f>IRR('Flusso di cassa'!C27:G27)</f>
        <v>0.15987489420326906</v>
      </c>
    </row>
    <row r="7" spans="1:3" x14ac:dyDescent="0.25">
      <c r="A7" t="s">
        <v>362</v>
      </c>
      <c r="B7" s="361">
        <f>NPV('Fiscalità e Finanza'!B39,'Flusso di cassa'!C18:G18)</f>
        <v>460168.97327036591</v>
      </c>
      <c r="C7" s="361">
        <f>NPV('Fiscalità e Finanza'!B25,'Flusso di cassa'!C27:G27)</f>
        <v>222695.05373199566</v>
      </c>
    </row>
    <row r="10" spans="1:3" x14ac:dyDescent="0.25">
      <c r="A10" t="s">
        <v>338</v>
      </c>
    </row>
    <row r="11" spans="1:3" x14ac:dyDescent="0.25">
      <c r="A11" t="s">
        <v>11</v>
      </c>
      <c r="B11" s="16">
        <f>+'Flusso di cassa'!H5</f>
        <v>283688.70760387427</v>
      </c>
    </row>
    <row r="12" spans="1:3" x14ac:dyDescent="0.25">
      <c r="A12" t="s">
        <v>18</v>
      </c>
      <c r="B12" s="16">
        <f>+'Flusso di cassa'!H6</f>
        <v>70772.32666666666</v>
      </c>
    </row>
    <row r="13" spans="1:3" x14ac:dyDescent="0.25">
      <c r="A13" t="s">
        <v>1</v>
      </c>
      <c r="B13" s="16">
        <f>+'Flusso di cassa'!H7</f>
        <v>1883711.4287155431</v>
      </c>
    </row>
    <row r="14" spans="1:3" x14ac:dyDescent="0.25">
      <c r="A14" s="362" t="s">
        <v>19</v>
      </c>
      <c r="B14" s="363">
        <f>+'Flusso di cassa'!H8</f>
        <v>22080</v>
      </c>
    </row>
    <row r="15" spans="1:3" x14ac:dyDescent="0.25">
      <c r="A15" s="362" t="s">
        <v>12</v>
      </c>
      <c r="B15" s="363">
        <f>+'Flusso di cassa'!H9</f>
        <v>141500</v>
      </c>
    </row>
    <row r="16" spans="1:3" x14ac:dyDescent="0.25">
      <c r="A16" s="362" t="s">
        <v>2</v>
      </c>
      <c r="B16" s="363">
        <f>+'Flusso di cassa'!H10</f>
        <v>1376105.1429724344</v>
      </c>
    </row>
    <row r="17" spans="1:2" x14ac:dyDescent="0.25">
      <c r="A17" s="362" t="s">
        <v>3</v>
      </c>
      <c r="B17" s="363">
        <f>+'Flusso di cassa'!H11</f>
        <v>344026.2857431086</v>
      </c>
    </row>
    <row r="18" spans="1:2" x14ac:dyDescent="0.25">
      <c r="A18" t="s">
        <v>0</v>
      </c>
      <c r="B18" s="16">
        <f>+'Flusso di cassa'!H12</f>
        <v>120603.67429522585</v>
      </c>
    </row>
    <row r="19" spans="1:2" x14ac:dyDescent="0.25">
      <c r="A19" t="s">
        <v>5</v>
      </c>
      <c r="B19" s="16">
        <f>+'Flusso di cassa'!H13</f>
        <v>60129.45309032307</v>
      </c>
    </row>
    <row r="20" spans="1:2" x14ac:dyDescent="0.25">
      <c r="A20" t="s">
        <v>4</v>
      </c>
      <c r="B20" s="16">
        <f>+'Flusso di cassa'!H14</f>
        <v>95141.342245687731</v>
      </c>
    </row>
    <row r="21" spans="1:2" x14ac:dyDescent="0.25">
      <c r="A21" t="s">
        <v>90</v>
      </c>
      <c r="B21" s="16">
        <f>-'Flusso di cassa'!H24</f>
        <v>38178.024877981981</v>
      </c>
    </row>
    <row r="22" spans="1:2" x14ac:dyDescent="0.25">
      <c r="A22" t="s">
        <v>10</v>
      </c>
      <c r="B22" s="16">
        <f>-'Flusso di cassa'!H26</f>
        <v>172743.71974370658</v>
      </c>
    </row>
    <row r="23" spans="1:2" x14ac:dyDescent="0.25">
      <c r="A23" t="s">
        <v>8</v>
      </c>
      <c r="B23" s="16">
        <f>+B11+B12+B13+B18+B19+B20+B21+B22</f>
        <v>2724968.6772390096</v>
      </c>
    </row>
    <row r="25" spans="1:2" x14ac:dyDescent="0.25">
      <c r="A25" t="s">
        <v>7</v>
      </c>
      <c r="B25" s="16">
        <f>+'Flusso di cassa'!H17</f>
        <v>3171378.074856258</v>
      </c>
    </row>
    <row r="27" spans="1:2" x14ac:dyDescent="0.25">
      <c r="A27" t="s">
        <v>365</v>
      </c>
      <c r="B27" s="17">
        <f>+B25-B23</f>
        <v>446409.39761724835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1"/>
  <sheetViews>
    <sheetView topLeftCell="A13" workbookViewId="0">
      <selection activeCell="A34" sqref="A34:B39"/>
    </sheetView>
  </sheetViews>
  <sheetFormatPr defaultRowHeight="15" x14ac:dyDescent="0.25"/>
  <cols>
    <col min="1" max="1" width="37.28515625" customWidth="1"/>
    <col min="2" max="3" width="12.85546875" customWidth="1"/>
    <col min="6" max="6" width="32.140625" customWidth="1"/>
    <col min="7" max="7" width="15.140625" customWidth="1"/>
  </cols>
  <sheetData>
    <row r="1" spans="1:2" ht="18.75" x14ac:dyDescent="0.3">
      <c r="A1" s="18" t="s">
        <v>96</v>
      </c>
    </row>
    <row r="2" spans="1:2" x14ac:dyDescent="0.25">
      <c r="A2" t="s">
        <v>354</v>
      </c>
    </row>
    <row r="4" spans="1:2" x14ac:dyDescent="0.25">
      <c r="B4" s="5"/>
    </row>
    <row r="5" spans="1:2" x14ac:dyDescent="0.25">
      <c r="A5" s="13" t="s">
        <v>59</v>
      </c>
    </row>
    <row r="6" spans="1:2" x14ac:dyDescent="0.25">
      <c r="A6" t="s">
        <v>57</v>
      </c>
      <c r="B6" s="7">
        <v>0.4</v>
      </c>
    </row>
    <row r="7" spans="1:2" x14ac:dyDescent="0.25">
      <c r="A7" t="s">
        <v>65</v>
      </c>
      <c r="B7" s="345">
        <v>4.4999999999999998E-2</v>
      </c>
    </row>
    <row r="8" spans="1:2" x14ac:dyDescent="0.25">
      <c r="A8" t="s">
        <v>94</v>
      </c>
      <c r="B8" s="345">
        <v>5.0000000000000001E-3</v>
      </c>
    </row>
    <row r="9" spans="1:2" x14ac:dyDescent="0.25">
      <c r="B9" s="15"/>
    </row>
    <row r="11" spans="1:2" x14ac:dyDescent="0.25">
      <c r="A11" s="13" t="s">
        <v>68</v>
      </c>
      <c r="B11" s="14"/>
    </row>
    <row r="12" spans="1:2" x14ac:dyDescent="0.25">
      <c r="A12" t="s">
        <v>63</v>
      </c>
      <c r="B12" s="12">
        <v>0.24</v>
      </c>
    </row>
    <row r="13" spans="1:2" x14ac:dyDescent="0.25">
      <c r="A13" t="s">
        <v>64</v>
      </c>
      <c r="B13" s="12">
        <v>3.9E-2</v>
      </c>
    </row>
    <row r="15" spans="1:2" x14ac:dyDescent="0.25">
      <c r="A15" s="13" t="s">
        <v>212</v>
      </c>
    </row>
    <row r="16" spans="1:2" x14ac:dyDescent="0.25">
      <c r="A16" s="13"/>
    </row>
    <row r="17" spans="1:3" ht="18" x14ac:dyDescent="0.35">
      <c r="A17" s="13" t="s">
        <v>213</v>
      </c>
      <c r="B17" s="272" t="s">
        <v>209</v>
      </c>
      <c r="C17" s="272" t="s">
        <v>210</v>
      </c>
    </row>
    <row r="18" spans="1:3" x14ac:dyDescent="0.25">
      <c r="A18" t="s">
        <v>344</v>
      </c>
      <c r="B18" s="344">
        <v>0.02</v>
      </c>
      <c r="C18" s="344">
        <v>0.02</v>
      </c>
    </row>
    <row r="19" spans="1:3" x14ac:dyDescent="0.25">
      <c r="A19" t="s">
        <v>345</v>
      </c>
      <c r="B19" s="344">
        <v>0.06</v>
      </c>
      <c r="C19" s="389">
        <v>0.06</v>
      </c>
    </row>
    <row r="20" spans="1:3" x14ac:dyDescent="0.25">
      <c r="A20" t="s">
        <v>66</v>
      </c>
      <c r="B20" s="346">
        <v>0.89</v>
      </c>
      <c r="C20" s="389"/>
    </row>
    <row r="21" spans="1:3" x14ac:dyDescent="0.25">
      <c r="A21" t="s">
        <v>211</v>
      </c>
      <c r="B21" s="347">
        <v>2.5999999999999999E-2</v>
      </c>
      <c r="C21" s="389"/>
    </row>
    <row r="22" spans="1:3" x14ac:dyDescent="0.25">
      <c r="A22" t="s">
        <v>222</v>
      </c>
      <c r="B22" s="3">
        <f>+B18+B20*(B19-B18)+B21</f>
        <v>8.1599999999999992E-2</v>
      </c>
      <c r="C22" s="3">
        <f>+C19+C18</f>
        <v>0.08</v>
      </c>
    </row>
    <row r="23" spans="1:3" x14ac:dyDescent="0.25">
      <c r="A23" t="s">
        <v>355</v>
      </c>
      <c r="B23" s="390">
        <f>AVERAGE(B22:C22)</f>
        <v>8.0799999999999997E-2</v>
      </c>
      <c r="C23" s="390"/>
    </row>
    <row r="24" spans="1:3" x14ac:dyDescent="0.25">
      <c r="A24" t="s">
        <v>67</v>
      </c>
      <c r="B24" s="391">
        <v>0.02</v>
      </c>
      <c r="C24" s="391"/>
    </row>
    <row r="25" spans="1:3" x14ac:dyDescent="0.25">
      <c r="A25" s="13" t="s">
        <v>312</v>
      </c>
      <c r="B25" s="392">
        <f>+(1+B23)/(1+B24)-1</f>
        <v>5.9607843137254868E-2</v>
      </c>
      <c r="C25" s="392"/>
    </row>
    <row r="26" spans="1:3" x14ac:dyDescent="0.25">
      <c r="B26" s="165"/>
      <c r="C26" s="165"/>
    </row>
    <row r="27" spans="1:3" ht="18" x14ac:dyDescent="0.35">
      <c r="A27" s="13" t="s">
        <v>214</v>
      </c>
      <c r="B27" s="165"/>
      <c r="C27" s="165"/>
    </row>
    <row r="28" spans="1:3" x14ac:dyDescent="0.25">
      <c r="A28" t="s">
        <v>215</v>
      </c>
      <c r="B28" s="348">
        <f>+B7</f>
        <v>4.4999999999999998E-2</v>
      </c>
      <c r="C28" s="165"/>
    </row>
    <row r="29" spans="1:3" x14ac:dyDescent="0.25">
      <c r="A29" t="s">
        <v>68</v>
      </c>
      <c r="B29" s="348">
        <f>+B12+B13</f>
        <v>0.27899999999999997</v>
      </c>
    </row>
    <row r="30" spans="1:3" x14ac:dyDescent="0.25">
      <c r="A30" t="s">
        <v>216</v>
      </c>
      <c r="B30" s="348">
        <f>+B28*(1-B29)</f>
        <v>3.2445000000000002E-2</v>
      </c>
    </row>
    <row r="31" spans="1:3" x14ac:dyDescent="0.25">
      <c r="A31" t="s">
        <v>67</v>
      </c>
      <c r="B31" s="348">
        <f>+B24</f>
        <v>0.02</v>
      </c>
    </row>
    <row r="32" spans="1:3" x14ac:dyDescent="0.25">
      <c r="A32" s="13" t="s">
        <v>221</v>
      </c>
      <c r="B32" s="358">
        <f>+(1+B30)/(1+B31)-1</f>
        <v>1.2200980392157001E-2</v>
      </c>
      <c r="C32" s="166"/>
    </row>
    <row r="33" spans="1:3" x14ac:dyDescent="0.25">
      <c r="B33" s="349"/>
      <c r="C33" s="166"/>
    </row>
    <row r="34" spans="1:3" x14ac:dyDescent="0.25">
      <c r="A34" s="13" t="s">
        <v>217</v>
      </c>
      <c r="B34" s="349"/>
      <c r="C34" s="166"/>
    </row>
    <row r="35" spans="1:3" x14ac:dyDescent="0.25">
      <c r="A35" t="s">
        <v>218</v>
      </c>
      <c r="B35" s="349">
        <f>+B6</f>
        <v>0.4</v>
      </c>
      <c r="C35" s="166"/>
    </row>
    <row r="36" spans="1:3" x14ac:dyDescent="0.25">
      <c r="A36" t="s">
        <v>221</v>
      </c>
      <c r="B36" s="349">
        <f>+B32</f>
        <v>1.2200980392157001E-2</v>
      </c>
      <c r="C36" s="166"/>
    </row>
    <row r="37" spans="1:3" x14ac:dyDescent="0.25">
      <c r="A37" t="s">
        <v>219</v>
      </c>
      <c r="B37" s="349">
        <f>1-B35</f>
        <v>0.6</v>
      </c>
      <c r="C37" s="166"/>
    </row>
    <row r="38" spans="1:3" x14ac:dyDescent="0.25">
      <c r="A38" t="s">
        <v>313</v>
      </c>
      <c r="B38" s="349">
        <f>+B25</f>
        <v>5.9607843137254868E-2</v>
      </c>
      <c r="C38" s="166"/>
    </row>
    <row r="39" spans="1:3" x14ac:dyDescent="0.25">
      <c r="A39" s="13" t="s">
        <v>314</v>
      </c>
      <c r="B39" s="357">
        <f>+B38*B37+B36*B35</f>
        <v>4.0645098039215719E-2</v>
      </c>
      <c r="C39" s="166"/>
    </row>
    <row r="40" spans="1:3" x14ac:dyDescent="0.25">
      <c r="B40" s="272"/>
      <c r="C40" s="166"/>
    </row>
    <row r="41" spans="1:3" x14ac:dyDescent="0.25">
      <c r="B41" s="166"/>
    </row>
  </sheetData>
  <mergeCells count="4">
    <mergeCell ref="C19:C21"/>
    <mergeCell ref="B23:C23"/>
    <mergeCell ref="B24:C24"/>
    <mergeCell ref="B25:C25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3"/>
  <sheetViews>
    <sheetView zoomScale="130" zoomScaleNormal="130" workbookViewId="0">
      <selection activeCell="C2" sqref="C2:G2"/>
    </sheetView>
  </sheetViews>
  <sheetFormatPr defaultRowHeight="15" x14ac:dyDescent="0.25"/>
  <cols>
    <col min="1" max="1" width="5.85546875" customWidth="1"/>
    <col min="2" max="2" width="27.5703125" customWidth="1"/>
  </cols>
  <sheetData>
    <row r="2" spans="1:8" x14ac:dyDescent="0.25">
      <c r="A2" s="393"/>
      <c r="B2" s="393"/>
      <c r="C2" s="394" t="s">
        <v>135</v>
      </c>
      <c r="D2" s="394"/>
      <c r="E2" s="394"/>
      <c r="F2" s="394"/>
      <c r="G2" s="394"/>
      <c r="H2" s="395" t="s">
        <v>6</v>
      </c>
    </row>
    <row r="3" spans="1:8" x14ac:dyDescent="0.25">
      <c r="A3" s="393"/>
      <c r="B3" s="393"/>
      <c r="C3" s="8">
        <v>0</v>
      </c>
      <c r="D3" s="8">
        <v>1</v>
      </c>
      <c r="E3" s="8">
        <v>2</v>
      </c>
      <c r="F3" s="8">
        <v>3</v>
      </c>
      <c r="G3" s="8">
        <v>4</v>
      </c>
      <c r="H3" s="395"/>
    </row>
    <row r="4" spans="1:8" x14ac:dyDescent="0.25">
      <c r="A4" s="8" t="s">
        <v>78</v>
      </c>
      <c r="B4" s="8" t="s">
        <v>11</v>
      </c>
      <c r="C4" s="9">
        <v>1</v>
      </c>
      <c r="D4" s="9"/>
      <c r="E4" s="9"/>
      <c r="F4" s="9"/>
      <c r="G4" s="9"/>
      <c r="H4" s="10">
        <f>SUM(C4:G4)</f>
        <v>1</v>
      </c>
    </row>
    <row r="5" spans="1:8" x14ac:dyDescent="0.25">
      <c r="A5" s="8" t="s">
        <v>79</v>
      </c>
      <c r="B5" s="8" t="s">
        <v>18</v>
      </c>
      <c r="C5" s="9"/>
      <c r="D5" s="9">
        <v>0.5</v>
      </c>
      <c r="E5" s="9">
        <v>0.5</v>
      </c>
      <c r="F5" s="9"/>
      <c r="G5" s="9"/>
      <c r="H5" s="10">
        <f>SUM(C5:G5)</f>
        <v>1</v>
      </c>
    </row>
    <row r="6" spans="1:8" x14ac:dyDescent="0.25">
      <c r="A6" s="396" t="s">
        <v>307</v>
      </c>
      <c r="B6" s="397"/>
      <c r="C6" s="271"/>
      <c r="D6" s="271"/>
      <c r="E6" s="271"/>
      <c r="F6" s="271"/>
      <c r="G6" s="271"/>
      <c r="H6" s="10"/>
    </row>
    <row r="7" spans="1:8" x14ac:dyDescent="0.25">
      <c r="A7" s="8" t="s">
        <v>81</v>
      </c>
      <c r="B7" s="8" t="s">
        <v>19</v>
      </c>
      <c r="C7" s="9"/>
      <c r="D7" s="9">
        <v>1</v>
      </c>
      <c r="E7" s="9"/>
      <c r="F7" s="9"/>
      <c r="G7" s="9"/>
      <c r="H7" s="10">
        <f>SUM(C7:G7)</f>
        <v>1</v>
      </c>
    </row>
    <row r="8" spans="1:8" x14ac:dyDescent="0.25">
      <c r="A8" s="8" t="s">
        <v>82</v>
      </c>
      <c r="B8" s="8" t="s">
        <v>12</v>
      </c>
      <c r="C8" s="9"/>
      <c r="D8" s="9"/>
      <c r="E8" s="9">
        <v>1</v>
      </c>
      <c r="F8" s="9"/>
      <c r="G8" s="9"/>
      <c r="H8" s="10">
        <f>SUM(C8:G8)</f>
        <v>1</v>
      </c>
    </row>
    <row r="9" spans="1:8" x14ac:dyDescent="0.25">
      <c r="A9" s="8" t="s">
        <v>83</v>
      </c>
      <c r="B9" s="8" t="s">
        <v>2</v>
      </c>
      <c r="C9" s="9"/>
      <c r="D9" s="9"/>
      <c r="E9" s="9">
        <v>0.5</v>
      </c>
      <c r="F9" s="9">
        <v>0.3</v>
      </c>
      <c r="G9" s="9">
        <v>0.2</v>
      </c>
      <c r="H9" s="10">
        <f>SUM(C9:G9)</f>
        <v>1</v>
      </c>
    </row>
    <row r="10" spans="1:8" x14ac:dyDescent="0.25">
      <c r="A10" s="8" t="s">
        <v>84</v>
      </c>
      <c r="B10" s="8" t="s">
        <v>3</v>
      </c>
      <c r="C10" s="9"/>
      <c r="D10" s="9"/>
      <c r="E10" s="9">
        <v>1</v>
      </c>
      <c r="F10" s="9"/>
      <c r="G10" s="9"/>
      <c r="H10" s="10">
        <f>SUM(C10:G10)</f>
        <v>1</v>
      </c>
    </row>
    <row r="11" spans="1:8" x14ac:dyDescent="0.25">
      <c r="A11" s="8"/>
      <c r="B11" s="8"/>
      <c r="C11" s="271"/>
      <c r="D11" s="271"/>
      <c r="E11" s="271"/>
      <c r="F11" s="271"/>
      <c r="G11" s="271"/>
      <c r="H11" s="10"/>
    </row>
    <row r="12" spans="1:8" x14ac:dyDescent="0.25">
      <c r="A12" s="11" t="s">
        <v>13</v>
      </c>
      <c r="B12" s="8" t="s">
        <v>9</v>
      </c>
      <c r="C12" s="9"/>
      <c r="D12" s="9"/>
      <c r="E12" s="9">
        <v>0.2</v>
      </c>
      <c r="F12" s="9">
        <v>0.3</v>
      </c>
      <c r="G12" s="9">
        <v>0.5</v>
      </c>
      <c r="H12" s="10">
        <f>SUM(C12:G12)</f>
        <v>1</v>
      </c>
    </row>
    <row r="13" spans="1:8" x14ac:dyDescent="0.25">
      <c r="C13" s="2"/>
      <c r="D13" s="2"/>
      <c r="E13" s="2"/>
      <c r="F13" s="2"/>
      <c r="G13" s="2"/>
    </row>
  </sheetData>
  <mergeCells count="4">
    <mergeCell ref="A2:B3"/>
    <mergeCell ref="C2:G2"/>
    <mergeCell ref="H2:H3"/>
    <mergeCell ref="A6:B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workbookViewId="0">
      <selection activeCell="C21" sqref="C21"/>
    </sheetView>
  </sheetViews>
  <sheetFormatPr defaultRowHeight="15" x14ac:dyDescent="0.25"/>
  <cols>
    <col min="1" max="1" width="44.42578125" customWidth="1"/>
    <col min="2" max="2" width="26.42578125" customWidth="1"/>
    <col min="3" max="3" width="13.42578125" style="3" customWidth="1"/>
    <col min="4" max="4" width="16.5703125" customWidth="1"/>
    <col min="5" max="5" width="28.140625" customWidth="1"/>
    <col min="6" max="6" width="14" customWidth="1"/>
    <col min="7" max="7" width="17.28515625" customWidth="1"/>
    <col min="8" max="10" width="12" customWidth="1"/>
    <col min="12" max="12" width="47.28515625" customWidth="1"/>
    <col min="13" max="13" width="24.85546875" customWidth="1"/>
    <col min="14" max="14" width="13.140625" customWidth="1"/>
    <col min="15" max="15" width="15.85546875" customWidth="1"/>
    <col min="16" max="16" width="32.42578125" customWidth="1"/>
  </cols>
  <sheetData>
    <row r="1" spans="1:7" x14ac:dyDescent="0.25">
      <c r="A1" t="s">
        <v>70</v>
      </c>
    </row>
    <row r="2" spans="1:7" x14ac:dyDescent="0.25">
      <c r="A2" s="45"/>
      <c r="B2" s="55" t="s">
        <v>20</v>
      </c>
      <c r="C2" s="56" t="s">
        <v>46</v>
      </c>
      <c r="D2" s="8" t="s">
        <v>249</v>
      </c>
    </row>
    <row r="3" spans="1:7" x14ac:dyDescent="0.25">
      <c r="A3" s="42" t="s">
        <v>127</v>
      </c>
      <c r="B3" s="57">
        <f>+Descrizione!B5</f>
        <v>2830</v>
      </c>
      <c r="C3" s="52"/>
      <c r="D3" s="48"/>
    </row>
    <row r="4" spans="1:7" x14ac:dyDescent="0.25">
      <c r="A4" s="42" t="s">
        <v>349</v>
      </c>
      <c r="B4" s="59">
        <f>+Descrizione!B7</f>
        <v>2830</v>
      </c>
      <c r="C4" s="52"/>
      <c r="D4" s="48"/>
    </row>
    <row r="5" spans="1:7" x14ac:dyDescent="0.25">
      <c r="A5" s="42" t="s">
        <v>348</v>
      </c>
      <c r="B5" s="58">
        <f>AVERAGE(F20,B33,C63)</f>
        <v>101.48750292390419</v>
      </c>
      <c r="C5" s="52"/>
      <c r="D5" s="48" t="s">
        <v>319</v>
      </c>
    </row>
    <row r="6" spans="1:7" x14ac:dyDescent="0.25">
      <c r="A6" s="42" t="s">
        <v>43</v>
      </c>
      <c r="B6" s="59">
        <f>+B5*B4</f>
        <v>287209.63327464886</v>
      </c>
      <c r="C6" s="52"/>
      <c r="D6" s="48"/>
    </row>
    <row r="7" spans="1:7" x14ac:dyDescent="0.25">
      <c r="A7" s="42" t="s">
        <v>331</v>
      </c>
      <c r="B7" s="59">
        <f>+'Cc - Costo costruzione'!D4</f>
        <v>22080</v>
      </c>
      <c r="C7" s="52"/>
      <c r="D7" s="48"/>
    </row>
    <row r="8" spans="1:7" x14ac:dyDescent="0.25">
      <c r="A8" s="42" t="s">
        <v>332</v>
      </c>
      <c r="B8" s="59">
        <f>+B6-B7</f>
        <v>265129.63327464886</v>
      </c>
      <c r="C8" s="52"/>
      <c r="D8" s="48"/>
    </row>
    <row r="9" spans="1:7" x14ac:dyDescent="0.25">
      <c r="A9" s="42" t="s">
        <v>44</v>
      </c>
      <c r="B9" s="59">
        <f>+B8*C9</f>
        <v>5302.5926654929772</v>
      </c>
      <c r="C9" s="53">
        <v>0.02</v>
      </c>
      <c r="D9" s="48" t="s">
        <v>320</v>
      </c>
    </row>
    <row r="10" spans="1:7" x14ac:dyDescent="0.25">
      <c r="A10" s="42" t="s">
        <v>45</v>
      </c>
      <c r="B10" s="59">
        <f>+C10*B8</f>
        <v>2651.2963327464886</v>
      </c>
      <c r="C10" s="53">
        <v>0.01</v>
      </c>
      <c r="D10" s="48" t="s">
        <v>321</v>
      </c>
    </row>
    <row r="11" spans="1:7" x14ac:dyDescent="0.25">
      <c r="A11" s="42" t="s">
        <v>323</v>
      </c>
      <c r="B11" s="59">
        <f>+C11*B8</f>
        <v>10605.185330985954</v>
      </c>
      <c r="C11" s="53">
        <v>0.04</v>
      </c>
      <c r="D11" s="48" t="s">
        <v>322</v>
      </c>
    </row>
    <row r="12" spans="1:7" x14ac:dyDescent="0.25">
      <c r="A12" s="43" t="s">
        <v>42</v>
      </c>
      <c r="B12" s="60">
        <f>SUM(B8:B11)</f>
        <v>283688.70760387427</v>
      </c>
      <c r="C12" s="54"/>
      <c r="D12" s="49"/>
      <c r="G12" s="47"/>
    </row>
    <row r="13" spans="1:7" x14ac:dyDescent="0.25">
      <c r="G13" s="47"/>
    </row>
    <row r="14" spans="1:7" x14ac:dyDescent="0.25">
      <c r="G14" s="47"/>
    </row>
    <row r="15" spans="1:7" x14ac:dyDescent="0.25">
      <c r="A15" t="s">
        <v>359</v>
      </c>
      <c r="C15"/>
      <c r="G15" s="46"/>
    </row>
    <row r="16" spans="1:7" ht="45" x14ac:dyDescent="0.25">
      <c r="A16" s="45" t="s">
        <v>317</v>
      </c>
      <c r="B16" s="51" t="s">
        <v>104</v>
      </c>
      <c r="C16" s="50" t="s">
        <v>38</v>
      </c>
      <c r="D16" s="51" t="s">
        <v>39</v>
      </c>
      <c r="E16" s="276" t="s">
        <v>105</v>
      </c>
      <c r="F16" s="51" t="s">
        <v>106</v>
      </c>
      <c r="G16" s="47"/>
    </row>
    <row r="17" spans="1:7" x14ac:dyDescent="0.25">
      <c r="A17" s="42" t="s">
        <v>101</v>
      </c>
      <c r="B17" s="367">
        <v>2500</v>
      </c>
      <c r="C17" s="364">
        <v>1.5</v>
      </c>
      <c r="D17" s="368">
        <f>+C17*B17</f>
        <v>3750</v>
      </c>
      <c r="E17" s="369">
        <v>400000</v>
      </c>
      <c r="F17" s="370">
        <f>+E17/D17</f>
        <v>106.66666666666667</v>
      </c>
      <c r="G17" s="47"/>
    </row>
    <row r="18" spans="1:7" x14ac:dyDescent="0.25">
      <c r="A18" s="42" t="s">
        <v>102</v>
      </c>
      <c r="B18" s="367">
        <v>2000</v>
      </c>
      <c r="C18" s="364">
        <v>1</v>
      </c>
      <c r="D18" s="368">
        <f t="shared" ref="D18:D19" si="0">+C18*B18</f>
        <v>2000</v>
      </c>
      <c r="E18" s="369">
        <v>200000</v>
      </c>
      <c r="F18" s="370">
        <f t="shared" ref="F18:F19" si="1">+E18/D18</f>
        <v>100</v>
      </c>
      <c r="G18" s="47"/>
    </row>
    <row r="19" spans="1:7" x14ac:dyDescent="0.25">
      <c r="A19" s="42" t="s">
        <v>103</v>
      </c>
      <c r="B19" s="367">
        <v>3000</v>
      </c>
      <c r="C19" s="364">
        <v>1</v>
      </c>
      <c r="D19" s="368">
        <f t="shared" si="0"/>
        <v>3000</v>
      </c>
      <c r="E19" s="369">
        <v>320000</v>
      </c>
      <c r="F19" s="370">
        <f t="shared" si="1"/>
        <v>106.66666666666667</v>
      </c>
      <c r="G19" s="47"/>
    </row>
    <row r="20" spans="1:7" x14ac:dyDescent="0.25">
      <c r="A20" s="45"/>
      <c r="B20" s="371"/>
      <c r="C20" s="365"/>
      <c r="D20" s="371"/>
      <c r="E20" s="366" t="s">
        <v>202</v>
      </c>
      <c r="F20" s="372">
        <f>AVERAGE(F17:F19)</f>
        <v>104.44444444444446</v>
      </c>
      <c r="G20" s="47"/>
    </row>
    <row r="21" spans="1:7" x14ac:dyDescent="0.25">
      <c r="G21" s="47"/>
    </row>
    <row r="22" spans="1:7" x14ac:dyDescent="0.25">
      <c r="G22" s="47"/>
    </row>
    <row r="23" spans="1:7" x14ac:dyDescent="0.25">
      <c r="A23" t="s">
        <v>126</v>
      </c>
      <c r="E23" s="47"/>
      <c r="F23" s="47"/>
      <c r="G23" s="47"/>
    </row>
    <row r="24" spans="1:7" x14ac:dyDescent="0.25">
      <c r="A24" s="61"/>
      <c r="B24" s="19" t="s">
        <v>125</v>
      </c>
      <c r="C24" s="400" t="s">
        <v>249</v>
      </c>
      <c r="D24" s="401"/>
    </row>
    <row r="25" spans="1:7" ht="29.25" x14ac:dyDescent="0.25">
      <c r="A25" s="62" t="s">
        <v>128</v>
      </c>
      <c r="B25" s="289">
        <v>2400</v>
      </c>
      <c r="C25" s="373" t="s">
        <v>360</v>
      </c>
      <c r="D25" s="186"/>
    </row>
    <row r="26" spans="1:7" x14ac:dyDescent="0.25">
      <c r="A26" s="63" t="s">
        <v>127</v>
      </c>
      <c r="B26" s="290">
        <f>+B3</f>
        <v>2830</v>
      </c>
      <c r="C26" s="374"/>
      <c r="D26" s="186"/>
    </row>
    <row r="27" spans="1:7" x14ac:dyDescent="0.25">
      <c r="A27" s="63" t="str">
        <f>+A4</f>
        <v>Volume edificabile</v>
      </c>
      <c r="B27" s="290">
        <f>+B4</f>
        <v>2830</v>
      </c>
      <c r="C27" s="374"/>
      <c r="D27" s="186"/>
    </row>
    <row r="28" spans="1:7" x14ac:dyDescent="0.25">
      <c r="A28" s="63" t="s">
        <v>350</v>
      </c>
      <c r="B28" s="170">
        <f>+Descrizione!B21</f>
        <v>1301.8</v>
      </c>
      <c r="C28" s="374"/>
      <c r="D28" s="186"/>
    </row>
    <row r="29" spans="1:7" x14ac:dyDescent="0.25">
      <c r="A29" s="63" t="s">
        <v>129</v>
      </c>
      <c r="B29" s="170">
        <f>+B28*B25</f>
        <v>3124320</v>
      </c>
      <c r="C29" s="374"/>
      <c r="D29" s="186"/>
    </row>
    <row r="30" spans="1:7" x14ac:dyDescent="0.25">
      <c r="A30" s="63" t="s">
        <v>126</v>
      </c>
      <c r="B30" s="171">
        <v>0.15</v>
      </c>
      <c r="C30" s="373" t="s">
        <v>318</v>
      </c>
      <c r="D30" s="186"/>
    </row>
    <row r="31" spans="1:7" x14ac:dyDescent="0.25">
      <c r="A31" s="63" t="s">
        <v>231</v>
      </c>
      <c r="B31" s="171">
        <v>0.65</v>
      </c>
      <c r="C31" s="373" t="s">
        <v>318</v>
      </c>
      <c r="D31" s="186"/>
    </row>
    <row r="32" spans="1:7" x14ac:dyDescent="0.25">
      <c r="A32" s="63" t="s">
        <v>130</v>
      </c>
      <c r="B32" s="168">
        <f>+B29*B30*B31</f>
        <v>304621.2</v>
      </c>
      <c r="C32" s="374"/>
      <c r="D32" s="186"/>
    </row>
    <row r="33" spans="1:5" x14ac:dyDescent="0.25">
      <c r="A33" s="64" t="s">
        <v>351</v>
      </c>
      <c r="B33" s="169">
        <f>+B32/B27</f>
        <v>107.64</v>
      </c>
      <c r="C33" s="375"/>
      <c r="D33" s="301"/>
    </row>
    <row r="37" spans="1:5" x14ac:dyDescent="0.25">
      <c r="A37" t="s">
        <v>361</v>
      </c>
      <c r="C37"/>
    </row>
    <row r="38" spans="1:5" x14ac:dyDescent="0.25">
      <c r="A38" s="44"/>
      <c r="B38" s="26" t="s">
        <v>107</v>
      </c>
      <c r="C38" s="21" t="s">
        <v>20</v>
      </c>
      <c r="D38" s="36" t="s">
        <v>108</v>
      </c>
      <c r="E38" s="278" t="s">
        <v>109</v>
      </c>
    </row>
    <row r="39" spans="1:5" x14ac:dyDescent="0.25">
      <c r="A39" s="30" t="s">
        <v>110</v>
      </c>
      <c r="B39" s="26"/>
      <c r="C39" s="20"/>
      <c r="D39" s="26"/>
      <c r="E39" s="279"/>
    </row>
    <row r="40" spans="1:5" x14ac:dyDescent="0.25">
      <c r="A40" s="31" t="s">
        <v>111</v>
      </c>
      <c r="B40" s="32" t="s">
        <v>112</v>
      </c>
      <c r="C40" s="176">
        <v>2400</v>
      </c>
      <c r="D40" s="37"/>
      <c r="E40" s="280" t="s">
        <v>113</v>
      </c>
    </row>
    <row r="41" spans="1:5" ht="26.25" x14ac:dyDescent="0.25">
      <c r="A41" s="183" t="s">
        <v>114</v>
      </c>
      <c r="B41" s="184"/>
      <c r="C41" s="182"/>
      <c r="D41" s="40"/>
      <c r="E41" s="279"/>
    </row>
    <row r="42" spans="1:5" x14ac:dyDescent="0.25">
      <c r="A42" s="22" t="s">
        <v>115</v>
      </c>
      <c r="B42" s="27" t="s">
        <v>112</v>
      </c>
      <c r="C42" s="178">
        <v>1300</v>
      </c>
      <c r="D42" s="38"/>
      <c r="E42" s="281" t="s">
        <v>116</v>
      </c>
    </row>
    <row r="43" spans="1:5" x14ac:dyDescent="0.25">
      <c r="A43" s="22" t="s">
        <v>0</v>
      </c>
      <c r="B43" s="27" t="s">
        <v>112</v>
      </c>
      <c r="C43" s="177">
        <f>+$C$42*D43</f>
        <v>65</v>
      </c>
      <c r="D43" s="39">
        <v>0.05</v>
      </c>
      <c r="E43" s="281" t="s">
        <v>115</v>
      </c>
    </row>
    <row r="44" spans="1:5" x14ac:dyDescent="0.25">
      <c r="A44" s="22" t="s">
        <v>18</v>
      </c>
      <c r="B44" s="27" t="s">
        <v>112</v>
      </c>
      <c r="C44" s="177">
        <f>+$C$42*D44</f>
        <v>130</v>
      </c>
      <c r="D44" s="39">
        <v>0.1</v>
      </c>
      <c r="E44" s="281" t="s">
        <v>115</v>
      </c>
    </row>
    <row r="45" spans="1:5" x14ac:dyDescent="0.25">
      <c r="A45" s="22" t="s">
        <v>5</v>
      </c>
      <c r="B45" s="27" t="s">
        <v>112</v>
      </c>
      <c r="C45" s="177">
        <f>+$C$42*D45</f>
        <v>39</v>
      </c>
      <c r="D45" s="39">
        <v>0.03</v>
      </c>
      <c r="E45" s="281" t="s">
        <v>115</v>
      </c>
    </row>
    <row r="46" spans="1:5" x14ac:dyDescent="0.25">
      <c r="A46" s="22" t="s">
        <v>90</v>
      </c>
      <c r="B46" s="27" t="s">
        <v>112</v>
      </c>
      <c r="C46" s="177">
        <f>+$C$42*D46</f>
        <v>52</v>
      </c>
      <c r="D46" s="39">
        <v>0.04</v>
      </c>
      <c r="E46" s="281" t="s">
        <v>115</v>
      </c>
    </row>
    <row r="47" spans="1:5" x14ac:dyDescent="0.25">
      <c r="A47" s="175" t="s">
        <v>4</v>
      </c>
      <c r="B47" s="27" t="s">
        <v>112</v>
      </c>
      <c r="C47" s="179">
        <f>+$C$40*D47</f>
        <v>72</v>
      </c>
      <c r="D47" s="39">
        <v>0.03</v>
      </c>
      <c r="E47" s="281" t="s">
        <v>118</v>
      </c>
    </row>
    <row r="48" spans="1:5" x14ac:dyDescent="0.25">
      <c r="A48" s="22" t="s">
        <v>117</v>
      </c>
      <c r="B48" s="27" t="s">
        <v>112</v>
      </c>
      <c r="C48" s="177">
        <f>+$C$40*D48</f>
        <v>360</v>
      </c>
      <c r="D48" s="39">
        <v>0.15</v>
      </c>
      <c r="E48" s="281" t="s">
        <v>118</v>
      </c>
    </row>
    <row r="49" spans="1:5" x14ac:dyDescent="0.25">
      <c r="A49" s="185" t="s">
        <v>6</v>
      </c>
      <c r="B49" s="34" t="s">
        <v>112</v>
      </c>
      <c r="C49" s="180">
        <f>SUM(C42:C48)</f>
        <v>2018</v>
      </c>
      <c r="D49" s="37"/>
      <c r="E49" s="282"/>
    </row>
    <row r="50" spans="1:5" x14ac:dyDescent="0.25">
      <c r="A50" s="30" t="s">
        <v>119</v>
      </c>
      <c r="B50" s="187" t="s">
        <v>229</v>
      </c>
      <c r="C50" s="350">
        <f>+C40-C49</f>
        <v>382</v>
      </c>
      <c r="D50" s="40"/>
      <c r="E50" s="283"/>
    </row>
    <row r="51" spans="1:5" x14ac:dyDescent="0.25">
      <c r="A51" s="23" t="s">
        <v>120</v>
      </c>
      <c r="B51" s="28" t="s">
        <v>230</v>
      </c>
      <c r="C51" s="351">
        <f>+Descrizione!B6</f>
        <v>1</v>
      </c>
      <c r="D51" s="38"/>
      <c r="E51" s="284" t="s">
        <v>237</v>
      </c>
    </row>
    <row r="52" spans="1:5" x14ac:dyDescent="0.25">
      <c r="A52" s="23" t="s">
        <v>120</v>
      </c>
      <c r="B52" s="28" t="s">
        <v>233</v>
      </c>
      <c r="C52" s="351">
        <f>+C51/3</f>
        <v>0.33333333333333331</v>
      </c>
      <c r="D52" s="27"/>
      <c r="E52" s="285"/>
    </row>
    <row r="53" spans="1:5" x14ac:dyDescent="0.25">
      <c r="A53" s="35" t="s">
        <v>232</v>
      </c>
      <c r="B53" s="174" t="s">
        <v>234</v>
      </c>
      <c r="C53" s="352">
        <f>+Descrizione!B21/Descrizione!B11</f>
        <v>1.38</v>
      </c>
      <c r="D53" s="48"/>
      <c r="E53" s="286" t="s">
        <v>238</v>
      </c>
    </row>
    <row r="54" spans="1:5" x14ac:dyDescent="0.25">
      <c r="A54" s="33" t="s">
        <v>235</v>
      </c>
      <c r="B54" s="34" t="s">
        <v>121</v>
      </c>
      <c r="C54" s="353">
        <f>+C50*C52*C53</f>
        <v>175.71999999999997</v>
      </c>
      <c r="D54" s="32"/>
      <c r="E54" s="287"/>
    </row>
    <row r="55" spans="1:5" x14ac:dyDescent="0.25">
      <c r="A55" s="30" t="s">
        <v>122</v>
      </c>
      <c r="B55" s="26"/>
      <c r="C55" s="182"/>
      <c r="D55" s="40"/>
      <c r="E55" s="279"/>
    </row>
    <row r="56" spans="1:5" x14ac:dyDescent="0.25">
      <c r="A56" s="24" t="s">
        <v>236</v>
      </c>
      <c r="B56" s="27" t="s">
        <v>121</v>
      </c>
      <c r="C56" s="178">
        <v>60</v>
      </c>
      <c r="D56" s="38"/>
      <c r="E56" s="281" t="s">
        <v>116</v>
      </c>
    </row>
    <row r="57" spans="1:5" x14ac:dyDescent="0.25">
      <c r="A57" s="22" t="s">
        <v>0</v>
      </c>
      <c r="B57" s="27" t="s">
        <v>121</v>
      </c>
      <c r="C57" s="177">
        <f>+$C$56*D57</f>
        <v>1.7999999999999998</v>
      </c>
      <c r="D57" s="39">
        <v>0.03</v>
      </c>
      <c r="E57" s="281" t="s">
        <v>115</v>
      </c>
    </row>
    <row r="58" spans="1:5" x14ac:dyDescent="0.25">
      <c r="A58" s="22" t="s">
        <v>5</v>
      </c>
      <c r="B58" s="27" t="s">
        <v>121</v>
      </c>
      <c r="C58" s="177">
        <f>+($C$56+C57)*D58</f>
        <v>1.236</v>
      </c>
      <c r="D58" s="39">
        <v>0.02</v>
      </c>
      <c r="E58" s="281" t="s">
        <v>315</v>
      </c>
    </row>
    <row r="59" spans="1:5" x14ac:dyDescent="0.25">
      <c r="A59" s="22" t="s">
        <v>90</v>
      </c>
      <c r="B59" s="27" t="s">
        <v>121</v>
      </c>
      <c r="C59" s="177">
        <f>+($C$56+C57+C58)*D59</f>
        <v>2.5214399999999997</v>
      </c>
      <c r="D59" s="39">
        <v>0.04</v>
      </c>
      <c r="E59" s="281" t="s">
        <v>316</v>
      </c>
    </row>
    <row r="60" spans="1:5" x14ac:dyDescent="0.25">
      <c r="A60" s="33" t="s">
        <v>6</v>
      </c>
      <c r="B60" s="32" t="s">
        <v>121</v>
      </c>
      <c r="C60" s="180">
        <f>SUM(C56:C59)</f>
        <v>65.55744</v>
      </c>
      <c r="D60" s="37"/>
      <c r="E60" s="282"/>
    </row>
    <row r="61" spans="1:5" x14ac:dyDescent="0.25">
      <c r="A61" s="25" t="s">
        <v>240</v>
      </c>
      <c r="B61" s="29" t="s">
        <v>123</v>
      </c>
      <c r="C61" s="180">
        <f>+C54-C60</f>
        <v>110.16255999999997</v>
      </c>
      <c r="D61" s="29"/>
      <c r="E61" s="288" t="s">
        <v>124</v>
      </c>
    </row>
    <row r="62" spans="1:5" x14ac:dyDescent="0.25">
      <c r="A62" s="25" t="s">
        <v>241</v>
      </c>
      <c r="B62" s="29" t="s">
        <v>123</v>
      </c>
      <c r="C62" s="181">
        <f>+C61/(1+'Fiscalità e Finanza'!B7)^'Distribuzione Costi&amp;Ricavi'!G3</f>
        <v>92.37806432726812</v>
      </c>
      <c r="D62" s="41"/>
      <c r="E62" s="398" t="s">
        <v>239</v>
      </c>
    </row>
    <row r="63" spans="1:5" x14ac:dyDescent="0.25">
      <c r="A63" s="41" t="s">
        <v>241</v>
      </c>
      <c r="B63" s="341" t="s">
        <v>352</v>
      </c>
      <c r="C63" s="342">
        <f>+C62/C51</f>
        <v>92.37806432726812</v>
      </c>
      <c r="D63" s="343"/>
      <c r="E63" s="399"/>
    </row>
  </sheetData>
  <mergeCells count="2">
    <mergeCell ref="E62:E63"/>
    <mergeCell ref="C24:D2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6"/>
  <sheetViews>
    <sheetView topLeftCell="A18" workbookViewId="0">
      <selection activeCell="I20" sqref="I20:J35"/>
    </sheetView>
  </sheetViews>
  <sheetFormatPr defaultRowHeight="15" x14ac:dyDescent="0.25"/>
  <cols>
    <col min="1" max="1" width="30.42578125" customWidth="1"/>
    <col min="2" max="2" width="12.5703125" customWidth="1"/>
    <col min="3" max="3" width="13.85546875" customWidth="1"/>
    <col min="4" max="4" width="13.28515625" bestFit="1" customWidth="1"/>
    <col min="5" max="5" width="19.7109375" customWidth="1"/>
    <col min="6" max="6" width="16.140625" customWidth="1"/>
    <col min="7" max="9" width="9" customWidth="1"/>
    <col min="10" max="10" width="13.140625" customWidth="1"/>
    <col min="11" max="12" width="9" customWidth="1"/>
    <col min="13" max="13" width="14.7109375" bestFit="1" customWidth="1"/>
  </cols>
  <sheetData>
    <row r="1" spans="1:9" x14ac:dyDescent="0.25">
      <c r="A1" t="s">
        <v>72</v>
      </c>
      <c r="I1" t="s">
        <v>164</v>
      </c>
    </row>
    <row r="3" spans="1:9" ht="30" x14ac:dyDescent="0.25">
      <c r="A3" s="102" t="s">
        <v>169</v>
      </c>
      <c r="B3" s="98" t="s">
        <v>48</v>
      </c>
      <c r="C3" s="99" t="s">
        <v>36</v>
      </c>
      <c r="D3" s="100" t="s">
        <v>29</v>
      </c>
      <c r="E3" s="302" t="s">
        <v>249</v>
      </c>
    </row>
    <row r="4" spans="1:9" x14ac:dyDescent="0.25">
      <c r="A4" s="48" t="s">
        <v>166</v>
      </c>
      <c r="B4" s="94">
        <f>3*184*2</f>
        <v>1104</v>
      </c>
      <c r="C4" s="97">
        <v>20</v>
      </c>
      <c r="D4" s="95">
        <f>+C4*B4</f>
        <v>22080</v>
      </c>
      <c r="E4" s="186" t="s">
        <v>116</v>
      </c>
    </row>
    <row r="5" spans="1:9" x14ac:dyDescent="0.25">
      <c r="A5" s="48" t="s">
        <v>330</v>
      </c>
      <c r="B5" s="96">
        <f>+Descrizione!B16</f>
        <v>2358.3333333333335</v>
      </c>
      <c r="C5" s="97">
        <v>60</v>
      </c>
      <c r="D5" s="95">
        <f t="shared" ref="D5:D7" si="0">+C5*B5</f>
        <v>141500</v>
      </c>
      <c r="E5" s="186" t="s">
        <v>116</v>
      </c>
    </row>
    <row r="6" spans="1:9" x14ac:dyDescent="0.25">
      <c r="A6" s="48" t="s">
        <v>167</v>
      </c>
      <c r="B6" s="300">
        <f>+Descrizione!B11</f>
        <v>943.33333333333337</v>
      </c>
      <c r="C6" s="189">
        <f>AVERAGE(F18,E46)</f>
        <v>1458.7687027976335</v>
      </c>
      <c r="D6" s="95">
        <f t="shared" si="0"/>
        <v>1376105.1429724344</v>
      </c>
      <c r="E6" s="186" t="s">
        <v>324</v>
      </c>
    </row>
    <row r="7" spans="1:9" x14ac:dyDescent="0.25">
      <c r="A7" s="48" t="s">
        <v>168</v>
      </c>
      <c r="B7" s="96">
        <f>+Descrizione!B12</f>
        <v>471.66666666666669</v>
      </c>
      <c r="C7" s="85">
        <f>+C6*0.5</f>
        <v>729.38435139881676</v>
      </c>
      <c r="D7" s="95">
        <f t="shared" si="0"/>
        <v>344026.2857431086</v>
      </c>
      <c r="E7" s="186" t="s">
        <v>325</v>
      </c>
    </row>
    <row r="8" spans="1:9" x14ac:dyDescent="0.25">
      <c r="A8" s="8"/>
      <c r="B8" s="93"/>
      <c r="C8" s="8" t="s">
        <v>6</v>
      </c>
      <c r="D8" s="101">
        <f>SUM(D4:D7)</f>
        <v>1883711.4287155429</v>
      </c>
      <c r="E8" s="301"/>
    </row>
    <row r="13" spans="1:9" x14ac:dyDescent="0.25">
      <c r="A13" t="s">
        <v>162</v>
      </c>
    </row>
    <row r="14" spans="1:9" ht="45" x14ac:dyDescent="0.25">
      <c r="A14" s="102" t="s">
        <v>329</v>
      </c>
      <c r="B14" s="190" t="s">
        <v>131</v>
      </c>
      <c r="C14" s="51" t="s">
        <v>134</v>
      </c>
      <c r="D14" s="65" t="s">
        <v>132</v>
      </c>
      <c r="E14" s="65" t="s">
        <v>366</v>
      </c>
      <c r="F14" s="191" t="s">
        <v>133</v>
      </c>
    </row>
    <row r="15" spans="1:9" x14ac:dyDescent="0.25">
      <c r="A15" s="48" t="s">
        <v>367</v>
      </c>
      <c r="B15" s="292">
        <v>2018</v>
      </c>
      <c r="C15" s="91">
        <v>1300</v>
      </c>
      <c r="D15" s="70">
        <v>103</v>
      </c>
      <c r="E15" s="70">
        <f>+J35</f>
        <v>114.15</v>
      </c>
      <c r="F15" s="194">
        <f>+C15*E15/D15</f>
        <v>1440.7281553398059</v>
      </c>
    </row>
    <row r="16" spans="1:9" x14ac:dyDescent="0.25">
      <c r="A16" s="48" t="s">
        <v>368</v>
      </c>
      <c r="B16" s="292">
        <v>2017</v>
      </c>
      <c r="C16" s="91">
        <v>1200</v>
      </c>
      <c r="D16" s="70">
        <v>101.1</v>
      </c>
      <c r="E16" s="70">
        <f>+E15</f>
        <v>114.15</v>
      </c>
      <c r="F16" s="194">
        <f t="shared" ref="F16:F17" si="1">+C16*E16/D16</f>
        <v>1354.8961424332344</v>
      </c>
    </row>
    <row r="17" spans="1:10" x14ac:dyDescent="0.25">
      <c r="A17" s="48" t="s">
        <v>369</v>
      </c>
      <c r="B17" s="292">
        <v>2019</v>
      </c>
      <c r="C17" s="92">
        <v>1350</v>
      </c>
      <c r="D17" s="70">
        <f>+J29</f>
        <v>103</v>
      </c>
      <c r="E17" s="70">
        <f>+E16</f>
        <v>114.15</v>
      </c>
      <c r="F17" s="194">
        <f t="shared" si="1"/>
        <v>1496.1407766990292</v>
      </c>
    </row>
    <row r="18" spans="1:10" x14ac:dyDescent="0.25">
      <c r="A18" s="402" t="s">
        <v>165</v>
      </c>
      <c r="B18" s="403"/>
      <c r="C18" s="403"/>
      <c r="D18" s="403"/>
      <c r="E18" s="404"/>
      <c r="F18" s="195">
        <f>AVERAGE(F15:F17)</f>
        <v>1430.5883581573564</v>
      </c>
    </row>
    <row r="20" spans="1:10" x14ac:dyDescent="0.25">
      <c r="A20" t="s">
        <v>163</v>
      </c>
      <c r="I20" t="s">
        <v>135</v>
      </c>
      <c r="J20" t="s">
        <v>136</v>
      </c>
    </row>
    <row r="21" spans="1:10" x14ac:dyDescent="0.25">
      <c r="A21" s="405" t="s">
        <v>137</v>
      </c>
      <c r="B21" s="402" t="s">
        <v>242</v>
      </c>
      <c r="C21" s="404"/>
      <c r="D21" s="402" t="s">
        <v>243</v>
      </c>
      <c r="E21" s="404"/>
      <c r="I21">
        <v>2010</v>
      </c>
      <c r="J21" s="379">
        <v>94.5</v>
      </c>
    </row>
    <row r="22" spans="1:10" ht="18" x14ac:dyDescent="0.25">
      <c r="A22" s="406"/>
      <c r="B22" s="188" t="s">
        <v>138</v>
      </c>
      <c r="C22" s="90" t="s">
        <v>139</v>
      </c>
      <c r="D22" s="296" t="s">
        <v>140</v>
      </c>
      <c r="E22" s="66" t="s">
        <v>141</v>
      </c>
      <c r="I22">
        <v>2011</v>
      </c>
      <c r="J22" s="379">
        <v>97.3</v>
      </c>
    </row>
    <row r="23" spans="1:10" x14ac:dyDescent="0.25">
      <c r="A23" s="67" t="s">
        <v>142</v>
      </c>
      <c r="B23" s="87">
        <v>90330</v>
      </c>
      <c r="C23" s="293">
        <f>+B23/B$41</f>
        <v>2.5140593054149268E-2</v>
      </c>
      <c r="D23" s="297">
        <v>1.2</v>
      </c>
      <c r="E23" s="69">
        <f>+D23*C23</f>
        <v>3.0168711664979121E-2</v>
      </c>
      <c r="I23">
        <v>2012</v>
      </c>
      <c r="J23" s="379">
        <v>99.2</v>
      </c>
    </row>
    <row r="24" spans="1:10" x14ac:dyDescent="0.25">
      <c r="A24" s="42" t="s">
        <v>143</v>
      </c>
      <c r="B24" s="88">
        <v>108230</v>
      </c>
      <c r="C24" s="294">
        <f t="shared" ref="C24:C40" si="2">+B24/B$41</f>
        <v>3.0122510641542959E-2</v>
      </c>
      <c r="D24" s="298">
        <v>1.2</v>
      </c>
      <c r="E24" s="71">
        <f t="shared" ref="E24:E40" si="3">+D24*C24</f>
        <v>3.614701276985155E-2</v>
      </c>
      <c r="I24">
        <v>2013</v>
      </c>
      <c r="J24" s="379">
        <v>99.5</v>
      </c>
    </row>
    <row r="25" spans="1:10" x14ac:dyDescent="0.25">
      <c r="A25" s="42" t="s">
        <v>144</v>
      </c>
      <c r="B25" s="88">
        <v>112068</v>
      </c>
      <c r="C25" s="294">
        <f t="shared" si="2"/>
        <v>3.1190700568940556E-2</v>
      </c>
      <c r="D25" s="298">
        <v>1.2</v>
      </c>
      <c r="E25" s="71">
        <f t="shared" si="3"/>
        <v>3.7428840682728663E-2</v>
      </c>
      <c r="I25">
        <v>2014</v>
      </c>
      <c r="J25" s="379">
        <v>99.8</v>
      </c>
    </row>
    <row r="26" spans="1:10" x14ac:dyDescent="0.25">
      <c r="A26" s="42" t="s">
        <v>145</v>
      </c>
      <c r="B26" s="88">
        <v>708547</v>
      </c>
      <c r="C26" s="294">
        <f t="shared" si="2"/>
        <v>0.19720238887123107</v>
      </c>
      <c r="D26" s="298">
        <v>1</v>
      </c>
      <c r="E26" s="71">
        <f t="shared" si="3"/>
        <v>0.19720238887123107</v>
      </c>
      <c r="I26">
        <v>2015</v>
      </c>
      <c r="J26" s="379">
        <v>100.2</v>
      </c>
    </row>
    <row r="27" spans="1:10" x14ac:dyDescent="0.25">
      <c r="A27" s="42" t="s">
        <v>146</v>
      </c>
      <c r="B27" s="88">
        <v>286217</v>
      </c>
      <c r="C27" s="294">
        <f t="shared" si="2"/>
        <v>7.9659748944751932E-2</v>
      </c>
      <c r="D27" s="298">
        <v>1</v>
      </c>
      <c r="E27" s="71">
        <f t="shared" si="3"/>
        <v>7.9659748944751932E-2</v>
      </c>
      <c r="I27">
        <v>2016</v>
      </c>
      <c r="J27" s="379">
        <v>100.5</v>
      </c>
    </row>
    <row r="28" spans="1:10" x14ac:dyDescent="0.25">
      <c r="A28" s="42" t="s">
        <v>147</v>
      </c>
      <c r="B28" s="88">
        <v>259002</v>
      </c>
      <c r="C28" s="294">
        <f t="shared" si="2"/>
        <v>7.2085285975985486E-2</v>
      </c>
      <c r="D28" s="298">
        <v>1</v>
      </c>
      <c r="E28" s="71">
        <f t="shared" si="3"/>
        <v>7.2085285975985486E-2</v>
      </c>
      <c r="I28">
        <v>2017</v>
      </c>
      <c r="J28" s="379">
        <v>101.1</v>
      </c>
    </row>
    <row r="29" spans="1:10" x14ac:dyDescent="0.25">
      <c r="A29" s="42" t="s">
        <v>148</v>
      </c>
      <c r="B29" s="88">
        <v>50216</v>
      </c>
      <c r="C29" s="294">
        <f t="shared" si="2"/>
        <v>1.3976087908858183E-2</v>
      </c>
      <c r="D29" s="298">
        <v>1</v>
      </c>
      <c r="E29" s="71">
        <f t="shared" si="3"/>
        <v>1.3976087908858183E-2</v>
      </c>
      <c r="I29">
        <v>2018</v>
      </c>
      <c r="J29" s="379">
        <v>103</v>
      </c>
    </row>
    <row r="30" spans="1:10" x14ac:dyDescent="0.25">
      <c r="A30" s="42" t="s">
        <v>149</v>
      </c>
      <c r="B30" s="88">
        <v>254238</v>
      </c>
      <c r="C30" s="294">
        <f t="shared" si="2"/>
        <v>7.0759372267251208E-2</v>
      </c>
      <c r="D30" s="298">
        <v>1</v>
      </c>
      <c r="E30" s="71">
        <f t="shared" si="3"/>
        <v>7.0759372267251208E-2</v>
      </c>
      <c r="I30">
        <v>2019</v>
      </c>
      <c r="J30" s="379">
        <v>103</v>
      </c>
    </row>
    <row r="31" spans="1:10" x14ac:dyDescent="0.25">
      <c r="A31" s="42" t="s">
        <v>150</v>
      </c>
      <c r="B31" s="88">
        <v>214892</v>
      </c>
      <c r="C31" s="294">
        <f t="shared" si="2"/>
        <v>5.9808616435206963E-2</v>
      </c>
      <c r="D31" s="298">
        <v>1</v>
      </c>
      <c r="E31" s="71">
        <f t="shared" si="3"/>
        <v>5.9808616435206963E-2</v>
      </c>
      <c r="I31">
        <v>2020</v>
      </c>
      <c r="J31" s="379">
        <v>102.9</v>
      </c>
    </row>
    <row r="32" spans="1:10" x14ac:dyDescent="0.25">
      <c r="A32" s="42" t="s">
        <v>151</v>
      </c>
      <c r="B32" s="88">
        <v>71057</v>
      </c>
      <c r="C32" s="294">
        <f t="shared" si="2"/>
        <v>1.9776542905443204E-2</v>
      </c>
      <c r="D32" s="298">
        <v>1</v>
      </c>
      <c r="E32" s="71">
        <f t="shared" si="3"/>
        <v>1.9776542905443204E-2</v>
      </c>
      <c r="I32">
        <v>2021</v>
      </c>
      <c r="J32" s="379">
        <v>108</v>
      </c>
    </row>
    <row r="33" spans="1:10" x14ac:dyDescent="0.25">
      <c r="A33" s="42" t="s">
        <v>152</v>
      </c>
      <c r="B33" s="88">
        <v>75093</v>
      </c>
      <c r="C33" s="294">
        <f t="shared" si="2"/>
        <v>2.0899840077662251E-2</v>
      </c>
      <c r="D33" s="298">
        <v>1.2</v>
      </c>
      <c r="E33" s="71">
        <f t="shared" si="3"/>
        <v>2.5079808093194701E-2</v>
      </c>
      <c r="I33">
        <v>2022</v>
      </c>
      <c r="J33" s="379">
        <v>111.93</v>
      </c>
    </row>
    <row r="34" spans="1:10" x14ac:dyDescent="0.25">
      <c r="A34" s="42" t="s">
        <v>153</v>
      </c>
      <c r="B34" s="88">
        <v>84818</v>
      </c>
      <c r="C34" s="294">
        <f t="shared" si="2"/>
        <v>2.3606496420533963E-2</v>
      </c>
      <c r="D34" s="298">
        <v>1.2</v>
      </c>
      <c r="E34" s="71">
        <f t="shared" si="3"/>
        <v>2.8327795704640755E-2</v>
      </c>
      <c r="I34">
        <v>2023</v>
      </c>
      <c r="J34" s="379">
        <v>111.4</v>
      </c>
    </row>
    <row r="35" spans="1:10" ht="15" customHeight="1" x14ac:dyDescent="0.25">
      <c r="A35" s="42" t="s">
        <v>154</v>
      </c>
      <c r="B35" s="88">
        <v>267525</v>
      </c>
      <c r="C35" s="294">
        <f t="shared" si="2"/>
        <v>7.445740237807244E-2</v>
      </c>
      <c r="D35" s="298">
        <v>1.25</v>
      </c>
      <c r="E35" s="71">
        <f t="shared" si="3"/>
        <v>9.3071752972590543E-2</v>
      </c>
      <c r="I35">
        <v>2024</v>
      </c>
      <c r="J35" s="379">
        <v>114.15</v>
      </c>
    </row>
    <row r="36" spans="1:10" x14ac:dyDescent="0.25">
      <c r="A36" s="42" t="s">
        <v>155</v>
      </c>
      <c r="B36" s="88">
        <v>305635</v>
      </c>
      <c r="C36" s="294">
        <f t="shared" si="2"/>
        <v>8.5064155409110068E-2</v>
      </c>
      <c r="D36" s="298">
        <v>1.25</v>
      </c>
      <c r="E36" s="71">
        <f t="shared" si="3"/>
        <v>0.10633019426138758</v>
      </c>
    </row>
    <row r="37" spans="1:10" x14ac:dyDescent="0.25">
      <c r="A37" s="42" t="s">
        <v>156</v>
      </c>
      <c r="B37" s="88">
        <v>190845</v>
      </c>
      <c r="C37" s="294">
        <f t="shared" si="2"/>
        <v>5.3115869383583716E-2</v>
      </c>
      <c r="D37" s="298">
        <v>1.25</v>
      </c>
      <c r="E37" s="71">
        <f t="shared" si="3"/>
        <v>6.6394836729479642E-2</v>
      </c>
    </row>
    <row r="38" spans="1:10" x14ac:dyDescent="0.25">
      <c r="A38" s="42" t="s">
        <v>157</v>
      </c>
      <c r="B38" s="88">
        <v>138343</v>
      </c>
      <c r="C38" s="294">
        <f t="shared" si="2"/>
        <v>3.8503543284514254E-2</v>
      </c>
      <c r="D38" s="298">
        <v>1.2</v>
      </c>
      <c r="E38" s="71">
        <f t="shared" si="3"/>
        <v>4.6204251941417106E-2</v>
      </c>
    </row>
    <row r="39" spans="1:10" x14ac:dyDescent="0.25">
      <c r="A39" s="42" t="s">
        <v>158</v>
      </c>
      <c r="B39" s="88">
        <v>243870</v>
      </c>
      <c r="C39" s="294">
        <f t="shared" si="2"/>
        <v>6.7873756538418928E-2</v>
      </c>
      <c r="D39" s="298">
        <v>1.2</v>
      </c>
      <c r="E39" s="71">
        <f t="shared" si="3"/>
        <v>8.1448507846102705E-2</v>
      </c>
    </row>
    <row r="40" spans="1:10" x14ac:dyDescent="0.25">
      <c r="A40" s="43" t="s">
        <v>159</v>
      </c>
      <c r="B40" s="89">
        <v>132068</v>
      </c>
      <c r="C40" s="295">
        <f t="shared" si="2"/>
        <v>3.6757088934743561E-2</v>
      </c>
      <c r="D40" s="299">
        <v>1.2</v>
      </c>
      <c r="E40" s="74">
        <f t="shared" si="3"/>
        <v>4.4108506721692274E-2</v>
      </c>
    </row>
    <row r="41" spans="1:10" x14ac:dyDescent="0.25">
      <c r="A41" s="45" t="s">
        <v>160</v>
      </c>
      <c r="B41" s="75">
        <f>SUM(B23:B40)</f>
        <v>3592994</v>
      </c>
      <c r="C41" s="73">
        <f>SUM(C23:C40)</f>
        <v>0.99999999999999989</v>
      </c>
      <c r="D41" s="49"/>
      <c r="E41" s="76">
        <f>SUM(E23:E40)</f>
        <v>1.1079782626967924</v>
      </c>
    </row>
    <row r="42" spans="1:10" x14ac:dyDescent="0.25">
      <c r="A42" s="67" t="s">
        <v>104</v>
      </c>
      <c r="B42" s="68">
        <v>3050</v>
      </c>
      <c r="C42" s="77"/>
      <c r="D42" s="78" t="s">
        <v>326</v>
      </c>
      <c r="E42" s="79"/>
    </row>
    <row r="43" spans="1:10" x14ac:dyDescent="0.25">
      <c r="A43" s="43" t="s">
        <v>161</v>
      </c>
      <c r="B43" s="72">
        <f>+B41/B42</f>
        <v>1178.0308196721312</v>
      </c>
      <c r="C43" s="80"/>
      <c r="D43" s="81" t="s">
        <v>327</v>
      </c>
      <c r="E43" s="82">
        <f>+B43*E41</f>
        <v>1305.2325409836062</v>
      </c>
    </row>
    <row r="44" spans="1:10" x14ac:dyDescent="0.25">
      <c r="A44" s="67" t="s">
        <v>135</v>
      </c>
      <c r="B44" s="354">
        <v>2015</v>
      </c>
      <c r="C44" s="77"/>
      <c r="D44" s="78"/>
      <c r="E44" s="355">
        <v>2024</v>
      </c>
    </row>
    <row r="45" spans="1:10" x14ac:dyDescent="0.25">
      <c r="A45" s="42" t="s">
        <v>136</v>
      </c>
      <c r="B45" s="83">
        <f>+J26</f>
        <v>100.2</v>
      </c>
      <c r="C45" s="84"/>
      <c r="D45" s="85"/>
      <c r="E45" s="86">
        <f>+J35</f>
        <v>114.15</v>
      </c>
    </row>
    <row r="46" spans="1:10" x14ac:dyDescent="0.25">
      <c r="A46" s="402" t="s">
        <v>328</v>
      </c>
      <c r="B46" s="403"/>
      <c r="C46" s="403"/>
      <c r="D46" s="404"/>
      <c r="E46" s="291">
        <f>+E43*E45/B45</f>
        <v>1486.9490474379106</v>
      </c>
    </row>
  </sheetData>
  <mergeCells count="5">
    <mergeCell ref="A18:E18"/>
    <mergeCell ref="A21:A22"/>
    <mergeCell ref="B21:C21"/>
    <mergeCell ref="D21:E21"/>
    <mergeCell ref="A46:D4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0"/>
  <sheetViews>
    <sheetView workbookViewId="0">
      <selection activeCell="A7" sqref="A7:F10"/>
    </sheetView>
  </sheetViews>
  <sheetFormatPr defaultRowHeight="15" x14ac:dyDescent="0.25"/>
  <cols>
    <col min="1" max="1" width="33.85546875" customWidth="1"/>
    <col min="2" max="2" width="13.85546875" customWidth="1"/>
    <col min="3" max="3" width="19.140625" customWidth="1"/>
    <col min="4" max="4" width="15.28515625" customWidth="1"/>
    <col min="5" max="5" width="11.7109375" customWidth="1"/>
    <col min="6" max="6" width="11.28515625" customWidth="1"/>
  </cols>
  <sheetData>
    <row r="1" spans="1:6" x14ac:dyDescent="0.25">
      <c r="A1" t="s">
        <v>71</v>
      </c>
    </row>
    <row r="3" spans="1:6" ht="60" x14ac:dyDescent="0.25">
      <c r="A3" s="8" t="s">
        <v>21</v>
      </c>
      <c r="B3" s="51" t="s">
        <v>335</v>
      </c>
      <c r="C3" s="303" t="s">
        <v>333</v>
      </c>
      <c r="D3" s="303" t="s">
        <v>334</v>
      </c>
      <c r="E3" s="51" t="s">
        <v>24</v>
      </c>
      <c r="F3" s="51" t="s">
        <v>30</v>
      </c>
    </row>
    <row r="4" spans="1:6" x14ac:dyDescent="0.25">
      <c r="A4" s="8" t="s">
        <v>22</v>
      </c>
      <c r="B4" s="277">
        <f>+'Ca - Costo area'!B3</f>
        <v>2830</v>
      </c>
      <c r="C4" s="8">
        <f>3*184</f>
        <v>552</v>
      </c>
      <c r="D4" s="304">
        <f>+B4-C4</f>
        <v>2278</v>
      </c>
      <c r="E4" s="305">
        <v>14.61</v>
      </c>
      <c r="F4" s="306">
        <f>+E4*D4</f>
        <v>33281.58</v>
      </c>
    </row>
    <row r="5" spans="1:6" x14ac:dyDescent="0.25">
      <c r="A5" s="8" t="s">
        <v>23</v>
      </c>
      <c r="B5" s="277">
        <f>+B4</f>
        <v>2830</v>
      </c>
      <c r="C5" s="8">
        <f>3*184</f>
        <v>552</v>
      </c>
      <c r="D5" s="304">
        <f>+B5-C5</f>
        <v>2278</v>
      </c>
      <c r="E5" s="305">
        <v>21.27</v>
      </c>
      <c r="F5" s="306">
        <f>+E5*D5</f>
        <v>48453.06</v>
      </c>
    </row>
    <row r="7" spans="1:6" ht="44.25" customHeight="1" x14ac:dyDescent="0.25">
      <c r="A7" t="s">
        <v>34</v>
      </c>
      <c r="B7" s="4" t="s">
        <v>25</v>
      </c>
      <c r="C7" s="4" t="s">
        <v>28</v>
      </c>
      <c r="D7" s="4" t="s">
        <v>29</v>
      </c>
      <c r="E7" s="4" t="s">
        <v>31</v>
      </c>
      <c r="F7" s="4" t="s">
        <v>32</v>
      </c>
    </row>
    <row r="8" spans="1:6" x14ac:dyDescent="0.25">
      <c r="A8" t="s">
        <v>26</v>
      </c>
      <c r="B8" s="5">
        <f>+Descrizione!B11</f>
        <v>943.33333333333337</v>
      </c>
    </row>
    <row r="9" spans="1:6" x14ac:dyDescent="0.25">
      <c r="A9" t="s">
        <v>170</v>
      </c>
      <c r="B9" s="5">
        <f>+Descrizione!B12</f>
        <v>471.66666666666669</v>
      </c>
    </row>
    <row r="10" spans="1:6" x14ac:dyDescent="0.25">
      <c r="A10" t="s">
        <v>27</v>
      </c>
      <c r="B10" s="5">
        <f>+B8+B9*0.6</f>
        <v>1226.3333333333335</v>
      </c>
      <c r="C10" s="6">
        <v>260</v>
      </c>
      <c r="D10" s="5">
        <f>+C10*B10</f>
        <v>318846.66666666669</v>
      </c>
      <c r="E10" s="7">
        <v>7.0000000000000007E-2</v>
      </c>
      <c r="F10" s="5">
        <f>+E10*D10</f>
        <v>22319.26666666667</v>
      </c>
    </row>
    <row r="13" spans="1:6" x14ac:dyDescent="0.25">
      <c r="A13" t="s">
        <v>33</v>
      </c>
      <c r="B13" t="s">
        <v>35</v>
      </c>
    </row>
    <row r="14" spans="1:6" x14ac:dyDescent="0.25">
      <c r="A14" t="str">
        <f>+A4</f>
        <v>Urbanizzazione primaria</v>
      </c>
      <c r="B14" s="5">
        <f>IF(F4&gt;'Cc - Costo costruzione'!D5,'On - Oneri concessori'!F4,0)</f>
        <v>0</v>
      </c>
    </row>
    <row r="15" spans="1:6" x14ac:dyDescent="0.25">
      <c r="A15" t="str">
        <f>+A5</f>
        <v>Urbanizzazione secondaria</v>
      </c>
      <c r="B15" s="5">
        <f>+F5</f>
        <v>48453.06</v>
      </c>
    </row>
    <row r="16" spans="1:6" x14ac:dyDescent="0.25">
      <c r="A16" t="str">
        <f>+A7</f>
        <v>Contributo costo costruzione</v>
      </c>
      <c r="B16" s="5">
        <f>+F10</f>
        <v>22319.26666666667</v>
      </c>
    </row>
    <row r="17" spans="1:2" x14ac:dyDescent="0.25">
      <c r="A17" t="s">
        <v>6</v>
      </c>
      <c r="B17" s="5">
        <f>SUM(B14:B16)</f>
        <v>70772.32666666666</v>
      </c>
    </row>
    <row r="20" spans="1:2" x14ac:dyDescent="0.25">
      <c r="A20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"/>
  <sheetViews>
    <sheetView workbookViewId="0">
      <selection activeCell="A3" sqref="A3:D8"/>
    </sheetView>
  </sheetViews>
  <sheetFormatPr defaultRowHeight="15" x14ac:dyDescent="0.25"/>
  <cols>
    <col min="1" max="1" width="29.28515625" customWidth="1"/>
    <col min="2" max="2" width="14.7109375" customWidth="1"/>
    <col min="4" max="4" width="12" customWidth="1"/>
  </cols>
  <sheetData>
    <row r="1" spans="1:4" x14ac:dyDescent="0.25">
      <c r="A1" t="s">
        <v>73</v>
      </c>
    </row>
    <row r="3" spans="1:4" x14ac:dyDescent="0.25">
      <c r="A3" s="8" t="s">
        <v>47</v>
      </c>
      <c r="B3" s="93" t="s">
        <v>49</v>
      </c>
      <c r="C3" s="8" t="s">
        <v>31</v>
      </c>
      <c r="D3" s="198" t="s">
        <v>35</v>
      </c>
    </row>
    <row r="4" spans="1:4" x14ac:dyDescent="0.25">
      <c r="A4" s="48" t="str">
        <f>+'Cc - Costo costruzione'!A4</f>
        <v>Cc1 - Demolizioni (mc)</v>
      </c>
      <c r="B4" s="196">
        <f>+'Cc - Costo costruzione'!D4</f>
        <v>22080</v>
      </c>
      <c r="C4" s="199">
        <v>0</v>
      </c>
      <c r="D4" s="192">
        <f>+C4*B4</f>
        <v>0</v>
      </c>
    </row>
    <row r="5" spans="1:4" x14ac:dyDescent="0.25">
      <c r="A5" s="48" t="str">
        <f>+'Cc - Costo costruzione'!A5</f>
        <v>Cc2 - Opere urbanizzazione (mq)</v>
      </c>
      <c r="B5" s="196">
        <f>+'Cc - Costo costruzione'!D5</f>
        <v>141500</v>
      </c>
      <c r="C5" s="199">
        <v>0.05</v>
      </c>
      <c r="D5" s="192">
        <f t="shared" ref="D5:D7" si="0">+C5*B5</f>
        <v>7075</v>
      </c>
    </row>
    <row r="6" spans="1:4" x14ac:dyDescent="0.25">
      <c r="A6" s="48" t="str">
        <f>+'Cc - Costo costruzione'!A6</f>
        <v>Cc3 - Residenze (mq)</v>
      </c>
      <c r="B6" s="196">
        <f>+'Cc - Costo costruzione'!D6</f>
        <v>1376105.1429724344</v>
      </c>
      <c r="C6" s="199">
        <v>7.0000000000000007E-2</v>
      </c>
      <c r="D6" s="192">
        <f t="shared" si="0"/>
        <v>96327.36000807042</v>
      </c>
    </row>
    <row r="7" spans="1:4" x14ac:dyDescent="0.25">
      <c r="A7" s="48" t="str">
        <f>+'Cc - Costo costruzione'!A7</f>
        <v>Cc4 - Autorimesse/cantine (mq)</v>
      </c>
      <c r="B7" s="196">
        <f>+'Cc - Costo costruzione'!D7</f>
        <v>344026.2857431086</v>
      </c>
      <c r="C7" s="199">
        <v>0.05</v>
      </c>
      <c r="D7" s="192">
        <f t="shared" si="0"/>
        <v>17201.31428715543</v>
      </c>
    </row>
    <row r="8" spans="1:4" x14ac:dyDescent="0.25">
      <c r="A8" s="8"/>
      <c r="B8" s="93"/>
      <c r="C8" s="93" t="s">
        <v>6</v>
      </c>
      <c r="D8" s="193">
        <f>SUM(D4:D7)</f>
        <v>120603.67429522585</v>
      </c>
    </row>
    <row r="10" spans="1:4" x14ac:dyDescent="0.25">
      <c r="A10" t="s">
        <v>245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8"/>
  <sheetViews>
    <sheetView workbookViewId="0">
      <selection activeCell="A3" sqref="A3:B8"/>
    </sheetView>
  </sheetViews>
  <sheetFormatPr defaultRowHeight="15" x14ac:dyDescent="0.25"/>
  <cols>
    <col min="1" max="1" width="26" customWidth="1"/>
    <col min="2" max="2" width="16.85546875" customWidth="1"/>
  </cols>
  <sheetData>
    <row r="1" spans="1:2" x14ac:dyDescent="0.25">
      <c r="A1" t="s">
        <v>74</v>
      </c>
    </row>
    <row r="3" spans="1:2" x14ac:dyDescent="0.25">
      <c r="A3" s="201" t="s">
        <v>47</v>
      </c>
      <c r="B3" s="202" t="s">
        <v>35</v>
      </c>
    </row>
    <row r="4" spans="1:2" x14ac:dyDescent="0.25">
      <c r="A4" s="48" t="s">
        <v>75</v>
      </c>
      <c r="B4" s="192">
        <f>+'Cc - Costo costruzione'!D8</f>
        <v>1883711.4287155429</v>
      </c>
    </row>
    <row r="5" spans="1:2" x14ac:dyDescent="0.25">
      <c r="A5" s="48" t="s">
        <v>73</v>
      </c>
      <c r="B5" s="192">
        <f>+'St - Spese tecniche'!D8</f>
        <v>120603.67429522585</v>
      </c>
    </row>
    <row r="6" spans="1:2" x14ac:dyDescent="0.25">
      <c r="A6" s="48" t="s">
        <v>6</v>
      </c>
      <c r="B6" s="192">
        <f>SUM(B4:B5)</f>
        <v>2004315.1030107688</v>
      </c>
    </row>
    <row r="7" spans="1:2" x14ac:dyDescent="0.25">
      <c r="A7" s="48" t="s">
        <v>31</v>
      </c>
      <c r="B7" s="200">
        <v>0.03</v>
      </c>
    </row>
    <row r="8" spans="1:2" x14ac:dyDescent="0.25">
      <c r="A8" s="49" t="s">
        <v>35</v>
      </c>
      <c r="B8" s="197">
        <f>+B6*B7</f>
        <v>60129.453090323062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Descrizione</vt:lpstr>
      <vt:lpstr>Risultati</vt:lpstr>
      <vt:lpstr>Fiscalità e Finanza</vt:lpstr>
      <vt:lpstr>Distribuzione Costi&amp;Ricavi</vt:lpstr>
      <vt:lpstr>Ca - Costo area</vt:lpstr>
      <vt:lpstr>Cc - Costo costruzione</vt:lpstr>
      <vt:lpstr>On - Oneri concessori</vt:lpstr>
      <vt:lpstr>St - Spese tecniche</vt:lpstr>
      <vt:lpstr>Sg - Spese generali</vt:lpstr>
      <vt:lpstr>RT - Ricavi totali</vt:lpstr>
      <vt:lpstr>Ricavi da Locazione</vt:lpstr>
      <vt:lpstr>Sc - Spese commercializzazione</vt:lpstr>
      <vt:lpstr>I - Interessi</vt:lpstr>
      <vt:lpstr>T - Tasse</vt:lpstr>
      <vt:lpstr>Flusso di cassa</vt:lpstr>
      <vt:lpstr>Grafici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Revisore</dc:creator>
  <cp:lastModifiedBy>ROSATO PAOLO</cp:lastModifiedBy>
  <dcterms:created xsi:type="dcterms:W3CDTF">2020-06-13T15:54:05Z</dcterms:created>
  <dcterms:modified xsi:type="dcterms:W3CDTF">2025-10-22T14:26:27Z</dcterms:modified>
</cp:coreProperties>
</file>