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6740\Downloads\"/>
    </mc:Choice>
  </mc:AlternateContent>
  <xr:revisionPtr revIDLastSave="0" documentId="13_ncr:1_{6881D8A7-6C55-4305-BECB-DBEC43430A9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Dati" sheetId="1" r:id="rId1"/>
    <sheet name="Cap2" sheetId="2" r:id="rId2"/>
    <sheet name="Cap3" sheetId="3" r:id="rId3"/>
    <sheet name="Cap6" sheetId="4" r:id="rId4"/>
    <sheet name="Cap7" sheetId="5" r:id="rId5"/>
    <sheet name="Cap8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6" i="5" l="1"/>
  <c r="V17" i="5"/>
  <c r="V18" i="5"/>
  <c r="V19" i="5"/>
  <c r="V20" i="5"/>
  <c r="V21" i="5"/>
  <c r="V22" i="5"/>
  <c r="V23" i="5"/>
  <c r="V24" i="5"/>
  <c r="V25" i="5"/>
  <c r="V26" i="5"/>
  <c r="V15" i="5"/>
  <c r="V4" i="5"/>
  <c r="V5" i="5"/>
  <c r="V6" i="5"/>
  <c r="V7" i="5"/>
  <c r="V8" i="5"/>
  <c r="V9" i="5"/>
  <c r="V10" i="5"/>
  <c r="V11" i="5"/>
  <c r="V12" i="5"/>
  <c r="V13" i="5"/>
  <c r="V14" i="5"/>
  <c r="V3" i="5"/>
  <c r="T16" i="5"/>
  <c r="T4" i="5"/>
  <c r="T5" i="5"/>
  <c r="T6" i="5"/>
  <c r="T7" i="5"/>
  <c r="T8" i="5"/>
  <c r="T9" i="5"/>
  <c r="T10" i="5"/>
  <c r="T11" i="5"/>
  <c r="T12" i="5"/>
  <c r="T13" i="5"/>
  <c r="T14" i="5"/>
  <c r="T3" i="5"/>
  <c r="S16" i="5"/>
  <c r="S3" i="5"/>
  <c r="S4" i="5"/>
  <c r="S5" i="5"/>
  <c r="S6" i="5"/>
  <c r="S7" i="5"/>
  <c r="S8" i="5"/>
  <c r="S9" i="5"/>
  <c r="S10" i="5"/>
  <c r="S11" i="5"/>
  <c r="S12" i="5"/>
  <c r="S13" i="5"/>
  <c r="S14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" i="5"/>
  <c r="E10" i="5"/>
  <c r="F10" i="5" s="1"/>
  <c r="E11" i="5"/>
  <c r="F11" i="5" s="1"/>
  <c r="E12" i="5"/>
  <c r="E13" i="5"/>
  <c r="E14" i="5"/>
  <c r="E15" i="5"/>
  <c r="F15" i="5" s="1"/>
  <c r="E16" i="5"/>
  <c r="E17" i="5"/>
  <c r="E18" i="5"/>
  <c r="F18" i="5" s="1"/>
  <c r="E19" i="5"/>
  <c r="E20" i="5"/>
  <c r="F20" i="5" s="1"/>
  <c r="E21" i="5"/>
  <c r="F21" i="5" s="1"/>
  <c r="E22" i="5"/>
  <c r="F22" i="5" s="1"/>
  <c r="E23" i="5"/>
  <c r="F23" i="5" s="1"/>
  <c r="E24" i="5"/>
  <c r="F24" i="5" s="1"/>
  <c r="E25" i="5"/>
  <c r="F25" i="5" s="1"/>
  <c r="E26" i="5"/>
  <c r="F26" i="5" s="1"/>
  <c r="E27" i="5"/>
  <c r="E28" i="5"/>
  <c r="F28" i="5" s="1"/>
  <c r="E29" i="5"/>
  <c r="F29" i="5" s="1"/>
  <c r="E30" i="5"/>
  <c r="F30" i="5" s="1"/>
  <c r="E31" i="5"/>
  <c r="F31" i="5" s="1"/>
  <c r="E32" i="5"/>
  <c r="F32" i="5" s="1"/>
  <c r="E33" i="5"/>
  <c r="F33" i="5" s="1"/>
  <c r="E34" i="5"/>
  <c r="F34" i="5" s="1"/>
  <c r="E35" i="5"/>
  <c r="F35" i="5" s="1"/>
  <c r="E36" i="5"/>
  <c r="F36" i="5" s="1"/>
  <c r="E37" i="5"/>
  <c r="F37" i="5" s="1"/>
  <c r="E38" i="5"/>
  <c r="F38" i="5" s="1"/>
  <c r="E39" i="5"/>
  <c r="F39" i="5" s="1"/>
  <c r="E40" i="5"/>
  <c r="F40" i="5" s="1"/>
  <c r="E41" i="5"/>
  <c r="F41" i="5" s="1"/>
  <c r="E42" i="5"/>
  <c r="F42" i="5" s="1"/>
  <c r="E43" i="5"/>
  <c r="F43" i="5" s="1"/>
  <c r="E44" i="5"/>
  <c r="F44" i="5" s="1"/>
  <c r="E45" i="5"/>
  <c r="F45" i="5" s="1"/>
  <c r="E46" i="5"/>
  <c r="F46" i="5" s="1"/>
  <c r="E47" i="5"/>
  <c r="F47" i="5" s="1"/>
  <c r="E48" i="5"/>
  <c r="F48" i="5" s="1"/>
  <c r="E49" i="5"/>
  <c r="F49" i="5" s="1"/>
  <c r="E50" i="5"/>
  <c r="F50" i="5" s="1"/>
  <c r="E51" i="5"/>
  <c r="F51" i="5" s="1"/>
  <c r="E52" i="5"/>
  <c r="F52" i="5" s="1"/>
  <c r="E53" i="5"/>
  <c r="F53" i="5" s="1"/>
  <c r="E54" i="5"/>
  <c r="E55" i="5"/>
  <c r="F55" i="5" s="1"/>
  <c r="E56" i="5"/>
  <c r="F56" i="5" s="1"/>
  <c r="E57" i="5"/>
  <c r="F57" i="5" s="1"/>
  <c r="E58" i="5"/>
  <c r="F58" i="5" s="1"/>
  <c r="E59" i="5"/>
  <c r="F59" i="5" s="1"/>
  <c r="E60" i="5"/>
  <c r="F60" i="5" s="1"/>
  <c r="E61" i="5"/>
  <c r="F61" i="5" s="1"/>
  <c r="E62" i="5"/>
  <c r="F62" i="5" s="1"/>
  <c r="E63" i="5"/>
  <c r="F63" i="5" s="1"/>
  <c r="E64" i="5"/>
  <c r="F64" i="5" s="1"/>
  <c r="E65" i="5"/>
  <c r="F65" i="5" s="1"/>
  <c r="E66" i="5"/>
  <c r="F66" i="5" s="1"/>
  <c r="E67" i="5"/>
  <c r="F67" i="5" s="1"/>
  <c r="E68" i="5"/>
  <c r="F68" i="5" s="1"/>
  <c r="E69" i="5"/>
  <c r="F69" i="5" s="1"/>
  <c r="E70" i="5"/>
  <c r="F70" i="5" s="1"/>
  <c r="E71" i="5"/>
  <c r="F71" i="5" s="1"/>
  <c r="E72" i="5"/>
  <c r="F72" i="5" s="1"/>
  <c r="E73" i="5"/>
  <c r="F73" i="5" s="1"/>
  <c r="E74" i="5"/>
  <c r="F74" i="5" s="1"/>
  <c r="E75" i="5"/>
  <c r="F75" i="5" s="1"/>
  <c r="E76" i="5"/>
  <c r="F76" i="5" s="1"/>
  <c r="E77" i="5"/>
  <c r="F77" i="5" s="1"/>
  <c r="E78" i="5"/>
  <c r="F78" i="5" s="1"/>
  <c r="E79" i="5"/>
  <c r="F79" i="5" s="1"/>
  <c r="E80" i="5"/>
  <c r="F80" i="5" s="1"/>
  <c r="E81" i="5"/>
  <c r="F81" i="5" s="1"/>
  <c r="E82" i="5"/>
  <c r="F82" i="5" s="1"/>
  <c r="E83" i="5"/>
  <c r="F83" i="5" s="1"/>
  <c r="E84" i="5"/>
  <c r="F84" i="5" s="1"/>
  <c r="E85" i="5"/>
  <c r="F85" i="5" s="1"/>
  <c r="E86" i="5"/>
  <c r="E87" i="5"/>
  <c r="F87" i="5" s="1"/>
  <c r="E88" i="5"/>
  <c r="F88" i="5" s="1"/>
  <c r="E89" i="5"/>
  <c r="F89" i="5" s="1"/>
  <c r="E90" i="5"/>
  <c r="F90" i="5" s="1"/>
  <c r="E91" i="5"/>
  <c r="F91" i="5" s="1"/>
  <c r="E92" i="5"/>
  <c r="F92" i="5" s="1"/>
  <c r="E93" i="5"/>
  <c r="F93" i="5" s="1"/>
  <c r="E9" i="5"/>
  <c r="F9" i="5" s="1"/>
  <c r="Y4" i="5"/>
  <c r="Z4" i="5"/>
  <c r="Y5" i="5"/>
  <c r="Z5" i="5"/>
  <c r="Y6" i="5"/>
  <c r="Z6" i="5"/>
  <c r="Y7" i="5"/>
  <c r="Z7" i="5"/>
  <c r="Y8" i="5"/>
  <c r="Z8" i="5"/>
  <c r="Y9" i="5"/>
  <c r="Z9" i="5"/>
  <c r="Y10" i="5"/>
  <c r="Z10" i="5"/>
  <c r="Y11" i="5"/>
  <c r="Z11" i="5"/>
  <c r="Y12" i="5"/>
  <c r="Z12" i="5"/>
  <c r="Y13" i="5"/>
  <c r="Z13" i="5"/>
  <c r="Y14" i="5"/>
  <c r="Z14" i="5"/>
  <c r="Y15" i="5"/>
  <c r="Z15" i="5"/>
  <c r="Y16" i="5"/>
  <c r="Z16" i="5"/>
  <c r="Y17" i="5"/>
  <c r="Z17" i="5"/>
  <c r="Y18" i="5"/>
  <c r="Z18" i="5"/>
  <c r="Y19" i="5"/>
  <c r="Z19" i="5"/>
  <c r="Y20" i="5"/>
  <c r="Z20" i="5"/>
  <c r="Y21" i="5"/>
  <c r="Z21" i="5"/>
  <c r="Y22" i="5"/>
  <c r="Z22" i="5"/>
  <c r="Y23" i="5"/>
  <c r="Z23" i="5"/>
  <c r="Y24" i="5"/>
  <c r="Z24" i="5"/>
  <c r="Y25" i="5"/>
  <c r="Z25" i="5"/>
  <c r="Y26" i="5"/>
  <c r="Z26" i="5"/>
  <c r="Y27" i="5"/>
  <c r="Z27" i="5"/>
  <c r="Y28" i="5"/>
  <c r="Z28" i="5"/>
  <c r="Y29" i="5"/>
  <c r="Z29" i="5"/>
  <c r="Y30" i="5"/>
  <c r="Z30" i="5"/>
  <c r="Y31" i="5"/>
  <c r="Z31" i="5"/>
  <c r="Y32" i="5"/>
  <c r="Z32" i="5"/>
  <c r="Y33" i="5"/>
  <c r="Z33" i="5"/>
  <c r="Y34" i="5"/>
  <c r="Z34" i="5"/>
  <c r="Y35" i="5"/>
  <c r="Z35" i="5"/>
  <c r="Y36" i="5"/>
  <c r="Z36" i="5"/>
  <c r="Y37" i="5"/>
  <c r="Z37" i="5"/>
  <c r="Y38" i="5"/>
  <c r="Z38" i="5"/>
  <c r="Y39" i="5"/>
  <c r="Z39" i="5"/>
  <c r="Y40" i="5"/>
  <c r="Z40" i="5"/>
  <c r="Y41" i="5"/>
  <c r="Z41" i="5"/>
  <c r="Y42" i="5"/>
  <c r="Z42" i="5"/>
  <c r="Y43" i="5"/>
  <c r="Z43" i="5"/>
  <c r="Y44" i="5"/>
  <c r="Z44" i="5"/>
  <c r="Y45" i="5"/>
  <c r="Z45" i="5"/>
  <c r="Y46" i="5"/>
  <c r="Z46" i="5"/>
  <c r="Y47" i="5"/>
  <c r="Z47" i="5"/>
  <c r="Y48" i="5"/>
  <c r="Z48" i="5"/>
  <c r="Y49" i="5"/>
  <c r="Z49" i="5"/>
  <c r="Y50" i="5"/>
  <c r="Z50" i="5"/>
  <c r="Y51" i="5"/>
  <c r="Z51" i="5"/>
  <c r="Y52" i="5"/>
  <c r="Z52" i="5"/>
  <c r="Y53" i="5"/>
  <c r="Z53" i="5"/>
  <c r="Y54" i="5"/>
  <c r="Z54" i="5"/>
  <c r="Y55" i="5"/>
  <c r="Z55" i="5"/>
  <c r="Y56" i="5"/>
  <c r="Z56" i="5"/>
  <c r="Y57" i="5"/>
  <c r="Z57" i="5"/>
  <c r="Y58" i="5"/>
  <c r="Z58" i="5"/>
  <c r="Y59" i="5"/>
  <c r="Z59" i="5"/>
  <c r="Y60" i="5"/>
  <c r="Z60" i="5"/>
  <c r="Y61" i="5"/>
  <c r="Z61" i="5"/>
  <c r="Y62" i="5"/>
  <c r="Z62" i="5"/>
  <c r="Y63" i="5"/>
  <c r="Z63" i="5"/>
  <c r="Y64" i="5"/>
  <c r="Z64" i="5"/>
  <c r="Y65" i="5"/>
  <c r="Z65" i="5"/>
  <c r="Y66" i="5"/>
  <c r="Z66" i="5"/>
  <c r="Y67" i="5"/>
  <c r="Z67" i="5"/>
  <c r="Y68" i="5"/>
  <c r="Z68" i="5"/>
  <c r="Y69" i="5"/>
  <c r="Z69" i="5"/>
  <c r="Y70" i="5"/>
  <c r="Z70" i="5"/>
  <c r="Y71" i="5"/>
  <c r="Z71" i="5"/>
  <c r="Y72" i="5"/>
  <c r="Z72" i="5"/>
  <c r="Y73" i="5"/>
  <c r="Z73" i="5"/>
  <c r="Y74" i="5"/>
  <c r="Z74" i="5"/>
  <c r="Y75" i="5"/>
  <c r="Z75" i="5"/>
  <c r="Y76" i="5"/>
  <c r="Z76" i="5"/>
  <c r="Y77" i="5"/>
  <c r="Z77" i="5"/>
  <c r="Y78" i="5"/>
  <c r="Z78" i="5"/>
  <c r="Y79" i="5"/>
  <c r="Z79" i="5"/>
  <c r="Y80" i="5"/>
  <c r="Z80" i="5"/>
  <c r="Y81" i="5"/>
  <c r="Z81" i="5"/>
  <c r="Y82" i="5"/>
  <c r="Z82" i="5"/>
  <c r="Y83" i="5"/>
  <c r="Z83" i="5"/>
  <c r="Y84" i="5"/>
  <c r="Z84" i="5"/>
  <c r="Y85" i="5"/>
  <c r="Z85" i="5"/>
  <c r="Y86" i="5"/>
  <c r="Z86" i="5"/>
  <c r="Y87" i="5"/>
  <c r="Z87" i="5"/>
  <c r="Y88" i="5"/>
  <c r="Z88" i="5"/>
  <c r="Y89" i="5"/>
  <c r="Z89" i="5"/>
  <c r="Y90" i="5"/>
  <c r="Z90" i="5"/>
  <c r="Y91" i="5"/>
  <c r="Z91" i="5"/>
  <c r="Y92" i="5"/>
  <c r="Z92" i="5"/>
  <c r="Y93" i="5"/>
  <c r="Z93" i="5"/>
  <c r="Y94" i="5"/>
  <c r="Z94" i="5"/>
  <c r="Y95" i="5"/>
  <c r="Z95" i="5"/>
  <c r="Y96" i="5"/>
  <c r="Z96" i="5"/>
  <c r="Y97" i="5"/>
  <c r="Z97" i="5"/>
  <c r="Y98" i="5"/>
  <c r="Z98" i="5"/>
  <c r="Z3" i="5"/>
  <c r="Y3" i="5"/>
  <c r="F12" i="5"/>
  <c r="F13" i="5"/>
  <c r="F16" i="5"/>
  <c r="F17" i="5"/>
  <c r="F19" i="5"/>
  <c r="F27" i="5"/>
  <c r="F14" i="5"/>
  <c r="F54" i="5"/>
  <c r="F86" i="5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13" i="4"/>
  <c r="S4" i="4"/>
  <c r="R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4" i="4"/>
  <c r="I5" i="4"/>
  <c r="I10" i="4"/>
  <c r="I11" i="4"/>
  <c r="I17" i="4"/>
  <c r="I21" i="4"/>
  <c r="G4" i="4"/>
  <c r="I6" i="4" s="1"/>
  <c r="F4" i="4"/>
  <c r="H5" i="4" s="1"/>
  <c r="I8" i="5" l="1"/>
  <c r="AD4" i="5"/>
  <c r="I11" i="5"/>
  <c r="I12" i="5"/>
  <c r="I13" i="5"/>
  <c r="I5" i="5"/>
  <c r="J5" i="4"/>
  <c r="AA14" i="4"/>
  <c r="I14" i="5"/>
  <c r="I7" i="5"/>
  <c r="H16" i="4"/>
  <c r="H21" i="4"/>
  <c r="I4" i="5"/>
  <c r="AD3" i="5"/>
  <c r="H12" i="4"/>
  <c r="N4" i="4"/>
  <c r="P4" i="4" s="1"/>
  <c r="I10" i="5"/>
  <c r="H22" i="4"/>
  <c r="I9" i="5"/>
  <c r="H6" i="4"/>
  <c r="I6" i="5"/>
  <c r="O4" i="4"/>
  <c r="H17" i="4"/>
  <c r="H18" i="4"/>
  <c r="H20" i="4"/>
  <c r="H19" i="4"/>
  <c r="H7" i="4"/>
  <c r="H23" i="4"/>
  <c r="H10" i="4"/>
  <c r="H8" i="4"/>
  <c r="H24" i="4"/>
  <c r="H9" i="4"/>
  <c r="H25" i="4"/>
  <c r="H4" i="4"/>
  <c r="H11" i="4"/>
  <c r="H13" i="4"/>
  <c r="H14" i="4"/>
  <c r="H15" i="4"/>
  <c r="I3" i="5"/>
  <c r="I20" i="4"/>
  <c r="I4" i="4"/>
  <c r="I19" i="4"/>
  <c r="I18" i="4"/>
  <c r="I15" i="4"/>
  <c r="I13" i="4"/>
  <c r="I16" i="4"/>
  <c r="I14" i="4"/>
  <c r="I12" i="4"/>
  <c r="I25" i="4"/>
  <c r="I24" i="4"/>
  <c r="I8" i="4"/>
  <c r="I9" i="4"/>
  <c r="I23" i="4"/>
  <c r="I7" i="4"/>
  <c r="I22" i="4"/>
  <c r="AG6" i="5" l="1"/>
  <c r="AG5" i="5" s="1"/>
  <c r="AA37" i="5" s="1"/>
  <c r="J8" i="4"/>
  <c r="AA17" i="4"/>
  <c r="S14" i="4"/>
  <c r="T4" i="4"/>
  <c r="J21" i="4"/>
  <c r="AA30" i="4"/>
  <c r="AA33" i="4"/>
  <c r="J24" i="4"/>
  <c r="J20" i="4"/>
  <c r="AA29" i="4"/>
  <c r="J25" i="4"/>
  <c r="AA34" i="4"/>
  <c r="J16" i="4"/>
  <c r="AA25" i="4"/>
  <c r="J19" i="4"/>
  <c r="AA28" i="4"/>
  <c r="AA21" i="4"/>
  <c r="J12" i="4"/>
  <c r="AA27" i="4"/>
  <c r="J18" i="4"/>
  <c r="AA26" i="4"/>
  <c r="J17" i="4"/>
  <c r="J6" i="4"/>
  <c r="AA15" i="4"/>
  <c r="AA19" i="4"/>
  <c r="J10" i="4"/>
  <c r="J7" i="4"/>
  <c r="AA16" i="4"/>
  <c r="I16" i="5"/>
  <c r="J14" i="5" s="1"/>
  <c r="J15" i="4"/>
  <c r="AA24" i="4"/>
  <c r="J14" i="4"/>
  <c r="AA23" i="4"/>
  <c r="J9" i="4"/>
  <c r="AA18" i="4"/>
  <c r="J23" i="4"/>
  <c r="AA32" i="4"/>
  <c r="J13" i="4"/>
  <c r="AA22" i="4"/>
  <c r="AA20" i="4"/>
  <c r="J11" i="4"/>
  <c r="AA13" i="4"/>
  <c r="J4" i="4"/>
  <c r="J22" i="4"/>
  <c r="AA31" i="4"/>
  <c r="AA81" i="5" l="1"/>
  <c r="AA35" i="5"/>
  <c r="AA87" i="5"/>
  <c r="AA47" i="5"/>
  <c r="AA84" i="5"/>
  <c r="AA73" i="5"/>
  <c r="AA95" i="5"/>
  <c r="AA11" i="5"/>
  <c r="AA80" i="5"/>
  <c r="AA71" i="5"/>
  <c r="AA5" i="5"/>
  <c r="AA9" i="5"/>
  <c r="AA63" i="5"/>
  <c r="AA46" i="5"/>
  <c r="AA55" i="5"/>
  <c r="AA19" i="5"/>
  <c r="AA31" i="5"/>
  <c r="AA68" i="5"/>
  <c r="AA98" i="5"/>
  <c r="AA94" i="5"/>
  <c r="AA23" i="5"/>
  <c r="AA16" i="5"/>
  <c r="AA86" i="5"/>
  <c r="AA15" i="5"/>
  <c r="AA58" i="5"/>
  <c r="AA20" i="5"/>
  <c r="AA50" i="5"/>
  <c r="AA54" i="5"/>
  <c r="AA3" i="5"/>
  <c r="AA61" i="5"/>
  <c r="AA88" i="5"/>
  <c r="AA96" i="5"/>
  <c r="AA21" i="5"/>
  <c r="AA25" i="5"/>
  <c r="AA79" i="5"/>
  <c r="AA64" i="5"/>
  <c r="AA48" i="5"/>
  <c r="AA29" i="5"/>
  <c r="AA39" i="5"/>
  <c r="AA32" i="5"/>
  <c r="AA90" i="5"/>
  <c r="AA52" i="5"/>
  <c r="AA82" i="5"/>
  <c r="AA78" i="5"/>
  <c r="AA74" i="5"/>
  <c r="AA36" i="5"/>
  <c r="AA66" i="5"/>
  <c r="AA30" i="5"/>
  <c r="AA70" i="5"/>
  <c r="AA14" i="5"/>
  <c r="AA93" i="5"/>
  <c r="AA42" i="5"/>
  <c r="AA4" i="5"/>
  <c r="AA34" i="5"/>
  <c r="AA62" i="5"/>
  <c r="AA77" i="5"/>
  <c r="AA26" i="5"/>
  <c r="AA38" i="5"/>
  <c r="AA89" i="5"/>
  <c r="AA18" i="5"/>
  <c r="AA45" i="5"/>
  <c r="AA10" i="5"/>
  <c r="AA22" i="5"/>
  <c r="AA83" i="5"/>
  <c r="AA97" i="5"/>
  <c r="AA92" i="5"/>
  <c r="AA13" i="5"/>
  <c r="AA7" i="5"/>
  <c r="AA6" i="5"/>
  <c r="AA91" i="5"/>
  <c r="AA60" i="5"/>
  <c r="AA57" i="5"/>
  <c r="AA59" i="5"/>
  <c r="AA56" i="5"/>
  <c r="AA69" i="5"/>
  <c r="AA76" i="5"/>
  <c r="AA67" i="5"/>
  <c r="AA53" i="5"/>
  <c r="AA24" i="5"/>
  <c r="AA65" i="5"/>
  <c r="AA75" i="5"/>
  <c r="AA72" i="5"/>
  <c r="AA85" i="5"/>
  <c r="AA49" i="5"/>
  <c r="AA44" i="5"/>
  <c r="AA51" i="5"/>
  <c r="AA33" i="5"/>
  <c r="AA28" i="5"/>
  <c r="AA43" i="5"/>
  <c r="AA40" i="5"/>
  <c r="AA41" i="5"/>
  <c r="AA17" i="5"/>
  <c r="AA12" i="5"/>
  <c r="AA27" i="5"/>
  <c r="AA8" i="5"/>
  <c r="J3" i="5"/>
  <c r="L51" i="5" s="1"/>
  <c r="J4" i="5"/>
  <c r="L40" i="5" s="1"/>
  <c r="J6" i="5"/>
  <c r="L30" i="5" s="1"/>
  <c r="J7" i="5"/>
  <c r="L67" i="5" s="1"/>
  <c r="J9" i="5"/>
  <c r="L33" i="5" s="1"/>
  <c r="L98" i="5"/>
  <c r="L50" i="5"/>
  <c r="L62" i="5"/>
  <c r="L14" i="5"/>
  <c r="L74" i="5"/>
  <c r="L26" i="5"/>
  <c r="L86" i="5"/>
  <c r="L38" i="5"/>
  <c r="L66" i="5"/>
  <c r="L18" i="5"/>
  <c r="L78" i="5"/>
  <c r="V4" i="4"/>
  <c r="W4" i="4"/>
  <c r="S13" i="4"/>
  <c r="K4" i="4"/>
  <c r="J13" i="5"/>
  <c r="J8" i="5"/>
  <c r="J11" i="5"/>
  <c r="J12" i="5"/>
  <c r="J5" i="5"/>
  <c r="J10" i="5"/>
  <c r="R119" i="3"/>
  <c r="S119" i="3"/>
  <c r="J119" i="3"/>
  <c r="K119" i="3"/>
  <c r="L119" i="3"/>
  <c r="J120" i="3"/>
  <c r="Q120" i="3" s="1"/>
  <c r="K120" i="3"/>
  <c r="R120" i="3" s="1"/>
  <c r="L120" i="3"/>
  <c r="S120" i="3" s="1"/>
  <c r="J121" i="3"/>
  <c r="Q121" i="3" s="1"/>
  <c r="K121" i="3"/>
  <c r="R121" i="3" s="1"/>
  <c r="L121" i="3"/>
  <c r="S121" i="3" s="1"/>
  <c r="F119" i="3"/>
  <c r="I119" i="3" s="1"/>
  <c r="F120" i="3"/>
  <c r="I120" i="3" s="1"/>
  <c r="F121" i="3"/>
  <c r="I121" i="3" s="1"/>
  <c r="F118" i="3"/>
  <c r="J118" i="3" s="1"/>
  <c r="Q118" i="3" s="1"/>
  <c r="C122" i="3"/>
  <c r="Q119" i="3" s="1"/>
  <c r="D122" i="3"/>
  <c r="E122" i="3"/>
  <c r="B122" i="3"/>
  <c r="L28" i="5" l="1"/>
  <c r="L76" i="5"/>
  <c r="L88" i="5"/>
  <c r="L4" i="5"/>
  <c r="L52" i="5"/>
  <c r="L16" i="5"/>
  <c r="L64" i="5"/>
  <c r="L21" i="5"/>
  <c r="L57" i="5"/>
  <c r="L87" i="5"/>
  <c r="L39" i="5"/>
  <c r="L75" i="5"/>
  <c r="L15" i="5"/>
  <c r="L3" i="5"/>
  <c r="L81" i="5"/>
  <c r="L27" i="5"/>
  <c r="L63" i="5"/>
  <c r="L9" i="5"/>
  <c r="L55" i="5"/>
  <c r="L43" i="5"/>
  <c r="L7" i="5"/>
  <c r="L91" i="5"/>
  <c r="L31" i="5"/>
  <c r="L79" i="5"/>
  <c r="L19" i="5"/>
  <c r="L6" i="5"/>
  <c r="L54" i="5"/>
  <c r="L90" i="5"/>
  <c r="L69" i="5"/>
  <c r="L45" i="5"/>
  <c r="L93" i="5"/>
  <c r="L42" i="5"/>
  <c r="M121" i="3"/>
  <c r="P121" i="3"/>
  <c r="T121" i="3" s="1"/>
  <c r="P120" i="3"/>
  <c r="T120" i="3" s="1"/>
  <c r="M120" i="3"/>
  <c r="M119" i="3"/>
  <c r="P119" i="3"/>
  <c r="T119" i="3" s="1"/>
  <c r="L96" i="5"/>
  <c r="L48" i="5"/>
  <c r="L72" i="5"/>
  <c r="L24" i="5"/>
  <c r="L84" i="5"/>
  <c r="L36" i="5"/>
  <c r="L60" i="5"/>
  <c r="L12" i="5"/>
  <c r="L65" i="5"/>
  <c r="L17" i="5"/>
  <c r="L89" i="5"/>
  <c r="L41" i="5"/>
  <c r="L53" i="5"/>
  <c r="L5" i="5"/>
  <c r="L77" i="5"/>
  <c r="L29" i="5"/>
  <c r="L118" i="3"/>
  <c r="S118" i="3" s="1"/>
  <c r="K118" i="3"/>
  <c r="R118" i="3" s="1"/>
  <c r="I118" i="3"/>
  <c r="L58" i="5"/>
  <c r="L10" i="5"/>
  <c r="L70" i="5"/>
  <c r="L22" i="5"/>
  <c r="L82" i="5"/>
  <c r="L34" i="5"/>
  <c r="L94" i="5"/>
  <c r="L46" i="5"/>
  <c r="L56" i="5"/>
  <c r="L8" i="5"/>
  <c r="L32" i="5"/>
  <c r="L80" i="5"/>
  <c r="L92" i="5"/>
  <c r="L44" i="5"/>
  <c r="L68" i="5"/>
  <c r="L20" i="5"/>
  <c r="L97" i="5"/>
  <c r="L49" i="5"/>
  <c r="L73" i="5"/>
  <c r="L25" i="5"/>
  <c r="L85" i="5"/>
  <c r="L37" i="5"/>
  <c r="L13" i="5"/>
  <c r="L61" i="5"/>
  <c r="J16" i="5"/>
  <c r="W25" i="4"/>
  <c r="X25" i="4" s="1"/>
  <c r="W26" i="4"/>
  <c r="X26" i="4" s="1"/>
  <c r="W27" i="4"/>
  <c r="X27" i="4" s="1"/>
  <c r="W28" i="4"/>
  <c r="X28" i="4" s="1"/>
  <c r="W15" i="4"/>
  <c r="X15" i="4" s="1"/>
  <c r="W31" i="4"/>
  <c r="X31" i="4" s="1"/>
  <c r="W33" i="4"/>
  <c r="X33" i="4" s="1"/>
  <c r="W18" i="4"/>
  <c r="X18" i="4" s="1"/>
  <c r="W16" i="4"/>
  <c r="X16" i="4" s="1"/>
  <c r="W32" i="4"/>
  <c r="X32" i="4" s="1"/>
  <c r="W13" i="4"/>
  <c r="X13" i="4" s="1"/>
  <c r="W17" i="4"/>
  <c r="X17" i="4" s="1"/>
  <c r="W34" i="4"/>
  <c r="X34" i="4" s="1"/>
  <c r="W20" i="4"/>
  <c r="X20" i="4" s="1"/>
  <c r="W19" i="4"/>
  <c r="X19" i="4" s="1"/>
  <c r="W21" i="4"/>
  <c r="X21" i="4" s="1"/>
  <c r="W22" i="4"/>
  <c r="X22" i="4" s="1"/>
  <c r="W23" i="4"/>
  <c r="X23" i="4" s="1"/>
  <c r="W14" i="4"/>
  <c r="X14" i="4" s="1"/>
  <c r="W24" i="4"/>
  <c r="X24" i="4" s="1"/>
  <c r="W29" i="4"/>
  <c r="X29" i="4" s="1"/>
  <c r="W30" i="4"/>
  <c r="X30" i="4" s="1"/>
  <c r="L59" i="5"/>
  <c r="L11" i="5"/>
  <c r="L71" i="5"/>
  <c r="L23" i="5"/>
  <c r="L83" i="5"/>
  <c r="L35" i="5"/>
  <c r="L47" i="5"/>
  <c r="L95" i="5"/>
  <c r="P85" i="3"/>
  <c r="Q85" i="3"/>
  <c r="R85" i="3"/>
  <c r="P86" i="3"/>
  <c r="Q86" i="3"/>
  <c r="R86" i="3"/>
  <c r="P87" i="3"/>
  <c r="Q87" i="3"/>
  <c r="R87" i="3"/>
  <c r="Q84" i="3"/>
  <c r="R84" i="3"/>
  <c r="P84" i="3"/>
  <c r="J74" i="3"/>
  <c r="K74" i="3"/>
  <c r="L74" i="3"/>
  <c r="J75" i="3"/>
  <c r="K75" i="3"/>
  <c r="L75" i="3"/>
  <c r="J76" i="3"/>
  <c r="K76" i="3"/>
  <c r="L76" i="3"/>
  <c r="J77" i="3"/>
  <c r="K77" i="3"/>
  <c r="L77" i="3"/>
  <c r="J78" i="3"/>
  <c r="K78" i="3"/>
  <c r="L78" i="3"/>
  <c r="J79" i="3"/>
  <c r="K79" i="3"/>
  <c r="L79" i="3"/>
  <c r="J80" i="3"/>
  <c r="K80" i="3"/>
  <c r="L80" i="3"/>
  <c r="J81" i="3"/>
  <c r="K81" i="3"/>
  <c r="L81" i="3"/>
  <c r="J82" i="3"/>
  <c r="K82" i="3"/>
  <c r="L82" i="3"/>
  <c r="J83" i="3"/>
  <c r="K83" i="3"/>
  <c r="L83" i="3"/>
  <c r="J84" i="3"/>
  <c r="K84" i="3"/>
  <c r="L84" i="3"/>
  <c r="J85" i="3"/>
  <c r="K85" i="3"/>
  <c r="L85" i="3"/>
  <c r="J86" i="3"/>
  <c r="K86" i="3"/>
  <c r="L86" i="3"/>
  <c r="J87" i="3"/>
  <c r="K87" i="3"/>
  <c r="L87" i="3"/>
  <c r="K73" i="3"/>
  <c r="L73" i="3"/>
  <c r="J73" i="3"/>
  <c r="J60" i="3"/>
  <c r="K60" i="3"/>
  <c r="I58" i="3"/>
  <c r="J58" i="3"/>
  <c r="K58" i="3"/>
  <c r="L58" i="3"/>
  <c r="M58" i="3"/>
  <c r="N58" i="3"/>
  <c r="N60" i="3" s="1"/>
  <c r="O58" i="3"/>
  <c r="I59" i="3"/>
  <c r="J59" i="3"/>
  <c r="K59" i="3"/>
  <c r="L59" i="3"/>
  <c r="M59" i="3"/>
  <c r="N59" i="3"/>
  <c r="O59" i="3"/>
  <c r="O57" i="3"/>
  <c r="O60" i="3" s="1"/>
  <c r="N57" i="3"/>
  <c r="M57" i="3"/>
  <c r="M60" i="3" s="1"/>
  <c r="L57" i="3"/>
  <c r="L60" i="3" s="1"/>
  <c r="K57" i="3"/>
  <c r="J57" i="3"/>
  <c r="I57" i="3"/>
  <c r="I60" i="3" s="1"/>
  <c r="R48" i="3"/>
  <c r="R47" i="3"/>
  <c r="J51" i="3"/>
  <c r="K51" i="3" s="1"/>
  <c r="J52" i="3"/>
  <c r="K52" i="3" s="1"/>
  <c r="L52" i="3" s="1"/>
  <c r="J48" i="3"/>
  <c r="K48" i="3" s="1"/>
  <c r="E50" i="3"/>
  <c r="E51" i="3"/>
  <c r="E52" i="3"/>
  <c r="E49" i="3"/>
  <c r="D49" i="3"/>
  <c r="J49" i="3" s="1"/>
  <c r="K49" i="3" s="1"/>
  <c r="L49" i="3" s="1"/>
  <c r="D50" i="3"/>
  <c r="J50" i="3" s="1"/>
  <c r="K50" i="3" s="1"/>
  <c r="L50" i="3" s="1"/>
  <c r="D51" i="3"/>
  <c r="D52" i="3"/>
  <c r="D48" i="3"/>
  <c r="I33" i="3"/>
  <c r="J33" i="3"/>
  <c r="I34" i="3"/>
  <c r="J34" i="3"/>
  <c r="I35" i="3"/>
  <c r="J32" i="3"/>
  <c r="K32" i="3"/>
  <c r="I32" i="3"/>
  <c r="C43" i="3"/>
  <c r="J35" i="3" s="1"/>
  <c r="B43" i="3"/>
  <c r="D42" i="3"/>
  <c r="D41" i="3"/>
  <c r="D40" i="3"/>
  <c r="C35" i="3"/>
  <c r="B35" i="3"/>
  <c r="D33" i="3"/>
  <c r="K33" i="3" s="1"/>
  <c r="D34" i="3"/>
  <c r="K34" i="3" s="1"/>
  <c r="D32" i="3"/>
  <c r="D35" i="3" s="1"/>
  <c r="H27" i="3"/>
  <c r="W22" i="3"/>
  <c r="W23" i="3"/>
  <c r="W24" i="3"/>
  <c r="W20" i="3"/>
  <c r="E23" i="3"/>
  <c r="O23" i="3" s="1"/>
  <c r="E22" i="3"/>
  <c r="O22" i="3" s="1"/>
  <c r="E21" i="3"/>
  <c r="E20" i="3"/>
  <c r="E24" i="3" s="1"/>
  <c r="X22" i="3" s="1"/>
  <c r="D24" i="3"/>
  <c r="W21" i="3" s="1"/>
  <c r="C24" i="3"/>
  <c r="V20" i="3" s="1"/>
  <c r="B24" i="3"/>
  <c r="U21" i="3" s="1"/>
  <c r="C15" i="3"/>
  <c r="D15" i="3"/>
  <c r="B15" i="3"/>
  <c r="E12" i="3"/>
  <c r="E13" i="3"/>
  <c r="E14" i="3"/>
  <c r="E11" i="3"/>
  <c r="C6" i="3"/>
  <c r="D6" i="3"/>
  <c r="D5" i="3"/>
  <c r="C5" i="3"/>
  <c r="B31" i="2"/>
  <c r="C30" i="2" s="1"/>
  <c r="C22" i="2"/>
  <c r="C25" i="2" s="1"/>
  <c r="D22" i="2"/>
  <c r="D25" i="2" s="1"/>
  <c r="E22" i="2"/>
  <c r="E25" i="2" s="1"/>
  <c r="F22" i="2"/>
  <c r="F25" i="2" s="1"/>
  <c r="G22" i="2"/>
  <c r="G25" i="2" s="1"/>
  <c r="H22" i="2"/>
  <c r="H25" i="2" s="1"/>
  <c r="I22" i="2"/>
  <c r="I25" i="2" s="1"/>
  <c r="J22" i="2"/>
  <c r="J25" i="2" s="1"/>
  <c r="K22" i="2"/>
  <c r="K25" i="2" s="1"/>
  <c r="L22" i="2"/>
  <c r="L25" i="2" s="1"/>
  <c r="M22" i="2"/>
  <c r="M25" i="2" s="1"/>
  <c r="N22" i="2"/>
  <c r="N25" i="2" s="1"/>
  <c r="O22" i="2"/>
  <c r="O25" i="2" s="1"/>
  <c r="P22" i="2"/>
  <c r="P25" i="2" s="1"/>
  <c r="Q22" i="2"/>
  <c r="Q25" i="2" s="1"/>
  <c r="R22" i="2"/>
  <c r="R25" i="2" s="1"/>
  <c r="S22" i="2"/>
  <c r="S25" i="2" s="1"/>
  <c r="T22" i="2"/>
  <c r="T25" i="2" s="1"/>
  <c r="U22" i="2"/>
  <c r="U25" i="2" s="1"/>
  <c r="V22" i="2"/>
  <c r="V25" i="2" s="1"/>
  <c r="W22" i="2"/>
  <c r="W25" i="2" s="1"/>
  <c r="X22" i="2"/>
  <c r="X25" i="2" s="1"/>
  <c r="Y22" i="2"/>
  <c r="Y25" i="2" s="1"/>
  <c r="Z22" i="2"/>
  <c r="Z25" i="2" s="1"/>
  <c r="C23" i="2"/>
  <c r="C26" i="2" s="1"/>
  <c r="D23" i="2"/>
  <c r="D26" i="2" s="1"/>
  <c r="E23" i="2"/>
  <c r="E26" i="2" s="1"/>
  <c r="F23" i="2"/>
  <c r="F26" i="2" s="1"/>
  <c r="G23" i="2"/>
  <c r="G26" i="2" s="1"/>
  <c r="H23" i="2"/>
  <c r="H26" i="2" s="1"/>
  <c r="I23" i="2"/>
  <c r="I26" i="2" s="1"/>
  <c r="J23" i="2"/>
  <c r="J26" i="2" s="1"/>
  <c r="K23" i="2"/>
  <c r="K26" i="2" s="1"/>
  <c r="L23" i="2"/>
  <c r="L26" i="2" s="1"/>
  <c r="M23" i="2"/>
  <c r="M26" i="2" s="1"/>
  <c r="N23" i="2"/>
  <c r="N26" i="2" s="1"/>
  <c r="O23" i="2"/>
  <c r="O26" i="2" s="1"/>
  <c r="P23" i="2"/>
  <c r="P26" i="2" s="1"/>
  <c r="Q23" i="2"/>
  <c r="Q26" i="2" s="1"/>
  <c r="R23" i="2"/>
  <c r="R26" i="2" s="1"/>
  <c r="S23" i="2"/>
  <c r="S26" i="2" s="1"/>
  <c r="T23" i="2"/>
  <c r="T26" i="2" s="1"/>
  <c r="U23" i="2"/>
  <c r="U26" i="2" s="1"/>
  <c r="V23" i="2"/>
  <c r="V26" i="2" s="1"/>
  <c r="W23" i="2"/>
  <c r="W26" i="2" s="1"/>
  <c r="X23" i="2"/>
  <c r="X26" i="2" s="1"/>
  <c r="Y23" i="2"/>
  <c r="Y26" i="2" s="1"/>
  <c r="Z23" i="2"/>
  <c r="Z26" i="2" s="1"/>
  <c r="B23" i="2"/>
  <c r="B26" i="2" s="1"/>
  <c r="B22" i="2"/>
  <c r="B25" i="2" s="1"/>
  <c r="D30" i="2"/>
  <c r="D29" i="2" s="1"/>
  <c r="D31" i="2" s="1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B12" i="2"/>
  <c r="F8" i="2"/>
  <c r="B8" i="2" s="1"/>
  <c r="C18" i="2" s="1"/>
  <c r="C7" i="2"/>
  <c r="C2" i="2"/>
  <c r="B2" i="2"/>
  <c r="Y3" i="2" s="1"/>
  <c r="Y4" i="2" s="1"/>
  <c r="I64" i="3" l="1"/>
  <c r="I63" i="3"/>
  <c r="H30" i="2"/>
  <c r="I66" i="3"/>
  <c r="H29" i="2"/>
  <c r="I29" i="2" s="1"/>
  <c r="K35" i="3"/>
  <c r="L51" i="3"/>
  <c r="I65" i="3"/>
  <c r="B36" i="2"/>
  <c r="Y13" i="4"/>
  <c r="C29" i="2"/>
  <c r="X21" i="3"/>
  <c r="C31" i="2"/>
  <c r="M118" i="3"/>
  <c r="P118" i="3"/>
  <c r="T118" i="3" s="1"/>
  <c r="R23" i="3"/>
  <c r="Q23" i="3"/>
  <c r="P23" i="3"/>
  <c r="R22" i="3"/>
  <c r="D43" i="3"/>
  <c r="Q22" i="3"/>
  <c r="R21" i="3"/>
  <c r="U20" i="3"/>
  <c r="L22" i="3"/>
  <c r="L20" i="3"/>
  <c r="K24" i="3"/>
  <c r="K23" i="3"/>
  <c r="K22" i="3"/>
  <c r="K21" i="3"/>
  <c r="R20" i="3"/>
  <c r="Q24" i="3"/>
  <c r="Q21" i="3"/>
  <c r="X20" i="3"/>
  <c r="K20" i="3"/>
  <c r="J24" i="3"/>
  <c r="J23" i="3"/>
  <c r="J22" i="3"/>
  <c r="J21" i="3"/>
  <c r="Q20" i="3"/>
  <c r="P24" i="3"/>
  <c r="P22" i="3"/>
  <c r="P21" i="3"/>
  <c r="V24" i="3"/>
  <c r="V23" i="3"/>
  <c r="V22" i="3"/>
  <c r="V21" i="3"/>
  <c r="J20" i="3"/>
  <c r="I24" i="3"/>
  <c r="I23" i="3"/>
  <c r="I22" i="3"/>
  <c r="I21" i="3"/>
  <c r="P20" i="3"/>
  <c r="O24" i="3"/>
  <c r="O21" i="3"/>
  <c r="U24" i="3"/>
  <c r="U23" i="3"/>
  <c r="U22" i="3"/>
  <c r="I20" i="3"/>
  <c r="L24" i="3"/>
  <c r="L23" i="3"/>
  <c r="L21" i="3"/>
  <c r="O20" i="3"/>
  <c r="R24" i="3"/>
  <c r="X24" i="3"/>
  <c r="X23" i="3"/>
  <c r="E15" i="3"/>
  <c r="L12" i="3" s="1"/>
  <c r="E30" i="2"/>
  <c r="F30" i="2" s="1"/>
  <c r="G29" i="2"/>
  <c r="E29" i="2"/>
  <c r="F29" i="2" s="1"/>
  <c r="G31" i="2"/>
  <c r="G30" i="2"/>
  <c r="B13" i="2"/>
  <c r="B17" i="2" s="1"/>
  <c r="X3" i="2"/>
  <c r="X4" i="2" s="1"/>
  <c r="T3" i="2"/>
  <c r="T4" i="2" s="1"/>
  <c r="P3" i="2"/>
  <c r="P4" i="2" s="1"/>
  <c r="L3" i="2"/>
  <c r="L4" i="2" s="1"/>
  <c r="H3" i="2"/>
  <c r="H4" i="2" s="1"/>
  <c r="D3" i="2"/>
  <c r="D4" i="2" s="1"/>
  <c r="W3" i="2"/>
  <c r="W4" i="2" s="1"/>
  <c r="O3" i="2"/>
  <c r="O4" i="2" s="1"/>
  <c r="G3" i="2"/>
  <c r="G4" i="2" s="1"/>
  <c r="V3" i="2"/>
  <c r="V4" i="2" s="1"/>
  <c r="R3" i="2"/>
  <c r="R4" i="2" s="1"/>
  <c r="N3" i="2"/>
  <c r="N4" i="2" s="1"/>
  <c r="J3" i="2"/>
  <c r="J4" i="2" s="1"/>
  <c r="F3" i="2"/>
  <c r="F4" i="2" s="1"/>
  <c r="Z3" i="2"/>
  <c r="Z4" i="2" s="1"/>
  <c r="S3" i="2"/>
  <c r="S4" i="2" s="1"/>
  <c r="K3" i="2"/>
  <c r="K4" i="2" s="1"/>
  <c r="C3" i="2"/>
  <c r="C4" i="2" s="1"/>
  <c r="B3" i="2"/>
  <c r="B4" i="2" s="1"/>
  <c r="U3" i="2"/>
  <c r="U4" i="2" s="1"/>
  <c r="Q3" i="2"/>
  <c r="Q4" i="2" s="1"/>
  <c r="M3" i="2"/>
  <c r="M4" i="2" s="1"/>
  <c r="I3" i="2"/>
  <c r="I4" i="2" s="1"/>
  <c r="E3" i="2"/>
  <c r="E4" i="2" s="1"/>
  <c r="K51" i="4"/>
  <c r="L51" i="4" s="1"/>
  <c r="J51" i="4"/>
  <c r="B51" i="4"/>
  <c r="K50" i="4"/>
  <c r="J50" i="4"/>
  <c r="B50" i="4"/>
  <c r="K49" i="4"/>
  <c r="J49" i="4"/>
  <c r="B49" i="4"/>
  <c r="K48" i="4"/>
  <c r="J48" i="4"/>
  <c r="B48" i="4"/>
  <c r="K47" i="4"/>
  <c r="L47" i="4" s="1"/>
  <c r="J47" i="4"/>
  <c r="B47" i="4"/>
  <c r="K46" i="4"/>
  <c r="L46" i="4" s="1"/>
  <c r="J46" i="4"/>
  <c r="B46" i="4"/>
  <c r="K45" i="4"/>
  <c r="J45" i="4"/>
  <c r="B45" i="4"/>
  <c r="K44" i="4"/>
  <c r="J44" i="4"/>
  <c r="B44" i="4"/>
  <c r="K43" i="4"/>
  <c r="J43" i="4"/>
  <c r="B43" i="4"/>
  <c r="K42" i="4"/>
  <c r="L42" i="4" s="1"/>
  <c r="J42" i="4"/>
  <c r="B42" i="4"/>
  <c r="K41" i="4"/>
  <c r="J41" i="4"/>
  <c r="B41" i="4"/>
  <c r="K40" i="4"/>
  <c r="J40" i="4"/>
  <c r="B40" i="4"/>
  <c r="K39" i="4"/>
  <c r="J39" i="4"/>
  <c r="B39" i="4"/>
  <c r="K38" i="4"/>
  <c r="L38" i="4" s="1"/>
  <c r="J38" i="4"/>
  <c r="B38" i="4"/>
  <c r="K37" i="4"/>
  <c r="J37" i="4"/>
  <c r="B37" i="4"/>
  <c r="K36" i="4"/>
  <c r="J36" i="4"/>
  <c r="B36" i="4"/>
  <c r="K35" i="4"/>
  <c r="L35" i="4" s="1"/>
  <c r="J35" i="4"/>
  <c r="B35" i="4"/>
  <c r="K34" i="4"/>
  <c r="L34" i="4" s="1"/>
  <c r="J34" i="4"/>
  <c r="B34" i="4"/>
  <c r="K33" i="4"/>
  <c r="L33" i="4" s="1"/>
  <c r="J33" i="4"/>
  <c r="B33" i="4"/>
  <c r="K32" i="4"/>
  <c r="J32" i="4"/>
  <c r="B32" i="4"/>
  <c r="K31" i="4"/>
  <c r="J31" i="4"/>
  <c r="B31" i="4"/>
  <c r="K30" i="4"/>
  <c r="L30" i="4" s="1"/>
  <c r="J30" i="4"/>
  <c r="B30" i="4"/>
  <c r="L41" i="4" l="1"/>
  <c r="T13" i="4"/>
  <c r="U13" i="4" s="1"/>
  <c r="T14" i="4"/>
  <c r="U14" i="4" s="1"/>
  <c r="L43" i="4"/>
  <c r="L36" i="4"/>
  <c r="L39" i="4"/>
  <c r="L31" i="4"/>
  <c r="L50" i="4"/>
  <c r="L45" i="4"/>
  <c r="H31" i="2"/>
  <c r="I31" i="2" s="1"/>
  <c r="I30" i="2"/>
  <c r="L32" i="4"/>
  <c r="L48" i="4"/>
  <c r="L44" i="4"/>
  <c r="L40" i="4"/>
  <c r="L37" i="4"/>
  <c r="L49" i="4"/>
  <c r="I12" i="3"/>
  <c r="I13" i="3"/>
  <c r="I14" i="3"/>
  <c r="I15" i="3"/>
  <c r="J11" i="3"/>
  <c r="J12" i="3"/>
  <c r="J13" i="3"/>
  <c r="J14" i="3"/>
  <c r="J15" i="3"/>
  <c r="K11" i="3"/>
  <c r="K12" i="3"/>
  <c r="K13" i="3"/>
  <c r="K14" i="3"/>
  <c r="K15" i="3"/>
  <c r="L11" i="3"/>
  <c r="L13" i="3"/>
  <c r="L14" i="3"/>
  <c r="L15" i="3"/>
  <c r="I11" i="3"/>
  <c r="E31" i="2"/>
  <c r="F31" i="2" s="1"/>
  <c r="B7" i="2"/>
  <c r="K184" i="1"/>
  <c r="K185" i="1"/>
  <c r="L185" i="1" s="1"/>
  <c r="K186" i="1"/>
  <c r="K187" i="1"/>
  <c r="L187" i="1" s="1"/>
  <c r="K188" i="1"/>
  <c r="L188" i="1" s="1"/>
  <c r="K189" i="1"/>
  <c r="L189" i="1" s="1"/>
  <c r="K190" i="1"/>
  <c r="K191" i="1"/>
  <c r="L191" i="1" s="1"/>
  <c r="K192" i="1"/>
  <c r="K193" i="1"/>
  <c r="K194" i="1"/>
  <c r="K195" i="1"/>
  <c r="K196" i="1"/>
  <c r="K197" i="1"/>
  <c r="L197" i="1" s="1"/>
  <c r="K198" i="1"/>
  <c r="K199" i="1"/>
  <c r="L199" i="1" s="1"/>
  <c r="K200" i="1"/>
  <c r="K201" i="1"/>
  <c r="K202" i="1"/>
  <c r="K203" i="1"/>
  <c r="L203" i="1" s="1"/>
  <c r="K204" i="1"/>
  <c r="J184" i="1"/>
  <c r="L184" i="1" s="1"/>
  <c r="J185" i="1"/>
  <c r="J186" i="1"/>
  <c r="J187" i="1"/>
  <c r="J188" i="1"/>
  <c r="J189" i="1"/>
  <c r="J190" i="1"/>
  <c r="J191" i="1"/>
  <c r="J192" i="1"/>
  <c r="L192" i="1"/>
  <c r="J193" i="1"/>
  <c r="L193" i="1"/>
  <c r="J194" i="1"/>
  <c r="L194" i="1" s="1"/>
  <c r="J195" i="1"/>
  <c r="J196" i="1"/>
  <c r="L196" i="1"/>
  <c r="J197" i="1"/>
  <c r="J198" i="1"/>
  <c r="J199" i="1"/>
  <c r="J200" i="1"/>
  <c r="L200" i="1"/>
  <c r="J201" i="1"/>
  <c r="L201" i="1"/>
  <c r="J202" i="1"/>
  <c r="J203" i="1"/>
  <c r="J204" i="1"/>
  <c r="L204" i="1"/>
  <c r="L183" i="1"/>
  <c r="K183" i="1"/>
  <c r="J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183" i="1"/>
  <c r="B9" i="2" l="1"/>
  <c r="B37" i="2" s="1"/>
  <c r="B44" i="2"/>
  <c r="L198" i="1"/>
  <c r="L195" i="1"/>
  <c r="L202" i="1"/>
  <c r="L186" i="1"/>
  <c r="L190" i="1"/>
  <c r="C39" i="2" l="1"/>
  <c r="B39" i="2"/>
</calcChain>
</file>

<file path=xl/sharedStrings.xml><?xml version="1.0" encoding="utf-8"?>
<sst xmlns="http://schemas.openxmlformats.org/spreadsheetml/2006/main" count="770" uniqueCount="267">
  <si>
    <t>Etichette</t>
  </si>
  <si>
    <t>Y</t>
  </si>
  <si>
    <t>Strato</t>
  </si>
  <si>
    <t>Tabella 2.8</t>
  </si>
  <si>
    <t>Tabella 2.9</t>
  </si>
  <si>
    <t>Tabella 3.1</t>
  </si>
  <si>
    <t>Anni</t>
  </si>
  <si>
    <t>p</t>
  </si>
  <si>
    <t>v.a. p</t>
  </si>
  <si>
    <t>v.r. p</t>
  </si>
  <si>
    <t>Qualifica</t>
  </si>
  <si>
    <t>15-35</t>
  </si>
  <si>
    <t>36-55</t>
  </si>
  <si>
    <t>56-70</t>
  </si>
  <si>
    <t>Totale</t>
  </si>
  <si>
    <t>Dirigenti</t>
  </si>
  <si>
    <t>Quadri</t>
  </si>
  <si>
    <t>Inpiegati</t>
  </si>
  <si>
    <t>Operai</t>
  </si>
  <si>
    <t>Tabella 3.3a</t>
  </si>
  <si>
    <t>Tabella 3.3b</t>
  </si>
  <si>
    <t>Tabella 3.7a</t>
  </si>
  <si>
    <t>Ore lavorate</t>
  </si>
  <si>
    <t>fino a 35</t>
  </si>
  <si>
    <t>36-40</t>
  </si>
  <si>
    <t>41 e oltre</t>
  </si>
  <si>
    <t>Tabella 3.7b</t>
  </si>
  <si>
    <t>Tabella 3.9</t>
  </si>
  <si>
    <t>t</t>
  </si>
  <si>
    <t>p_i</t>
  </si>
  <si>
    <t>N.I. base fissa</t>
  </si>
  <si>
    <t>N.I. base mobile</t>
  </si>
  <si>
    <t>Bene 1</t>
  </si>
  <si>
    <t>Bene 2</t>
  </si>
  <si>
    <t>Bene 3</t>
  </si>
  <si>
    <t>Tabella 3.11a</t>
  </si>
  <si>
    <t>Tabella 3.11b</t>
  </si>
  <si>
    <t>Tabella 3.14</t>
  </si>
  <si>
    <t>Anno</t>
  </si>
  <si>
    <t>Mese</t>
  </si>
  <si>
    <t>Mercato totale</t>
  </si>
  <si>
    <t>Mercato interno</t>
  </si>
  <si>
    <t>Mercato estero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</si>
  <si>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</si>
  <si>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</si>
  <si>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</si>
  <si>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</si>
  <si>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</si>
  <si>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</si>
  <si>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</si>
  <si>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</si>
  <si>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</si>
  <si>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</si>
  <si>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</si>
  <si>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</si>
  <si>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Attività economiche</t>
  </si>
  <si>
    <t>ASP</t>
  </si>
  <si>
    <t>Costruzioni</t>
  </si>
  <si>
    <t>Manifattura</t>
  </si>
  <si>
    <t>Commercio</t>
  </si>
  <si>
    <t>Alloggio e rist</t>
  </si>
  <si>
    <t>Finanza</t>
  </si>
  <si>
    <t>Altri servizi</t>
  </si>
  <si>
    <t>Altri settori</t>
  </si>
  <si>
    <t>Tabella 3.18a</t>
  </si>
  <si>
    <t>Tabella 3.18b</t>
  </si>
  <si>
    <t>Tabella 3.21</t>
  </si>
  <si>
    <t>Totale (t-1)</t>
  </si>
  <si>
    <t>Totale (t)</t>
  </si>
  <si>
    <t>Tabella 3.23</t>
  </si>
  <si>
    <t>Numero di ingressi (E)</t>
  </si>
  <si>
    <t>Numero di uscite (U)</t>
  </si>
  <si>
    <t>Organico 1/1</t>
  </si>
  <si>
    <t>Organico 31/12</t>
  </si>
  <si>
    <t>Tabella 3.25</t>
  </si>
  <si>
    <t>Fatturato</t>
  </si>
  <si>
    <t>N.I. PP</t>
  </si>
  <si>
    <t>Fatturato prezzi 2005</t>
  </si>
  <si>
    <t>N.I. fatturato a prezzi correnti</t>
  </si>
  <si>
    <t>N.I. fatturato a prezzi 2005</t>
  </si>
  <si>
    <t>Tabella 6.1</t>
  </si>
  <si>
    <t>Capoluogo</t>
  </si>
  <si>
    <t>Produzione</t>
  </si>
  <si>
    <t>Costo</t>
  </si>
  <si>
    <t>Cagliari</t>
  </si>
  <si>
    <t>Ancona</t>
  </si>
  <si>
    <t>Aosta</t>
  </si>
  <si>
    <t>Bari</t>
  </si>
  <si>
    <t>Bologna</t>
  </si>
  <si>
    <t>Campobasso</t>
  </si>
  <si>
    <t>Catanzaro</t>
  </si>
  <si>
    <t>Firenze</t>
  </si>
  <si>
    <t>Genova</t>
  </si>
  <si>
    <t>L'Aquila</t>
  </si>
  <si>
    <t>Milano nord</t>
  </si>
  <si>
    <t>Milano sud</t>
  </si>
  <si>
    <t>Napoli</t>
  </si>
  <si>
    <t>Palermo</t>
  </si>
  <si>
    <t>Perugia</t>
  </si>
  <si>
    <t>Potenza</t>
  </si>
  <si>
    <t>Roma nord</t>
  </si>
  <si>
    <t>Roma sud</t>
  </si>
  <si>
    <t>Torino</t>
  </si>
  <si>
    <t>Trento</t>
  </si>
  <si>
    <t>Trieste</t>
  </si>
  <si>
    <t>Venezia</t>
  </si>
  <si>
    <t>Salari</t>
  </si>
  <si>
    <t>Contributi</t>
  </si>
  <si>
    <t>Pensioni</t>
  </si>
  <si>
    <t>Imposte</t>
  </si>
  <si>
    <t>Ammortamenti</t>
  </si>
  <si>
    <t>Interessi</t>
  </si>
  <si>
    <t>Altre spese</t>
  </si>
  <si>
    <t>Totale costi personale</t>
  </si>
  <si>
    <t>Totale altri costi</t>
  </si>
  <si>
    <t>Tabella 6.6</t>
  </si>
  <si>
    <t>Unità</t>
  </si>
  <si>
    <t>Prezzi del prodotto</t>
  </si>
  <si>
    <t>Spesa per la promozione</t>
  </si>
  <si>
    <t>Volume delle vendite</t>
  </si>
  <si>
    <t>Media campionaria p.55</t>
  </si>
  <si>
    <t>ES della media campionaria p.55</t>
  </si>
  <si>
    <t>Proporzione p.56</t>
  </si>
  <si>
    <t>ES della proporzione p.56</t>
  </si>
  <si>
    <t>Tabella 2.10</t>
  </si>
  <si>
    <t>totale</t>
  </si>
  <si>
    <t>20-8</t>
  </si>
  <si>
    <t>8-20</t>
  </si>
  <si>
    <t>Nh</t>
  </si>
  <si>
    <t>Wh</t>
  </si>
  <si>
    <t>nh</t>
  </si>
  <si>
    <t>yh</t>
  </si>
  <si>
    <t>ybarh</t>
  </si>
  <si>
    <t>s2h</t>
  </si>
  <si>
    <t>rh</t>
  </si>
  <si>
    <t>ph</t>
  </si>
  <si>
    <t>Strato: fascia oraria</t>
  </si>
  <si>
    <t>Intervalli di confidenza p.61</t>
  </si>
  <si>
    <t>a)</t>
  </si>
  <si>
    <t>b)</t>
  </si>
  <si>
    <t>c)</t>
  </si>
  <si>
    <t>d)</t>
  </si>
  <si>
    <t>Dimensione campionaria p.62</t>
  </si>
  <si>
    <t>Tabella 3.3a - Spesa</t>
  </si>
  <si>
    <t>Tabella 3.3b - Numero dipendenti</t>
  </si>
  <si>
    <t>Tabella 3.4a - Spesa</t>
  </si>
  <si>
    <t>Rapporti di composizione</t>
  </si>
  <si>
    <t>Rapporti di composizione condizionati - Per riga</t>
  </si>
  <si>
    <t>Rapporti di composizione condizionati - Per colonna</t>
  </si>
  <si>
    <t>Tabella 3.5</t>
  </si>
  <si>
    <t>Rapporto di coesistenza p.87</t>
  </si>
  <si>
    <t>Tabella 3.8</t>
  </si>
  <si>
    <t>Rapporti di derivazione calcolati su Tab 3.7</t>
  </si>
  <si>
    <t>Impiegati</t>
  </si>
  <si>
    <t>N.I. b=2005</t>
  </si>
  <si>
    <t>N.I. b=2007</t>
  </si>
  <si>
    <t>Esempio 3.1: tassi medi</t>
  </si>
  <si>
    <t>Tasso medio semplice</t>
  </si>
  <si>
    <t>Tasso medio composto</t>
  </si>
  <si>
    <t>Tabella 3.12</t>
  </si>
  <si>
    <t>Bene1</t>
  </si>
  <si>
    <t>Bene2</t>
  </si>
  <si>
    <t>Bene3</t>
  </si>
  <si>
    <t>p05q05</t>
  </si>
  <si>
    <t>p06q05</t>
  </si>
  <si>
    <t>p07q05</t>
  </si>
  <si>
    <t>p05q06</t>
  </si>
  <si>
    <t>p05q07</t>
  </si>
  <si>
    <t>p06q06</t>
  </si>
  <si>
    <t>p07q07</t>
  </si>
  <si>
    <t>Ybar:</t>
  </si>
  <si>
    <t>ES.Ybar</t>
  </si>
  <si>
    <t>Sy:</t>
  </si>
  <si>
    <t>Y-Ybar:</t>
  </si>
  <si>
    <t>(Y-Ybar)^2:</t>
  </si>
  <si>
    <t>f:</t>
  </si>
  <si>
    <t>N:</t>
  </si>
  <si>
    <t>n:</t>
  </si>
  <si>
    <t>Tp:</t>
  </si>
  <si>
    <t>Cond. &gt;4</t>
  </si>
  <si>
    <t>ES.Tp:</t>
  </si>
  <si>
    <t>ES.Tp.conservativo:</t>
  </si>
  <si>
    <t>Strato 1: 20-8</t>
  </si>
  <si>
    <t>Strato 2: 8-20</t>
  </si>
  <si>
    <t>Cond. &gt;3 Str.1</t>
  </si>
  <si>
    <t>Cond. &gt;3 Str.2</t>
  </si>
  <si>
    <t>NA</t>
  </si>
  <si>
    <t xml:space="preserve"> Rep1</t>
  </si>
  <si>
    <t xml:space="preserve"> Rep2</t>
  </si>
  <si>
    <t>IL.05.06</t>
  </si>
  <si>
    <t>IP.05.06</t>
  </si>
  <si>
    <t>IP.05.07</t>
  </si>
  <si>
    <t>IL.05.07</t>
  </si>
  <si>
    <t>Variazioni congiunturali</t>
  </si>
  <si>
    <t>Variazioni tendenziali</t>
  </si>
  <si>
    <t>Tabella 3.4b - Numero dipendenti</t>
  </si>
  <si>
    <t>Cat. Prof. t</t>
  </si>
  <si>
    <t>Cat. Prof. (t-1)</t>
  </si>
  <si>
    <t>Tabella 3.22 - Tassi di permanenza e transizione</t>
  </si>
  <si>
    <t xml:space="preserve">Tabella 3.23 - Previsioni al tempo (t+1) </t>
  </si>
  <si>
    <t>Totale (t+1)</t>
  </si>
  <si>
    <t>Cat. Prof. (t+1)</t>
  </si>
  <si>
    <t>Totale t</t>
  </si>
  <si>
    <t>Tabella 3.18a - Arezzo</t>
  </si>
  <si>
    <t>Tabella 3.18b - Toscana</t>
  </si>
  <si>
    <t>Covarianza e coefficiente di correlazione p. 230</t>
  </si>
  <si>
    <t>M(Prod)</t>
  </si>
  <si>
    <t>M(Costo)</t>
  </si>
  <si>
    <t>P-M(P)</t>
  </si>
  <si>
    <t>C-M(C)</t>
  </si>
  <si>
    <t>Cov(P,C)</t>
  </si>
  <si>
    <t>(P-MP)(C-MC)</t>
  </si>
  <si>
    <t>PC</t>
  </si>
  <si>
    <t>M(PC)</t>
  </si>
  <si>
    <t xml:space="preserve">M(P)M(C </t>
  </si>
  <si>
    <t>Var(P)</t>
  </si>
  <si>
    <t>Var(c )</t>
  </si>
  <si>
    <t>t-test</t>
  </si>
  <si>
    <t>SE(rho)</t>
  </si>
  <si>
    <t>rho</t>
  </si>
  <si>
    <t xml:space="preserve">Esempio 6.2 Modello di regressione lineare </t>
  </si>
  <si>
    <t>a</t>
  </si>
  <si>
    <t>b</t>
  </si>
  <si>
    <t>C = a + b*P + u</t>
  </si>
  <si>
    <t>coef</t>
  </si>
  <si>
    <t>ES</t>
  </si>
  <si>
    <t>Residui</t>
  </si>
  <si>
    <t>u.hat</t>
  </si>
  <si>
    <t>s2</t>
  </si>
  <si>
    <t>u.hat2</t>
  </si>
  <si>
    <t>P^2</t>
  </si>
  <si>
    <t>(P-M(P))^2</t>
  </si>
  <si>
    <t>t-stat</t>
  </si>
  <si>
    <t>Tabella 7.2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</si>
  <si>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</si>
  <si>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</si>
  <si>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</si>
  <si>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</si>
  <si>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</si>
  <si>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</si>
  <si>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</si>
  <si>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</si>
  <si>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</si>
  <si>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</si>
  <si>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</si>
  <si>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</si>
  <si>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MM12</t>
  </si>
  <si>
    <t>anno</t>
  </si>
  <si>
    <t>mese</t>
  </si>
  <si>
    <t>vendite</t>
  </si>
  <si>
    <t>Detrend</t>
  </si>
  <si>
    <t>media</t>
  </si>
  <si>
    <t>Coef Stag lordi</t>
  </si>
  <si>
    <t>Coef stag netti</t>
  </si>
  <si>
    <t>Trend</t>
  </si>
  <si>
    <t>Destag</t>
  </si>
  <si>
    <t>Trend con la regressione lineare</t>
  </si>
  <si>
    <t>X</t>
  </si>
  <si>
    <t>Modello: vendite = a + b*trend + u</t>
  </si>
  <si>
    <t>Cov(XY)</t>
  </si>
  <si>
    <t>Var(X)</t>
  </si>
  <si>
    <t>X^2</t>
  </si>
  <si>
    <t>XY</t>
  </si>
  <si>
    <t>Fit</t>
  </si>
  <si>
    <t>Infortuni</t>
  </si>
  <si>
    <t>Presenze</t>
  </si>
  <si>
    <t>Detrend.x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</si>
</sst>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16" fontId="1" fillId="0" borderId="0" xfId="0" quotePrefix="1" applyNumberFormat="1" applyFont="1"/>
    <xf numFmtId="17" fontId="1" fillId="0" borderId="0" xfId="0" quotePrefix="1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0" fontId="0" fillId="0" borderId="0" xfId="0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4396325459317E-2"/>
          <c:y val="2.8252405949256341E-2"/>
          <c:w val="0.68883923884514431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v>Vendite</c:v>
          </c:tx>
          <c:marker>
            <c:symbol val="none"/>
          </c:marker>
          <c:val>
            <c:numRef>
              <c:f>'Cap7'!$C$3:$C$98</c:f>
              <c:numCache>
                <c:formatCode>General</c:formatCode>
                <c:ptCount val="96"/>
                <c:pt idx="0">
                  <c:v>594</c:v>
                </c:pt>
                <c:pt idx="1">
                  <c:v>924</c:v>
                </c:pt>
                <c:pt idx="2">
                  <c:v>1166</c:v>
                </c:pt>
                <c:pt idx="3">
                  <c:v>1254</c:v>
                </c:pt>
                <c:pt idx="4">
                  <c:v>1361</c:v>
                </c:pt>
                <c:pt idx="5">
                  <c:v>1436</c:v>
                </c:pt>
                <c:pt idx="6">
                  <c:v>1731</c:v>
                </c:pt>
                <c:pt idx="7">
                  <c:v>1689</c:v>
                </c:pt>
                <c:pt idx="8">
                  <c:v>1306</c:v>
                </c:pt>
                <c:pt idx="9">
                  <c:v>1049</c:v>
                </c:pt>
                <c:pt idx="10">
                  <c:v>804</c:v>
                </c:pt>
                <c:pt idx="11">
                  <c:v>805</c:v>
                </c:pt>
                <c:pt idx="12">
                  <c:v>734</c:v>
                </c:pt>
                <c:pt idx="13">
                  <c:v>1232</c:v>
                </c:pt>
                <c:pt idx="14">
                  <c:v>1244</c:v>
                </c:pt>
                <c:pt idx="15">
                  <c:v>1602</c:v>
                </c:pt>
                <c:pt idx="16">
                  <c:v>1660</c:v>
                </c:pt>
                <c:pt idx="17">
                  <c:v>1720</c:v>
                </c:pt>
                <c:pt idx="18">
                  <c:v>1836</c:v>
                </c:pt>
                <c:pt idx="19">
                  <c:v>1952</c:v>
                </c:pt>
                <c:pt idx="20">
                  <c:v>1584</c:v>
                </c:pt>
                <c:pt idx="21">
                  <c:v>1301</c:v>
                </c:pt>
                <c:pt idx="22">
                  <c:v>1647</c:v>
                </c:pt>
                <c:pt idx="23">
                  <c:v>988</c:v>
                </c:pt>
                <c:pt idx="24">
                  <c:v>1179</c:v>
                </c:pt>
                <c:pt idx="25">
                  <c:v>1558</c:v>
                </c:pt>
                <c:pt idx="26">
                  <c:v>1557</c:v>
                </c:pt>
                <c:pt idx="27">
                  <c:v>1372</c:v>
                </c:pt>
                <c:pt idx="28">
                  <c:v>2318</c:v>
                </c:pt>
                <c:pt idx="29">
                  <c:v>1872</c:v>
                </c:pt>
                <c:pt idx="30">
                  <c:v>1993</c:v>
                </c:pt>
                <c:pt idx="31">
                  <c:v>2202</c:v>
                </c:pt>
                <c:pt idx="32">
                  <c:v>1908</c:v>
                </c:pt>
                <c:pt idx="33">
                  <c:v>1257</c:v>
                </c:pt>
                <c:pt idx="34">
                  <c:v>1824</c:v>
                </c:pt>
                <c:pt idx="35">
                  <c:v>1008</c:v>
                </c:pt>
                <c:pt idx="36">
                  <c:v>1313</c:v>
                </c:pt>
                <c:pt idx="37">
                  <c:v>1707</c:v>
                </c:pt>
                <c:pt idx="38">
                  <c:v>1804</c:v>
                </c:pt>
                <c:pt idx="39">
                  <c:v>1610</c:v>
                </c:pt>
                <c:pt idx="40">
                  <c:v>2850</c:v>
                </c:pt>
                <c:pt idx="41">
                  <c:v>2871</c:v>
                </c:pt>
                <c:pt idx="42">
                  <c:v>2161</c:v>
                </c:pt>
                <c:pt idx="43">
                  <c:v>2282</c:v>
                </c:pt>
                <c:pt idx="44">
                  <c:v>1851</c:v>
                </c:pt>
                <c:pt idx="45">
                  <c:v>1604</c:v>
                </c:pt>
                <c:pt idx="46">
                  <c:v>1783</c:v>
                </c:pt>
                <c:pt idx="47">
                  <c:v>1008</c:v>
                </c:pt>
                <c:pt idx="48">
                  <c:v>1560</c:v>
                </c:pt>
                <c:pt idx="49">
                  <c:v>1951</c:v>
                </c:pt>
                <c:pt idx="50">
                  <c:v>1728</c:v>
                </c:pt>
                <c:pt idx="51">
                  <c:v>1684</c:v>
                </c:pt>
                <c:pt idx="52">
                  <c:v>3000</c:v>
                </c:pt>
                <c:pt idx="53">
                  <c:v>2579</c:v>
                </c:pt>
                <c:pt idx="54">
                  <c:v>2847</c:v>
                </c:pt>
                <c:pt idx="55">
                  <c:v>3469</c:v>
                </c:pt>
                <c:pt idx="56">
                  <c:v>2538</c:v>
                </c:pt>
                <c:pt idx="57">
                  <c:v>2173</c:v>
                </c:pt>
                <c:pt idx="58">
                  <c:v>2194</c:v>
                </c:pt>
                <c:pt idx="59">
                  <c:v>1333</c:v>
                </c:pt>
                <c:pt idx="60">
                  <c:v>1515</c:v>
                </c:pt>
                <c:pt idx="61">
                  <c:v>2105</c:v>
                </c:pt>
                <c:pt idx="62">
                  <c:v>2090</c:v>
                </c:pt>
                <c:pt idx="63">
                  <c:v>2447</c:v>
                </c:pt>
                <c:pt idx="64">
                  <c:v>3095</c:v>
                </c:pt>
                <c:pt idx="65">
                  <c:v>2222</c:v>
                </c:pt>
                <c:pt idx="66">
                  <c:v>3217</c:v>
                </c:pt>
                <c:pt idx="67">
                  <c:v>3444</c:v>
                </c:pt>
                <c:pt idx="68">
                  <c:v>2781</c:v>
                </c:pt>
                <c:pt idx="69">
                  <c:v>2186</c:v>
                </c:pt>
                <c:pt idx="70">
                  <c:v>2944</c:v>
                </c:pt>
                <c:pt idx="71">
                  <c:v>1308</c:v>
                </c:pt>
                <c:pt idx="72">
                  <c:v>1638</c:v>
                </c:pt>
                <c:pt idx="73">
                  <c:v>1905</c:v>
                </c:pt>
                <c:pt idx="74">
                  <c:v>2677</c:v>
                </c:pt>
                <c:pt idx="75">
                  <c:v>2379</c:v>
                </c:pt>
                <c:pt idx="76">
                  <c:v>3105</c:v>
                </c:pt>
                <c:pt idx="77">
                  <c:v>3507</c:v>
                </c:pt>
                <c:pt idx="78">
                  <c:v>3311</c:v>
                </c:pt>
                <c:pt idx="79">
                  <c:v>3925</c:v>
                </c:pt>
                <c:pt idx="80">
                  <c:v>2991</c:v>
                </c:pt>
                <c:pt idx="81">
                  <c:v>2471</c:v>
                </c:pt>
                <c:pt idx="82">
                  <c:v>2297</c:v>
                </c:pt>
                <c:pt idx="83">
                  <c:v>1186</c:v>
                </c:pt>
                <c:pt idx="84">
                  <c:v>2102</c:v>
                </c:pt>
                <c:pt idx="85">
                  <c:v>2238</c:v>
                </c:pt>
                <c:pt idx="86">
                  <c:v>2930</c:v>
                </c:pt>
                <c:pt idx="87">
                  <c:v>2587</c:v>
                </c:pt>
                <c:pt idx="88">
                  <c:v>3542</c:v>
                </c:pt>
                <c:pt idx="89">
                  <c:v>4070</c:v>
                </c:pt>
                <c:pt idx="90">
                  <c:v>4380</c:v>
                </c:pt>
                <c:pt idx="91">
                  <c:v>4388</c:v>
                </c:pt>
                <c:pt idx="92">
                  <c:v>3913</c:v>
                </c:pt>
                <c:pt idx="93">
                  <c:v>3075</c:v>
                </c:pt>
                <c:pt idx="94">
                  <c:v>2936</c:v>
                </c:pt>
                <c:pt idx="95">
                  <c:v>1908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2-4E49-9DFD-E7FDB81780B2}"/>
            </c:ext>
          </c:extLst>
        </c:ser>
        <c:ser>
          <c:idx val="1"/>
          <c:order val="1"/>
          <c:tx>
            <c:v>Trend</c:v>
          </c:tx>
          <c:marker>
            <c:symbol val="none"/>
          </c:marker>
          <c:val>
            <c:numRef>
              <c:f>'Cap7'!$N$3:$N$98</c:f>
              <c:numCache>
                <c:formatCode>General</c:formatCode>
                <c:ptCount val="96"/>
                <c:pt idx="6">
                  <c:v>1182.4166666666667</c:v>
                </c:pt>
                <c:pt idx="7">
                  <c:v>1201.0833333333333</c:v>
                </c:pt>
                <c:pt idx="8">
                  <c:v>1217.1666666666667</c:v>
                </c:pt>
                <c:pt idx="9">
                  <c:v>1234.9166666666667</c:v>
                </c:pt>
                <c:pt idx="10">
                  <c:v>1261.875</c:v>
                </c:pt>
                <c:pt idx="11">
                  <c:v>1286.1666666666667</c:v>
                </c:pt>
                <c:pt idx="12">
                  <c:v>1302.375</c:v>
                </c:pt>
                <c:pt idx="13">
                  <c:v>1317.7083333333333</c:v>
                </c:pt>
                <c:pt idx="14">
                  <c:v>1340.25</c:v>
                </c:pt>
                <c:pt idx="15">
                  <c:v>1362.3333333333333</c:v>
                </c:pt>
                <c:pt idx="16">
                  <c:v>1407.9583333333333</c:v>
                </c:pt>
                <c:pt idx="17">
                  <c:v>1450.7083333333333</c:v>
                </c:pt>
                <c:pt idx="18">
                  <c:v>1476.875</c:v>
                </c:pt>
                <c:pt idx="19">
                  <c:v>1509</c:v>
                </c:pt>
                <c:pt idx="20">
                  <c:v>1535.625</c:v>
                </c:pt>
                <c:pt idx="21">
                  <c:v>1539.0833333333333</c:v>
                </c:pt>
                <c:pt idx="22">
                  <c:v>1556.9166666666667</c:v>
                </c:pt>
                <c:pt idx="23">
                  <c:v>1590.6666666666667</c:v>
                </c:pt>
                <c:pt idx="24">
                  <c:v>1603.5416666666667</c:v>
                </c:pt>
                <c:pt idx="25">
                  <c:v>1620.5</c:v>
                </c:pt>
                <c:pt idx="26">
                  <c:v>1644.4166666666667</c:v>
                </c:pt>
                <c:pt idx="27">
                  <c:v>1656.0833333333333</c:v>
                </c:pt>
                <c:pt idx="28">
                  <c:v>1661.625</c:v>
                </c:pt>
                <c:pt idx="29">
                  <c:v>1669.8333333333333</c:v>
                </c:pt>
                <c:pt idx="30">
                  <c:v>1676.25</c:v>
                </c:pt>
                <c:pt idx="31">
                  <c:v>1688.0416666666667</c:v>
                </c:pt>
                <c:pt idx="32">
                  <c:v>1704.5416666666667</c:v>
                </c:pt>
                <c:pt idx="33">
                  <c:v>1724.75</c:v>
                </c:pt>
                <c:pt idx="34">
                  <c:v>1756.8333333333333</c:v>
                </c:pt>
                <c:pt idx="35">
                  <c:v>1820.625</c:v>
                </c:pt>
                <c:pt idx="36">
                  <c:v>1869.25</c:v>
                </c:pt>
                <c:pt idx="37">
                  <c:v>1879.5833333333333</c:v>
                </c:pt>
                <c:pt idx="38">
                  <c:v>1880.5416666666667</c:v>
                </c:pt>
                <c:pt idx="39">
                  <c:v>1892.625</c:v>
                </c:pt>
                <c:pt idx="40">
                  <c:v>1905.375</c:v>
                </c:pt>
                <c:pt idx="41">
                  <c:v>1903.6666666666667</c:v>
                </c:pt>
                <c:pt idx="42">
                  <c:v>1913.9583333333333</c:v>
                </c:pt>
                <c:pt idx="43">
                  <c:v>1934.4166666666667</c:v>
                </c:pt>
                <c:pt idx="44">
                  <c:v>1941.4166666666667</c:v>
                </c:pt>
                <c:pt idx="45">
                  <c:v>1941.3333333333333</c:v>
                </c:pt>
                <c:pt idx="46">
                  <c:v>1950.6666666666667</c:v>
                </c:pt>
                <c:pt idx="47">
                  <c:v>1944.75</c:v>
                </c:pt>
                <c:pt idx="48">
                  <c:v>1961.1666666666667</c:v>
                </c:pt>
                <c:pt idx="49">
                  <c:v>2039.2083333333333</c:v>
                </c:pt>
                <c:pt idx="50">
                  <c:v>2117.2916666666665</c:v>
                </c:pt>
                <c:pt idx="51">
                  <c:v>2169.625</c:v>
                </c:pt>
                <c:pt idx="52">
                  <c:v>2210.4583333333335</c:v>
                </c:pt>
                <c:pt idx="53">
                  <c:v>2241.125</c:v>
                </c:pt>
                <c:pt idx="54">
                  <c:v>2252.7916666666665</c:v>
                </c:pt>
                <c:pt idx="55">
                  <c:v>2257.3333333333335</c:v>
                </c:pt>
                <c:pt idx="56">
                  <c:v>2278.8333333333335</c:v>
                </c:pt>
                <c:pt idx="57">
                  <c:v>2325.7083333333335</c:v>
                </c:pt>
                <c:pt idx="58">
                  <c:v>2361.4583333333335</c:v>
                </c:pt>
                <c:pt idx="59">
                  <c:v>2350.5416666666665</c:v>
                </c:pt>
                <c:pt idx="60">
                  <c:v>2351.0833333333335</c:v>
                </c:pt>
                <c:pt idx="61">
                  <c:v>2365.4583333333335</c:v>
                </c:pt>
                <c:pt idx="62">
                  <c:v>2374.5416666666665</c:v>
                </c:pt>
                <c:pt idx="63">
                  <c:v>2385.2083333333335</c:v>
                </c:pt>
                <c:pt idx="64">
                  <c:v>2417</c:v>
                </c:pt>
                <c:pt idx="65">
                  <c:v>2447.2083333333335</c:v>
                </c:pt>
                <c:pt idx="66">
                  <c:v>2451.2916666666665</c:v>
                </c:pt>
                <c:pt idx="67">
                  <c:v>2448.0833333333335</c:v>
                </c:pt>
                <c:pt idx="68">
                  <c:v>2464.2083333333335</c:v>
                </c:pt>
                <c:pt idx="69">
                  <c:v>2485.8333333333335</c:v>
                </c:pt>
                <c:pt idx="70">
                  <c:v>2483.4166666666665</c:v>
                </c:pt>
                <c:pt idx="71">
                  <c:v>2537.375</c:v>
                </c:pt>
                <c:pt idx="72">
                  <c:v>2594.8333333333335</c:v>
                </c:pt>
                <c:pt idx="73">
                  <c:v>2618.7916666666665</c:v>
                </c:pt>
                <c:pt idx="74">
                  <c:v>2647.5833333333335</c:v>
                </c:pt>
                <c:pt idx="75">
                  <c:v>2668.2083333333335</c:v>
                </c:pt>
                <c:pt idx="76">
                  <c:v>2653.125</c:v>
                </c:pt>
                <c:pt idx="77">
                  <c:v>2621.0833333333335</c:v>
                </c:pt>
                <c:pt idx="78">
                  <c:v>2635.3333333333335</c:v>
                </c:pt>
                <c:pt idx="79">
                  <c:v>2668.5416666666665</c:v>
                </c:pt>
                <c:pt idx="80">
                  <c:v>2692.9583333333335</c:v>
                </c:pt>
                <c:pt idx="81">
                  <c:v>2712.1666666666665</c:v>
                </c:pt>
                <c:pt idx="82">
                  <c:v>2739.0416666666665</c:v>
                </c:pt>
                <c:pt idx="83">
                  <c:v>2780.7083333333335</c:v>
                </c:pt>
                <c:pt idx="84">
                  <c:v>2848.7083333333335</c:v>
                </c:pt>
                <c:pt idx="85">
                  <c:v>2912.5416666666665</c:v>
                </c:pt>
                <c:pt idx="86">
                  <c:v>2970.25</c:v>
                </c:pt>
                <c:pt idx="87">
                  <c:v>3033.8333333333335</c:v>
                </c:pt>
                <c:pt idx="88">
                  <c:v>3085.625</c:v>
                </c:pt>
                <c:pt idx="89">
                  <c:v>3142.3333333333335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2-4E49-9DFD-E7FDB81780B2}"/>
            </c:ext>
          </c:extLst>
        </c:ser>
        <c:ser>
          <c:idx val="2"/>
          <c:order val="2"/>
          <c:tx>
            <c:v>Trend OLS</c:v>
          </c:tx>
          <c:marker>
            <c:symbol val="none"/>
          </c:marker>
          <c:val>
            <c:numRef>
              <c:f>'Cap7'!$AA$3:$AA$98</c:f>
              <c:numCache>
                <c:formatCode>General</c:formatCode>
                <c:ptCount val="96"/>
                <c:pt idx="0">
                  <c:v>1033.2712628865982</c:v>
                </c:pt>
                <c:pt idx="1">
                  <c:v>1055.4616047205645</c:v>
                </c:pt>
                <c:pt idx="2">
                  <c:v>1077.6519465545309</c:v>
                </c:pt>
                <c:pt idx="3">
                  <c:v>1099.8422883884973</c:v>
                </c:pt>
                <c:pt idx="4">
                  <c:v>1122.0326302224635</c:v>
                </c:pt>
                <c:pt idx="5">
                  <c:v>1144.2229720564299</c:v>
                </c:pt>
                <c:pt idx="6">
                  <c:v>1166.4133138903962</c:v>
                </c:pt>
                <c:pt idx="7">
                  <c:v>1188.6036557243626</c:v>
                </c:pt>
                <c:pt idx="8">
                  <c:v>1210.793997558329</c:v>
                </c:pt>
                <c:pt idx="9">
                  <c:v>1232.9843393922954</c:v>
                </c:pt>
                <c:pt idx="10">
                  <c:v>1255.1746812262618</c:v>
                </c:pt>
                <c:pt idx="11">
                  <c:v>1277.3650230602279</c:v>
                </c:pt>
                <c:pt idx="12">
                  <c:v>1299.5553648941946</c:v>
                </c:pt>
                <c:pt idx="13">
                  <c:v>1321.7457067281607</c:v>
                </c:pt>
                <c:pt idx="14">
                  <c:v>1343.9360485621271</c:v>
                </c:pt>
                <c:pt idx="15">
                  <c:v>1366.1263903960935</c:v>
                </c:pt>
                <c:pt idx="16">
                  <c:v>1388.3167322300599</c:v>
                </c:pt>
                <c:pt idx="17">
                  <c:v>1410.5070740640263</c:v>
                </c:pt>
                <c:pt idx="18">
                  <c:v>1432.6974158979924</c:v>
                </c:pt>
                <c:pt idx="19">
                  <c:v>1454.887757731959</c:v>
                </c:pt>
                <c:pt idx="20">
                  <c:v>1477.0780995659252</c:v>
                </c:pt>
                <c:pt idx="21">
                  <c:v>1499.2684413998916</c:v>
                </c:pt>
                <c:pt idx="22">
                  <c:v>1521.458783233858</c:v>
                </c:pt>
                <c:pt idx="23">
                  <c:v>1543.6491250678243</c:v>
                </c:pt>
                <c:pt idx="24">
                  <c:v>1565.8394669017907</c:v>
                </c:pt>
                <c:pt idx="25">
                  <c:v>1588.0298087357571</c:v>
                </c:pt>
                <c:pt idx="26">
                  <c:v>1610.2201505697235</c:v>
                </c:pt>
                <c:pt idx="27">
                  <c:v>1632.4104924036897</c:v>
                </c:pt>
                <c:pt idx="28">
                  <c:v>1654.6008342376563</c:v>
                </c:pt>
                <c:pt idx="29">
                  <c:v>1676.7911760716224</c:v>
                </c:pt>
                <c:pt idx="30">
                  <c:v>1698.9815179055888</c:v>
                </c:pt>
                <c:pt idx="31">
                  <c:v>1721.1718597395552</c:v>
                </c:pt>
                <c:pt idx="32">
                  <c:v>1743.3622015735216</c:v>
                </c:pt>
                <c:pt idx="33">
                  <c:v>1765.552543407488</c:v>
                </c:pt>
                <c:pt idx="34">
                  <c:v>1787.7428852414541</c:v>
                </c:pt>
                <c:pt idx="35">
                  <c:v>1809.9332270754207</c:v>
                </c:pt>
                <c:pt idx="36">
                  <c:v>1832.1235689093869</c:v>
                </c:pt>
                <c:pt idx="37">
                  <c:v>1854.3139107433533</c:v>
                </c:pt>
                <c:pt idx="38">
                  <c:v>1876.5042525773197</c:v>
                </c:pt>
                <c:pt idx="39">
                  <c:v>1898.6945944112861</c:v>
                </c:pt>
                <c:pt idx="40">
                  <c:v>1920.8849362452524</c:v>
                </c:pt>
                <c:pt idx="41">
                  <c:v>1943.0752780792188</c:v>
                </c:pt>
                <c:pt idx="42">
                  <c:v>1965.2656199131852</c:v>
                </c:pt>
                <c:pt idx="43">
                  <c:v>1987.4559617471514</c:v>
                </c:pt>
                <c:pt idx="44">
                  <c:v>2009.646303581118</c:v>
                </c:pt>
                <c:pt idx="45">
                  <c:v>2031.8366454150841</c:v>
                </c:pt>
                <c:pt idx="46">
                  <c:v>2054.0269872490508</c:v>
                </c:pt>
                <c:pt idx="47">
                  <c:v>2076.2173290830169</c:v>
                </c:pt>
                <c:pt idx="48">
                  <c:v>2098.4076709169831</c:v>
                </c:pt>
                <c:pt idx="49">
                  <c:v>2120.5980127509497</c:v>
                </c:pt>
                <c:pt idx="50">
                  <c:v>2142.7883545849163</c:v>
                </c:pt>
                <c:pt idx="51">
                  <c:v>2164.9786964188825</c:v>
                </c:pt>
                <c:pt idx="52">
                  <c:v>2187.1690382528486</c:v>
                </c:pt>
                <c:pt idx="53">
                  <c:v>2209.3593800868148</c:v>
                </c:pt>
                <c:pt idx="54">
                  <c:v>2231.5497219207814</c:v>
                </c:pt>
                <c:pt idx="55">
                  <c:v>2253.740063754748</c:v>
                </c:pt>
                <c:pt idx="56">
                  <c:v>2275.9304055887142</c:v>
                </c:pt>
                <c:pt idx="57">
                  <c:v>2298.1207474226803</c:v>
                </c:pt>
                <c:pt idx="58">
                  <c:v>2320.3110892566469</c:v>
                </c:pt>
                <c:pt idx="59">
                  <c:v>2342.5014310906131</c:v>
                </c:pt>
                <c:pt idx="60">
                  <c:v>2364.6917729245797</c:v>
                </c:pt>
                <c:pt idx="61">
                  <c:v>2386.8821147585459</c:v>
                </c:pt>
                <c:pt idx="62">
                  <c:v>2409.072456592512</c:v>
                </c:pt>
                <c:pt idx="63">
                  <c:v>2431.2627984264786</c:v>
                </c:pt>
                <c:pt idx="64">
                  <c:v>2453.4531402604453</c:v>
                </c:pt>
                <c:pt idx="65">
                  <c:v>2475.6434820944114</c:v>
                </c:pt>
                <c:pt idx="66">
                  <c:v>2497.8338239283776</c:v>
                </c:pt>
                <c:pt idx="67">
                  <c:v>2520.0241657623442</c:v>
                </c:pt>
                <c:pt idx="68">
                  <c:v>2542.2145075963103</c:v>
                </c:pt>
                <c:pt idx="69">
                  <c:v>2564.404849430277</c:v>
                </c:pt>
                <c:pt idx="70">
                  <c:v>2586.5951912642431</c:v>
                </c:pt>
                <c:pt idx="71">
                  <c:v>2608.7855330982093</c:v>
                </c:pt>
                <c:pt idx="72">
                  <c:v>2630.9758749321759</c:v>
                </c:pt>
                <c:pt idx="73">
                  <c:v>2653.1662167661425</c:v>
                </c:pt>
                <c:pt idx="74">
                  <c:v>2675.3565586001087</c:v>
                </c:pt>
                <c:pt idx="75">
                  <c:v>2697.5469004340748</c:v>
                </c:pt>
                <c:pt idx="76">
                  <c:v>2719.737242268041</c:v>
                </c:pt>
                <c:pt idx="77">
                  <c:v>2741.9275841020076</c:v>
                </c:pt>
                <c:pt idx="78">
                  <c:v>2764.1179259359742</c:v>
                </c:pt>
                <c:pt idx="79">
                  <c:v>2786.3082677699404</c:v>
                </c:pt>
                <c:pt idx="80">
                  <c:v>2808.4986096039065</c:v>
                </c:pt>
                <c:pt idx="81">
                  <c:v>2830.6889514378731</c:v>
                </c:pt>
                <c:pt idx="82">
                  <c:v>2852.8792932718397</c:v>
                </c:pt>
                <c:pt idx="83">
                  <c:v>2875.0696351058059</c:v>
                </c:pt>
                <c:pt idx="84">
                  <c:v>2897.2599769397721</c:v>
                </c:pt>
                <c:pt idx="85">
                  <c:v>2919.4503187737382</c:v>
                </c:pt>
                <c:pt idx="86">
                  <c:v>2941.6406606077048</c:v>
                </c:pt>
                <c:pt idx="87">
                  <c:v>2963.8310024416714</c:v>
                </c:pt>
                <c:pt idx="88">
                  <c:v>2986.0213442756376</c:v>
                </c:pt>
                <c:pt idx="89">
                  <c:v>3008.2116861096038</c:v>
                </c:pt>
                <c:pt idx="90">
                  <c:v>3030.4020279435704</c:v>
                </c:pt>
                <c:pt idx="91">
                  <c:v>3052.5923697775365</c:v>
                </c:pt>
                <c:pt idx="92">
                  <c:v>3074.7827116115031</c:v>
                </c:pt>
                <c:pt idx="93">
                  <c:v>3096.9730534454693</c:v>
                </c:pt>
                <c:pt idx="94">
                  <c:v>3119.1633952794359</c:v>
                </c:pt>
                <c:pt idx="95">
                  <c:v>3141.3537371134021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92-4E49-9DFD-E7FDB8178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347328"/>
        <c:axId val="401348864"/>
      </c:lineChart>
      <c:catAx>
        <c:axId val="401347328"/>
        <c:scaling>
          <c:orientation val="minMax"/>
        </c:scaling>
        <c:delete val="0"/>
        <c:axPos val="b"/>
        <c:majorTickMark val="out"/>
        <c:minorTickMark val="none"/>
        <c:tickLblPos val="nextTo"/>
        <c:crossAx val="401348864"/>
        <c:crosses val="autoZero"/>
        <c:auto val="1"/>
        <c:lblAlgn val="ctr"/>
        <c:lblOffset val="100"/>
        <c:noMultiLvlLbl val="0"/>
      </c:catAx>
      <c:valAx>
        <c:axId val="401348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1347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600074</xdr:colOff>
      <xdr:row>3</xdr:row>
      <xdr:rowOff>90487</xdr:rowOff>
    </xdr:from>
    <xdr:to>
      <xdr:col>36</xdr:col>
      <xdr:colOff>571499</xdr:colOff>
      <xdr:row>17</xdr:row>
      <xdr:rowOff>76201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Z242"/>
  <sheetViews>
    <sheetView workbookViewId="0">
      <selection activeCell="C4" sqref="C4"/>
    </sheetView>
  </sheetViews>
  <sheetFormatPr defaultRowHeight="15" x14ac:dyDescent="0.25"/>
  <sheetData>
    <row r="1" spans="1:26" x14ac:dyDescent="0.25">
      <c r="A1" s="1" t="s">
        <v>3</v>
      </c>
    </row>
    <row r="3" spans="1:26" x14ac:dyDescent="0.25">
      <c r="A3" t="s">
        <v>0</v>
      </c>
      <c r="B3">
        <v>209</v>
      </c>
      <c r="C3">
        <v>295</v>
      </c>
      <c r="D3">
        <v>178</v>
      </c>
      <c r="E3">
        <v>253</v>
      </c>
      <c r="F3">
        <v>24</v>
      </c>
      <c r="G3">
        <v>357</v>
      </c>
      <c r="H3">
        <v>159</v>
      </c>
      <c r="I3">
        <v>271</v>
      </c>
      <c r="J3">
        <v>279</v>
      </c>
      <c r="K3">
        <v>244</v>
      </c>
      <c r="L3">
        <v>239</v>
      </c>
      <c r="M3">
        <v>20</v>
      </c>
      <c r="N3">
        <v>15</v>
      </c>
      <c r="O3">
        <v>46</v>
      </c>
      <c r="P3">
        <v>300</v>
      </c>
      <c r="Q3">
        <v>232</v>
      </c>
      <c r="R3">
        <v>282</v>
      </c>
      <c r="S3">
        <v>167</v>
      </c>
      <c r="T3">
        <v>173</v>
      </c>
      <c r="U3">
        <v>219</v>
      </c>
      <c r="V3">
        <v>13</v>
      </c>
      <c r="W3">
        <v>85</v>
      </c>
      <c r="X3">
        <v>35</v>
      </c>
      <c r="Y3">
        <v>239</v>
      </c>
      <c r="Z3">
        <v>123</v>
      </c>
    </row>
    <row r="4" spans="1:26" x14ac:dyDescent="0.25">
      <c r="A4" t="s">
        <v>1</v>
      </c>
      <c r="B4">
        <v>1</v>
      </c>
      <c r="C4">
        <v>4</v>
      </c>
      <c r="D4">
        <v>3</v>
      </c>
      <c r="E4">
        <v>4</v>
      </c>
      <c r="F4">
        <v>0</v>
      </c>
      <c r="G4">
        <v>3</v>
      </c>
      <c r="H4">
        <v>3</v>
      </c>
      <c r="I4">
        <v>0</v>
      </c>
      <c r="J4">
        <v>4</v>
      </c>
      <c r="K4">
        <v>1</v>
      </c>
      <c r="L4">
        <v>2</v>
      </c>
      <c r="M4">
        <v>0</v>
      </c>
      <c r="N4">
        <v>2</v>
      </c>
      <c r="O4">
        <v>3</v>
      </c>
      <c r="P4">
        <v>2</v>
      </c>
      <c r="Q4">
        <v>4</v>
      </c>
      <c r="R4">
        <v>3</v>
      </c>
      <c r="S4">
        <v>3</v>
      </c>
      <c r="T4">
        <v>1</v>
      </c>
      <c r="U4">
        <v>1</v>
      </c>
      <c r="V4">
        <v>4</v>
      </c>
      <c r="W4">
        <v>0</v>
      </c>
      <c r="X4">
        <v>3</v>
      </c>
      <c r="Y4">
        <v>1</v>
      </c>
      <c r="Z4">
        <v>4</v>
      </c>
    </row>
    <row r="6" spans="1:26" x14ac:dyDescent="0.25">
      <c r="A6" s="1" t="s">
        <v>4</v>
      </c>
    </row>
    <row r="8" spans="1:26" x14ac:dyDescent="0.25">
      <c r="A8" t="s">
        <v>0</v>
      </c>
      <c r="B8">
        <v>8</v>
      </c>
      <c r="C8">
        <v>49</v>
      </c>
      <c r="D8">
        <v>241</v>
      </c>
      <c r="E8">
        <v>164</v>
      </c>
      <c r="F8">
        <v>118</v>
      </c>
      <c r="G8">
        <v>209</v>
      </c>
      <c r="H8">
        <v>222</v>
      </c>
      <c r="I8">
        <v>99</v>
      </c>
      <c r="J8">
        <v>195</v>
      </c>
      <c r="K8">
        <v>93</v>
      </c>
      <c r="L8">
        <v>76</v>
      </c>
      <c r="M8">
        <v>105</v>
      </c>
      <c r="N8">
        <v>68</v>
      </c>
      <c r="O8">
        <v>157</v>
      </c>
      <c r="P8">
        <v>254</v>
      </c>
      <c r="Q8">
        <v>257</v>
      </c>
      <c r="R8">
        <v>68</v>
      </c>
      <c r="S8">
        <v>282</v>
      </c>
      <c r="T8">
        <v>28</v>
      </c>
      <c r="U8">
        <v>203</v>
      </c>
      <c r="V8">
        <v>181</v>
      </c>
      <c r="W8">
        <v>246</v>
      </c>
      <c r="X8">
        <v>269</v>
      </c>
      <c r="Y8">
        <v>193</v>
      </c>
      <c r="Z8">
        <v>109</v>
      </c>
    </row>
    <row r="9" spans="1:26" x14ac:dyDescent="0.25">
      <c r="A9" t="s">
        <v>2</v>
      </c>
      <c r="B9">
        <v>1</v>
      </c>
      <c r="C9">
        <v>2</v>
      </c>
      <c r="D9">
        <v>2</v>
      </c>
      <c r="E9">
        <v>1</v>
      </c>
      <c r="F9">
        <v>1</v>
      </c>
      <c r="G9">
        <v>1</v>
      </c>
      <c r="H9">
        <v>2</v>
      </c>
      <c r="I9">
        <v>2</v>
      </c>
      <c r="J9">
        <v>2</v>
      </c>
      <c r="K9">
        <v>2</v>
      </c>
      <c r="L9">
        <v>1</v>
      </c>
      <c r="M9">
        <v>2</v>
      </c>
      <c r="N9">
        <v>1</v>
      </c>
      <c r="O9">
        <v>2</v>
      </c>
      <c r="P9">
        <v>2</v>
      </c>
      <c r="Q9">
        <v>1</v>
      </c>
      <c r="R9">
        <v>2</v>
      </c>
      <c r="S9">
        <v>2</v>
      </c>
      <c r="T9">
        <v>1</v>
      </c>
      <c r="U9">
        <v>1</v>
      </c>
      <c r="V9">
        <v>2</v>
      </c>
      <c r="W9">
        <v>2</v>
      </c>
      <c r="X9">
        <v>2</v>
      </c>
      <c r="Y9">
        <v>1</v>
      </c>
      <c r="Z9">
        <v>2</v>
      </c>
    </row>
    <row r="10" spans="1:26" x14ac:dyDescent="0.25">
      <c r="A10" t="s">
        <v>1</v>
      </c>
      <c r="B10">
        <v>0</v>
      </c>
      <c r="C10">
        <v>5</v>
      </c>
      <c r="D10">
        <v>2</v>
      </c>
      <c r="E10">
        <v>4</v>
      </c>
      <c r="F10">
        <v>2</v>
      </c>
      <c r="G10">
        <v>1</v>
      </c>
      <c r="H10">
        <v>5</v>
      </c>
      <c r="I10">
        <v>4</v>
      </c>
      <c r="J10">
        <v>2</v>
      </c>
      <c r="K10">
        <v>5</v>
      </c>
      <c r="L10">
        <v>1</v>
      </c>
      <c r="M10">
        <v>3</v>
      </c>
      <c r="N10">
        <v>4</v>
      </c>
      <c r="O10">
        <v>3</v>
      </c>
      <c r="P10">
        <v>4</v>
      </c>
      <c r="Q10">
        <v>2</v>
      </c>
      <c r="R10">
        <v>2</v>
      </c>
      <c r="S10">
        <v>3</v>
      </c>
      <c r="T10">
        <v>2</v>
      </c>
      <c r="U10">
        <v>0</v>
      </c>
      <c r="V10">
        <v>1</v>
      </c>
      <c r="W10">
        <v>2</v>
      </c>
      <c r="X10">
        <v>3</v>
      </c>
      <c r="Y10">
        <v>3</v>
      </c>
      <c r="Z10">
        <v>1</v>
      </c>
    </row>
    <row r="12" spans="1:26" x14ac:dyDescent="0.25">
      <c r="A12" s="1" t="s">
        <v>5</v>
      </c>
    </row>
    <row r="14" spans="1:26" x14ac:dyDescent="0.25">
      <c r="A14" t="s">
        <v>6</v>
      </c>
      <c r="B14" t="s">
        <v>7</v>
      </c>
      <c r="C14" t="s">
        <v>8</v>
      </c>
      <c r="D14" t="s">
        <v>9</v>
      </c>
    </row>
    <row r="15" spans="1:26" x14ac:dyDescent="0.25">
      <c r="A15">
        <v>2008</v>
      </c>
      <c r="B15">
        <v>1.95</v>
      </c>
    </row>
    <row r="16" spans="1:26" x14ac:dyDescent="0.25">
      <c r="A16">
        <v>2009</v>
      </c>
      <c r="B16">
        <v>2.2000000000000002</v>
      </c>
    </row>
    <row r="17" spans="1:5" x14ac:dyDescent="0.25">
      <c r="A17">
        <v>2010</v>
      </c>
      <c r="B17">
        <v>2.4900000000000002</v>
      </c>
    </row>
    <row r="19" spans="1:5" x14ac:dyDescent="0.25">
      <c r="A19" s="1" t="s">
        <v>19</v>
      </c>
    </row>
    <row r="21" spans="1:5" x14ac:dyDescent="0.25">
      <c r="A21" t="s">
        <v>10</v>
      </c>
      <c r="B21" t="s">
        <v>11</v>
      </c>
      <c r="C21" t="s">
        <v>12</v>
      </c>
      <c r="D21" t="s">
        <v>13</v>
      </c>
      <c r="E21" t="s">
        <v>14</v>
      </c>
    </row>
    <row r="22" spans="1:5" x14ac:dyDescent="0.25">
      <c r="A22" t="s">
        <v>15</v>
      </c>
      <c r="B22">
        <v>183</v>
      </c>
      <c r="C22">
        <v>917</v>
      </c>
      <c r="D22">
        <v>1009</v>
      </c>
    </row>
    <row r="23" spans="1:5" x14ac:dyDescent="0.25">
      <c r="A23" t="s">
        <v>16</v>
      </c>
      <c r="B23">
        <v>474</v>
      </c>
      <c r="C23">
        <v>1328</v>
      </c>
      <c r="D23">
        <v>948</v>
      </c>
    </row>
    <row r="24" spans="1:5" x14ac:dyDescent="0.25">
      <c r="A24" t="s">
        <v>17</v>
      </c>
      <c r="B24">
        <v>2950</v>
      </c>
      <c r="C24">
        <v>5170</v>
      </c>
      <c r="D24">
        <v>2278</v>
      </c>
    </row>
    <row r="25" spans="1:5" x14ac:dyDescent="0.25">
      <c r="A25" t="s">
        <v>18</v>
      </c>
      <c r="B25">
        <v>2487</v>
      </c>
      <c r="C25">
        <v>4569</v>
      </c>
      <c r="D25">
        <v>863</v>
      </c>
    </row>
    <row r="26" spans="1:5" x14ac:dyDescent="0.25">
      <c r="A26" t="s">
        <v>14</v>
      </c>
    </row>
    <row r="28" spans="1:5" x14ac:dyDescent="0.25">
      <c r="A28" s="1" t="s">
        <v>20</v>
      </c>
    </row>
    <row r="30" spans="1:5" x14ac:dyDescent="0.25">
      <c r="A30" t="s">
        <v>10</v>
      </c>
      <c r="B30" t="s">
        <v>11</v>
      </c>
      <c r="C30" t="s">
        <v>12</v>
      </c>
      <c r="D30" t="s">
        <v>13</v>
      </c>
      <c r="E30" t="s">
        <v>14</v>
      </c>
    </row>
    <row r="31" spans="1:5" x14ac:dyDescent="0.25">
      <c r="A31" t="s">
        <v>15</v>
      </c>
      <c r="B31">
        <v>2</v>
      </c>
      <c r="C31">
        <v>10</v>
      </c>
      <c r="D31">
        <v>11</v>
      </c>
    </row>
    <row r="32" spans="1:5" x14ac:dyDescent="0.25">
      <c r="A32" t="s">
        <v>16</v>
      </c>
      <c r="B32">
        <v>10</v>
      </c>
      <c r="C32">
        <v>28</v>
      </c>
      <c r="D32">
        <v>20</v>
      </c>
    </row>
    <row r="33" spans="1:4" x14ac:dyDescent="0.25">
      <c r="A33" t="s">
        <v>17</v>
      </c>
      <c r="B33">
        <v>101</v>
      </c>
      <c r="C33">
        <v>177</v>
      </c>
      <c r="D33">
        <v>78</v>
      </c>
    </row>
    <row r="34" spans="1:4" x14ac:dyDescent="0.25">
      <c r="A34" t="s">
        <v>18</v>
      </c>
      <c r="B34">
        <v>98</v>
      </c>
      <c r="C34">
        <v>180</v>
      </c>
      <c r="D34">
        <v>34</v>
      </c>
    </row>
    <row r="35" spans="1:4" x14ac:dyDescent="0.25">
      <c r="A35" t="s">
        <v>14</v>
      </c>
    </row>
    <row r="37" spans="1:4" x14ac:dyDescent="0.25">
      <c r="A37" s="1" t="s">
        <v>21</v>
      </c>
    </row>
    <row r="39" spans="1:4" x14ac:dyDescent="0.25">
      <c r="A39" t="s">
        <v>22</v>
      </c>
      <c r="B39">
        <v>1</v>
      </c>
      <c r="C39">
        <v>2</v>
      </c>
      <c r="D39" t="s">
        <v>14</v>
      </c>
    </row>
    <row r="40" spans="1:4" x14ac:dyDescent="0.25">
      <c r="A40" t="s">
        <v>23</v>
      </c>
      <c r="B40">
        <v>5</v>
      </c>
      <c r="C40">
        <v>7</v>
      </c>
    </row>
    <row r="41" spans="1:4" x14ac:dyDescent="0.25">
      <c r="A41" t="s">
        <v>24</v>
      </c>
      <c r="B41">
        <v>7</v>
      </c>
      <c r="C41">
        <v>5</v>
      </c>
    </row>
    <row r="42" spans="1:4" x14ac:dyDescent="0.25">
      <c r="A42" t="s">
        <v>25</v>
      </c>
      <c r="B42">
        <v>6</v>
      </c>
      <c r="C42">
        <v>11</v>
      </c>
    </row>
    <row r="43" spans="1:4" x14ac:dyDescent="0.25">
      <c r="A43" t="s">
        <v>14</v>
      </c>
    </row>
    <row r="45" spans="1:4" x14ac:dyDescent="0.25">
      <c r="A45" s="1" t="s">
        <v>26</v>
      </c>
    </row>
    <row r="47" spans="1:4" x14ac:dyDescent="0.25">
      <c r="A47" t="s">
        <v>22</v>
      </c>
      <c r="B47">
        <v>1</v>
      </c>
      <c r="C47">
        <v>2</v>
      </c>
      <c r="D47" t="s">
        <v>14</v>
      </c>
    </row>
    <row r="48" spans="1:4" x14ac:dyDescent="0.25">
      <c r="A48" t="s">
        <v>23</v>
      </c>
      <c r="B48">
        <v>200</v>
      </c>
      <c r="C48">
        <v>300</v>
      </c>
    </row>
    <row r="49" spans="1:5" x14ac:dyDescent="0.25">
      <c r="A49" t="s">
        <v>24</v>
      </c>
      <c r="B49">
        <v>600</v>
      </c>
      <c r="C49">
        <v>400</v>
      </c>
    </row>
    <row r="50" spans="1:5" x14ac:dyDescent="0.25">
      <c r="A50" t="s">
        <v>25</v>
      </c>
      <c r="B50">
        <v>100</v>
      </c>
      <c r="C50">
        <v>200</v>
      </c>
    </row>
    <row r="51" spans="1:5" x14ac:dyDescent="0.25">
      <c r="A51" t="s">
        <v>14</v>
      </c>
    </row>
    <row r="53" spans="1:5" x14ac:dyDescent="0.25">
      <c r="A53" s="1" t="s">
        <v>27</v>
      </c>
    </row>
    <row r="55" spans="1:5" x14ac:dyDescent="0.25">
      <c r="A55" t="s">
        <v>6</v>
      </c>
      <c r="B55" t="s">
        <v>28</v>
      </c>
      <c r="C55" t="s">
        <v>29</v>
      </c>
      <c r="D55" t="s">
        <v>30</v>
      </c>
      <c r="E55" t="s">
        <v>31</v>
      </c>
    </row>
    <row r="56" spans="1:5" x14ac:dyDescent="0.25">
      <c r="A56">
        <v>2005</v>
      </c>
      <c r="B56">
        <v>0</v>
      </c>
      <c r="C56">
        <v>1.65</v>
      </c>
    </row>
    <row r="57" spans="1:5" x14ac:dyDescent="0.25">
      <c r="A57">
        <v>2006</v>
      </c>
      <c r="B57">
        <v>1</v>
      </c>
      <c r="C57">
        <v>1.68</v>
      </c>
    </row>
    <row r="58" spans="1:5" x14ac:dyDescent="0.25">
      <c r="A58">
        <v>2007</v>
      </c>
      <c r="C58">
        <v>1.55</v>
      </c>
    </row>
    <row r="59" spans="1:5" x14ac:dyDescent="0.25">
      <c r="A59">
        <v>2008</v>
      </c>
      <c r="C59">
        <v>1.65</v>
      </c>
    </row>
    <row r="60" spans="1:5" x14ac:dyDescent="0.25">
      <c r="A60">
        <v>2009</v>
      </c>
      <c r="C60">
        <v>2.1</v>
      </c>
    </row>
    <row r="62" spans="1:5" x14ac:dyDescent="0.25">
      <c r="A62" s="1" t="s">
        <v>35</v>
      </c>
    </row>
    <row r="64" spans="1:5" x14ac:dyDescent="0.25">
      <c r="B64">
        <v>2005</v>
      </c>
      <c r="C64">
        <v>2006</v>
      </c>
      <c r="D64">
        <v>2007</v>
      </c>
    </row>
    <row r="65" spans="1:5" x14ac:dyDescent="0.25">
      <c r="A65" t="s">
        <v>32</v>
      </c>
      <c r="B65">
        <v>1.5</v>
      </c>
      <c r="C65">
        <v>1.8</v>
      </c>
      <c r="D65">
        <v>1.9</v>
      </c>
    </row>
    <row r="66" spans="1:5" x14ac:dyDescent="0.25">
      <c r="A66" t="s">
        <v>33</v>
      </c>
      <c r="B66">
        <v>6.3</v>
      </c>
      <c r="C66">
        <v>6.5</v>
      </c>
      <c r="D66">
        <v>7</v>
      </c>
    </row>
    <row r="67" spans="1:5" x14ac:dyDescent="0.25">
      <c r="A67" t="s">
        <v>34</v>
      </c>
      <c r="B67">
        <v>3.5</v>
      </c>
      <c r="C67">
        <v>3.8</v>
      </c>
      <c r="D67">
        <v>4.2</v>
      </c>
    </row>
    <row r="69" spans="1:5" x14ac:dyDescent="0.25">
      <c r="A69" s="1" t="s">
        <v>36</v>
      </c>
    </row>
    <row r="71" spans="1:5" x14ac:dyDescent="0.25">
      <c r="B71">
        <v>2005</v>
      </c>
      <c r="C71">
        <v>2006</v>
      </c>
      <c r="D71">
        <v>2007</v>
      </c>
    </row>
    <row r="72" spans="1:5" x14ac:dyDescent="0.25">
      <c r="A72" t="s">
        <v>32</v>
      </c>
      <c r="B72">
        <v>11</v>
      </c>
      <c r="C72">
        <v>7.5</v>
      </c>
      <c r="D72">
        <v>4</v>
      </c>
    </row>
    <row r="73" spans="1:5" x14ac:dyDescent="0.25">
      <c r="A73" t="s">
        <v>33</v>
      </c>
      <c r="B73">
        <v>10</v>
      </c>
      <c r="C73">
        <v>8</v>
      </c>
      <c r="D73">
        <v>6</v>
      </c>
    </row>
    <row r="74" spans="1:5" x14ac:dyDescent="0.25">
      <c r="A74" t="s">
        <v>34</v>
      </c>
      <c r="B74">
        <v>12</v>
      </c>
      <c r="C74">
        <v>10</v>
      </c>
      <c r="D74">
        <v>6.5</v>
      </c>
    </row>
    <row r="76" spans="1:5" x14ac:dyDescent="0.25">
      <c r="A76" s="1" t="s">
        <v>37</v>
      </c>
    </row>
    <row r="78" spans="1:5" x14ac:dyDescent="0.25">
      <c r="A78" t="s">
        <v>38</v>
      </c>
      <c r="B78" t="s">
        <v>39</v>
      </c>
      <c r="C78" t="s">
        <v>40</v>
      </c>
      <c r="D78" t="s">
        <v>41</v>
      </c>
      <c r="E78" t="s">
        <v>42</v>
      </c>
    </row>
    <row r="79" spans="1:5" x14ac:dyDescent="0.25">
      <c r="A79">
        <v>2009</v>
      </c>
      <c r="B79" t="s">
        <v>43</v>
      </c>
      <c r="C79">
        <v>102.3</v>
      </c>
      <c r="D79">
        <v>99.4</v>
      </c>
      <c r="E79">
        <v>121.7</v>
      </c>
    </row>
    <row r="80" spans="1:5" x14ac:dyDescent="0.25">
      <c r="A80">
        <v>2009</v>
      </c>
      <c r="B80" t="s">
        <v>44</v>
      </c>
      <c r="C80">
        <v>105.1</v>
      </c>
      <c r="D80">
        <v>101.5</v>
      </c>
      <c r="E80">
        <v>129.4</v>
      </c>
    </row>
    <row r="81" spans="1:5" x14ac:dyDescent="0.25">
      <c r="A81">
        <v>2009</v>
      </c>
      <c r="B81" t="s">
        <v>45</v>
      </c>
      <c r="C81">
        <v>121.7</v>
      </c>
      <c r="D81">
        <v>118.4</v>
      </c>
      <c r="E81">
        <v>143.69999999999999</v>
      </c>
    </row>
    <row r="82" spans="1:5" x14ac:dyDescent="0.25">
      <c r="A82">
        <v>2009</v>
      </c>
      <c r="B82" t="s">
        <v>46</v>
      </c>
      <c r="C82">
        <v>115.9</v>
      </c>
      <c r="D82">
        <v>112.4</v>
      </c>
      <c r="E82">
        <v>139.6</v>
      </c>
    </row>
    <row r="83" spans="1:5" x14ac:dyDescent="0.25">
      <c r="A83">
        <v>2009</v>
      </c>
      <c r="B83" t="s">
        <v>47</v>
      </c>
      <c r="C83">
        <v>115.3</v>
      </c>
      <c r="D83">
        <v>111.2</v>
      </c>
      <c r="E83">
        <v>142.6</v>
      </c>
    </row>
    <row r="84" spans="1:5" x14ac:dyDescent="0.25">
      <c r="A84">
        <v>2009</v>
      </c>
      <c r="B84" t="s">
        <v>48</v>
      </c>
      <c r="C84">
        <v>123.6</v>
      </c>
      <c r="D84">
        <v>119.9</v>
      </c>
      <c r="E84">
        <v>148.30000000000001</v>
      </c>
    </row>
    <row r="85" spans="1:5" x14ac:dyDescent="0.25">
      <c r="A85">
        <v>2009</v>
      </c>
      <c r="B85" t="s">
        <v>49</v>
      </c>
      <c r="C85">
        <v>121.9</v>
      </c>
      <c r="D85">
        <v>118.3</v>
      </c>
      <c r="E85">
        <v>146</v>
      </c>
    </row>
    <row r="86" spans="1:5" x14ac:dyDescent="0.25">
      <c r="A86">
        <v>2009</v>
      </c>
      <c r="B86" t="s">
        <v>50</v>
      </c>
      <c r="C86">
        <v>102.4</v>
      </c>
      <c r="D86">
        <v>98.9</v>
      </c>
      <c r="E86">
        <v>126</v>
      </c>
    </row>
    <row r="87" spans="1:5" x14ac:dyDescent="0.25">
      <c r="A87">
        <v>2009</v>
      </c>
      <c r="B87" t="s">
        <v>51</v>
      </c>
      <c r="C87">
        <v>125.2</v>
      </c>
      <c r="D87">
        <v>119.5</v>
      </c>
      <c r="E87">
        <v>163.19999999999999</v>
      </c>
    </row>
    <row r="88" spans="1:5" x14ac:dyDescent="0.25">
      <c r="A88">
        <v>2009</v>
      </c>
      <c r="B88" t="s">
        <v>52</v>
      </c>
      <c r="C88">
        <v>124.9</v>
      </c>
      <c r="D88">
        <v>118.7</v>
      </c>
      <c r="E88">
        <v>166.3</v>
      </c>
    </row>
    <row r="89" spans="1:5" x14ac:dyDescent="0.25">
      <c r="A89">
        <v>2009</v>
      </c>
      <c r="B89" t="s">
        <v>53</v>
      </c>
      <c r="C89">
        <v>120.7</v>
      </c>
      <c r="D89">
        <v>116.3</v>
      </c>
      <c r="E89">
        <v>150.30000000000001</v>
      </c>
    </row>
    <row r="90" spans="1:5" x14ac:dyDescent="0.25">
      <c r="A90">
        <v>2009</v>
      </c>
      <c r="B90" t="s">
        <v>54</v>
      </c>
      <c r="C90">
        <v>126.4</v>
      </c>
      <c r="D90">
        <v>124.3</v>
      </c>
      <c r="E90">
        <v>140.5</v>
      </c>
    </row>
    <row r="91" spans="1:5" x14ac:dyDescent="0.25">
      <c r="A91">
        <v>2010</v>
      </c>
      <c r="B91" t="s">
        <v>43</v>
      </c>
      <c r="C91">
        <v>97.6</v>
      </c>
      <c r="D91">
        <v>94.2</v>
      </c>
      <c r="E91">
        <v>120.4</v>
      </c>
    </row>
    <row r="92" spans="1:5" x14ac:dyDescent="0.25">
      <c r="A92">
        <v>2010</v>
      </c>
      <c r="B92" t="s">
        <v>44</v>
      </c>
      <c r="C92">
        <v>106</v>
      </c>
      <c r="D92">
        <v>101.6</v>
      </c>
      <c r="E92">
        <v>135.80000000000001</v>
      </c>
    </row>
    <row r="93" spans="1:5" x14ac:dyDescent="0.25">
      <c r="A93">
        <v>2010</v>
      </c>
      <c r="B93" t="s">
        <v>45</v>
      </c>
      <c r="C93">
        <v>128.80000000000001</v>
      </c>
      <c r="D93">
        <v>124.5</v>
      </c>
      <c r="E93">
        <v>157.6</v>
      </c>
    </row>
    <row r="94" spans="1:5" x14ac:dyDescent="0.25">
      <c r="A94">
        <v>2010</v>
      </c>
      <c r="B94" t="s">
        <v>46</v>
      </c>
      <c r="C94">
        <v>113.6</v>
      </c>
      <c r="D94">
        <v>109.2</v>
      </c>
      <c r="E94">
        <v>143.30000000000001</v>
      </c>
    </row>
    <row r="96" spans="1:5" x14ac:dyDescent="0.25">
      <c r="A96" s="1" t="s">
        <v>64</v>
      </c>
    </row>
    <row r="98" spans="1:5" x14ac:dyDescent="0.25">
      <c r="A98" t="s">
        <v>55</v>
      </c>
      <c r="B98">
        <v>2007</v>
      </c>
      <c r="C98">
        <v>2008</v>
      </c>
      <c r="D98">
        <v>2009</v>
      </c>
      <c r="E98">
        <v>2010</v>
      </c>
    </row>
    <row r="99" spans="1:5" x14ac:dyDescent="0.25">
      <c r="A99" t="s">
        <v>56</v>
      </c>
      <c r="B99">
        <v>7303</v>
      </c>
      <c r="C99">
        <v>7182</v>
      </c>
      <c r="D99">
        <v>6972</v>
      </c>
      <c r="E99">
        <v>6810</v>
      </c>
    </row>
    <row r="100" spans="1:5" x14ac:dyDescent="0.25">
      <c r="A100" t="s">
        <v>58</v>
      </c>
      <c r="B100">
        <v>5495</v>
      </c>
      <c r="C100">
        <v>5524</v>
      </c>
      <c r="D100">
        <v>5011</v>
      </c>
      <c r="E100">
        <v>4952</v>
      </c>
    </row>
    <row r="101" spans="1:5" x14ac:dyDescent="0.25">
      <c r="A101" t="s">
        <v>57</v>
      </c>
      <c r="B101">
        <v>5718</v>
      </c>
      <c r="C101">
        <v>5819</v>
      </c>
      <c r="D101">
        <v>5896</v>
      </c>
      <c r="E101">
        <v>5912</v>
      </c>
    </row>
    <row r="102" spans="1:5" x14ac:dyDescent="0.25">
      <c r="A102" t="s">
        <v>59</v>
      </c>
      <c r="B102">
        <v>7653</v>
      </c>
      <c r="C102">
        <v>7770</v>
      </c>
      <c r="D102">
        <v>7845</v>
      </c>
      <c r="E102">
        <v>7958</v>
      </c>
    </row>
    <row r="103" spans="1:5" x14ac:dyDescent="0.25">
      <c r="A103" t="s">
        <v>60</v>
      </c>
      <c r="B103">
        <v>1512</v>
      </c>
      <c r="C103">
        <v>1569</v>
      </c>
      <c r="D103">
        <v>1826</v>
      </c>
      <c r="E103">
        <v>1877</v>
      </c>
    </row>
    <row r="104" spans="1:5" x14ac:dyDescent="0.25">
      <c r="A104" t="s">
        <v>61</v>
      </c>
      <c r="B104">
        <v>711</v>
      </c>
      <c r="C104">
        <v>715</v>
      </c>
      <c r="D104">
        <v>707</v>
      </c>
      <c r="E104">
        <v>703</v>
      </c>
    </row>
    <row r="105" spans="1:5" x14ac:dyDescent="0.25">
      <c r="A105" t="s">
        <v>62</v>
      </c>
      <c r="B105">
        <v>5785</v>
      </c>
      <c r="C105">
        <v>5944</v>
      </c>
      <c r="D105">
        <v>6106</v>
      </c>
      <c r="E105">
        <v>6253</v>
      </c>
    </row>
    <row r="106" spans="1:5" x14ac:dyDescent="0.25">
      <c r="A106" t="s">
        <v>63</v>
      </c>
      <c r="B106">
        <v>96</v>
      </c>
      <c r="C106">
        <v>110</v>
      </c>
      <c r="D106">
        <v>138</v>
      </c>
      <c r="E106">
        <v>127</v>
      </c>
    </row>
    <row r="107" spans="1:5" x14ac:dyDescent="0.25">
      <c r="A107" t="s">
        <v>14</v>
      </c>
    </row>
    <row r="109" spans="1:5" x14ac:dyDescent="0.25">
      <c r="A109" s="1" t="s">
        <v>65</v>
      </c>
    </row>
    <row r="111" spans="1:5" x14ac:dyDescent="0.25">
      <c r="A111" t="s">
        <v>55</v>
      </c>
      <c r="B111">
        <v>2007</v>
      </c>
      <c r="C111">
        <v>2008</v>
      </c>
      <c r="D111">
        <v>2009</v>
      </c>
      <c r="E111">
        <v>2010</v>
      </c>
    </row>
    <row r="112" spans="1:5" x14ac:dyDescent="0.25">
      <c r="A112" t="s">
        <v>56</v>
      </c>
      <c r="B112">
        <v>46513</v>
      </c>
      <c r="C112">
        <v>45801</v>
      </c>
      <c r="D112">
        <v>43713</v>
      </c>
      <c r="E112">
        <v>42974</v>
      </c>
    </row>
    <row r="113" spans="1:6" x14ac:dyDescent="0.25">
      <c r="A113" t="s">
        <v>58</v>
      </c>
      <c r="B113">
        <v>54112</v>
      </c>
      <c r="C113">
        <v>55244</v>
      </c>
      <c r="D113">
        <v>50332</v>
      </c>
      <c r="E113">
        <v>49871</v>
      </c>
    </row>
    <row r="114" spans="1:6" x14ac:dyDescent="0.25">
      <c r="A114" t="s">
        <v>57</v>
      </c>
      <c r="B114">
        <v>62253</v>
      </c>
      <c r="C114">
        <v>63962</v>
      </c>
      <c r="D114">
        <v>65070</v>
      </c>
      <c r="E114">
        <v>65044</v>
      </c>
    </row>
    <row r="115" spans="1:6" x14ac:dyDescent="0.25">
      <c r="A115" t="s">
        <v>59</v>
      </c>
      <c r="B115">
        <v>91394</v>
      </c>
      <c r="C115">
        <v>92275</v>
      </c>
      <c r="D115">
        <v>92470</v>
      </c>
      <c r="E115">
        <v>93169</v>
      </c>
    </row>
    <row r="116" spans="1:6" x14ac:dyDescent="0.25">
      <c r="A116" t="s">
        <v>60</v>
      </c>
      <c r="B116">
        <v>20033</v>
      </c>
      <c r="C116">
        <v>20822</v>
      </c>
      <c r="D116">
        <v>23993</v>
      </c>
      <c r="E116">
        <v>24681</v>
      </c>
    </row>
    <row r="117" spans="1:6" x14ac:dyDescent="0.25">
      <c r="A117" t="s">
        <v>61</v>
      </c>
      <c r="B117">
        <v>7286</v>
      </c>
      <c r="C117">
        <v>7354</v>
      </c>
      <c r="D117">
        <v>7323</v>
      </c>
      <c r="E117">
        <v>7364</v>
      </c>
    </row>
    <row r="118" spans="1:6" x14ac:dyDescent="0.25">
      <c r="A118" t="s">
        <v>62</v>
      </c>
      <c r="B118">
        <v>76604</v>
      </c>
      <c r="C118">
        <v>78728</v>
      </c>
      <c r="D118">
        <v>80388</v>
      </c>
      <c r="E118">
        <v>81854</v>
      </c>
    </row>
    <row r="119" spans="1:6" x14ac:dyDescent="0.25">
      <c r="A119" t="s">
        <v>63</v>
      </c>
      <c r="B119">
        <v>1797</v>
      </c>
      <c r="C119">
        <v>1797</v>
      </c>
      <c r="D119">
        <v>2084</v>
      </c>
      <c r="E119">
        <v>1601</v>
      </c>
    </row>
    <row r="120" spans="1:6" x14ac:dyDescent="0.25">
      <c r="A120" t="s">
        <v>14</v>
      </c>
    </row>
    <row r="122" spans="1:6" x14ac:dyDescent="0.25">
      <c r="A122" s="1" t="s">
        <v>66</v>
      </c>
    </row>
    <row r="124" spans="1:6" x14ac:dyDescent="0.25">
      <c r="B124">
        <v>1</v>
      </c>
      <c r="C124">
        <v>2</v>
      </c>
      <c r="D124">
        <v>3</v>
      </c>
      <c r="E124">
        <v>4</v>
      </c>
      <c r="F124" t="s">
        <v>67</v>
      </c>
    </row>
    <row r="125" spans="1:6" x14ac:dyDescent="0.25">
      <c r="A125">
        <v>1</v>
      </c>
      <c r="B125">
        <v>400</v>
      </c>
      <c r="C125">
        <v>50</v>
      </c>
      <c r="D125">
        <v>50</v>
      </c>
      <c r="E125">
        <v>0</v>
      </c>
    </row>
    <row r="126" spans="1:6" x14ac:dyDescent="0.25">
      <c r="A126">
        <v>2</v>
      </c>
      <c r="B126">
        <v>0</v>
      </c>
      <c r="C126">
        <v>270</v>
      </c>
      <c r="D126">
        <v>30</v>
      </c>
      <c r="E126">
        <v>0</v>
      </c>
    </row>
    <row r="127" spans="1:6" x14ac:dyDescent="0.25">
      <c r="A127">
        <v>3</v>
      </c>
      <c r="B127">
        <v>0</v>
      </c>
      <c r="C127">
        <v>0</v>
      </c>
      <c r="D127">
        <v>70</v>
      </c>
      <c r="E127">
        <v>30</v>
      </c>
    </row>
    <row r="128" spans="1:6" x14ac:dyDescent="0.25">
      <c r="A128">
        <v>4</v>
      </c>
      <c r="B128">
        <v>0</v>
      </c>
      <c r="C128">
        <v>0</v>
      </c>
      <c r="D128">
        <v>0</v>
      </c>
      <c r="E128">
        <v>25</v>
      </c>
    </row>
    <row r="129" spans="1:5" x14ac:dyDescent="0.25">
      <c r="A129" t="s">
        <v>68</v>
      </c>
    </row>
    <row r="131" spans="1:5" x14ac:dyDescent="0.25">
      <c r="A131" s="1" t="s">
        <v>69</v>
      </c>
    </row>
    <row r="133" spans="1:5" x14ac:dyDescent="0.25">
      <c r="A133" t="s">
        <v>6</v>
      </c>
      <c r="B133" t="s">
        <v>70</v>
      </c>
      <c r="C133" t="s">
        <v>71</v>
      </c>
      <c r="D133" t="s">
        <v>72</v>
      </c>
      <c r="E133" t="s">
        <v>73</v>
      </c>
    </row>
    <row r="134" spans="1:5" x14ac:dyDescent="0.25">
      <c r="A134">
        <v>2001</v>
      </c>
      <c r="B134">
        <v>8</v>
      </c>
      <c r="C134">
        <v>15</v>
      </c>
      <c r="D134">
        <v>253</v>
      </c>
    </row>
    <row r="135" spans="1:5" x14ac:dyDescent="0.25">
      <c r="A135">
        <v>2002</v>
      </c>
      <c r="B135">
        <v>12</v>
      </c>
      <c r="C135">
        <v>10</v>
      </c>
    </row>
    <row r="136" spans="1:5" x14ac:dyDescent="0.25">
      <c r="A136">
        <v>2003</v>
      </c>
      <c r="B136">
        <v>10</v>
      </c>
      <c r="C136">
        <v>15</v>
      </c>
    </row>
    <row r="137" spans="1:5" x14ac:dyDescent="0.25">
      <c r="A137">
        <v>2004</v>
      </c>
      <c r="B137">
        <v>11</v>
      </c>
      <c r="C137">
        <v>10</v>
      </c>
    </row>
    <row r="138" spans="1:5" x14ac:dyDescent="0.25">
      <c r="A138">
        <v>2005</v>
      </c>
      <c r="B138">
        <v>15</v>
      </c>
      <c r="C138">
        <v>10</v>
      </c>
    </row>
    <row r="139" spans="1:5" x14ac:dyDescent="0.25">
      <c r="A139">
        <v>2006</v>
      </c>
      <c r="B139">
        <v>15</v>
      </c>
      <c r="C139">
        <v>11</v>
      </c>
    </row>
    <row r="140" spans="1:5" x14ac:dyDescent="0.25">
      <c r="A140">
        <v>2007</v>
      </c>
      <c r="B140">
        <v>9</v>
      </c>
      <c r="C140">
        <v>9</v>
      </c>
    </row>
    <row r="141" spans="1:5" x14ac:dyDescent="0.25">
      <c r="A141">
        <v>2008</v>
      </c>
      <c r="B141">
        <v>9</v>
      </c>
      <c r="C141">
        <v>10</v>
      </c>
    </row>
    <row r="142" spans="1:5" x14ac:dyDescent="0.25">
      <c r="A142">
        <v>2009</v>
      </c>
      <c r="B142">
        <v>7</v>
      </c>
      <c r="C142">
        <v>8</v>
      </c>
    </row>
    <row r="143" spans="1:5" x14ac:dyDescent="0.25">
      <c r="A143">
        <v>2010</v>
      </c>
      <c r="B143">
        <v>6</v>
      </c>
      <c r="C143">
        <v>10</v>
      </c>
    </row>
    <row r="145" spans="1:6" x14ac:dyDescent="0.25">
      <c r="A145" s="1" t="s">
        <v>74</v>
      </c>
    </row>
    <row r="147" spans="1:6" x14ac:dyDescent="0.25">
      <c r="B147">
        <v>2005</v>
      </c>
      <c r="C147">
        <v>2006</v>
      </c>
      <c r="D147">
        <v>2007</v>
      </c>
      <c r="E147">
        <v>2008</v>
      </c>
      <c r="F147">
        <v>2009</v>
      </c>
    </row>
    <row r="148" spans="1:6" x14ac:dyDescent="0.25">
      <c r="A148" t="s">
        <v>75</v>
      </c>
      <c r="B148">
        <v>25</v>
      </c>
      <c r="C148">
        <v>26.08</v>
      </c>
      <c r="D148">
        <v>27.97</v>
      </c>
      <c r="E148">
        <v>30.3</v>
      </c>
      <c r="F148">
        <v>31.02</v>
      </c>
    </row>
    <row r="149" spans="1:6" x14ac:dyDescent="0.25">
      <c r="A149" t="s">
        <v>76</v>
      </c>
      <c r="B149">
        <v>100</v>
      </c>
      <c r="C149">
        <v>102.6</v>
      </c>
      <c r="D149">
        <v>107.3</v>
      </c>
      <c r="E149">
        <v>115</v>
      </c>
      <c r="F149">
        <v>116.6</v>
      </c>
    </row>
    <row r="150" spans="1:6" x14ac:dyDescent="0.25">
      <c r="A150" t="s">
        <v>77</v>
      </c>
    </row>
    <row r="151" spans="1:6" x14ac:dyDescent="0.25">
      <c r="A151" t="s">
        <v>78</v>
      </c>
    </row>
    <row r="152" spans="1:6" x14ac:dyDescent="0.25">
      <c r="A152" t="s">
        <v>79</v>
      </c>
    </row>
    <row r="154" spans="1:6" x14ac:dyDescent="0.25">
      <c r="A154" s="1" t="s">
        <v>80</v>
      </c>
    </row>
    <row r="156" spans="1:6" x14ac:dyDescent="0.25">
      <c r="A156" t="s">
        <v>81</v>
      </c>
      <c r="B156" t="s">
        <v>82</v>
      </c>
      <c r="C156" t="s">
        <v>83</v>
      </c>
    </row>
    <row r="157" spans="1:6" x14ac:dyDescent="0.25">
      <c r="A157" t="s">
        <v>85</v>
      </c>
      <c r="B157">
        <v>3557.7</v>
      </c>
      <c r="C157">
        <v>29.61</v>
      </c>
    </row>
    <row r="158" spans="1:6" x14ac:dyDescent="0.25">
      <c r="A158" t="s">
        <v>86</v>
      </c>
      <c r="B158">
        <v>3296.4</v>
      </c>
      <c r="C158">
        <v>27.83</v>
      </c>
    </row>
    <row r="159" spans="1:6" x14ac:dyDescent="0.25">
      <c r="A159" t="s">
        <v>87</v>
      </c>
      <c r="B159">
        <v>3437.1</v>
      </c>
      <c r="C159">
        <v>28.39</v>
      </c>
    </row>
    <row r="160" spans="1:6" x14ac:dyDescent="0.25">
      <c r="A160" t="s">
        <v>88</v>
      </c>
      <c r="B160">
        <v>3336.6</v>
      </c>
      <c r="C160">
        <v>29.17</v>
      </c>
    </row>
    <row r="161" spans="1:3" x14ac:dyDescent="0.25">
      <c r="A161" t="s">
        <v>84</v>
      </c>
      <c r="B161">
        <v>3618</v>
      </c>
      <c r="C161">
        <v>30.17</v>
      </c>
    </row>
    <row r="162" spans="1:3" x14ac:dyDescent="0.25">
      <c r="A162" t="s">
        <v>89</v>
      </c>
      <c r="B162">
        <v>3376.8</v>
      </c>
      <c r="C162">
        <v>30.28</v>
      </c>
    </row>
    <row r="163" spans="1:3" x14ac:dyDescent="0.25">
      <c r="A163" t="s">
        <v>90</v>
      </c>
      <c r="B163">
        <v>3195.9</v>
      </c>
      <c r="C163">
        <v>28.06</v>
      </c>
    </row>
    <row r="164" spans="1:3" x14ac:dyDescent="0.25">
      <c r="A164" t="s">
        <v>91</v>
      </c>
      <c r="B164">
        <v>4060.2</v>
      </c>
      <c r="C164">
        <v>33.28</v>
      </c>
    </row>
    <row r="165" spans="1:3" x14ac:dyDescent="0.25">
      <c r="A165" t="s">
        <v>92</v>
      </c>
      <c r="B165">
        <v>3859.2</v>
      </c>
      <c r="C165">
        <v>29.28</v>
      </c>
    </row>
    <row r="166" spans="1:3" x14ac:dyDescent="0.25">
      <c r="A166" t="s">
        <v>93</v>
      </c>
      <c r="B166">
        <v>3658.2</v>
      </c>
      <c r="C166">
        <v>29.51</v>
      </c>
    </row>
    <row r="167" spans="1:3" x14ac:dyDescent="0.25">
      <c r="A167" t="s">
        <v>94</v>
      </c>
      <c r="B167">
        <v>3678.3</v>
      </c>
      <c r="C167">
        <v>31.28</v>
      </c>
    </row>
    <row r="168" spans="1:3" x14ac:dyDescent="0.25">
      <c r="A168" t="s">
        <v>95</v>
      </c>
      <c r="B168">
        <v>3825</v>
      </c>
      <c r="C168">
        <v>31.06</v>
      </c>
    </row>
    <row r="169" spans="1:3" x14ac:dyDescent="0.25">
      <c r="A169" t="s">
        <v>96</v>
      </c>
      <c r="B169">
        <v>3396.9</v>
      </c>
      <c r="C169">
        <v>29.83</v>
      </c>
    </row>
    <row r="170" spans="1:3" x14ac:dyDescent="0.25">
      <c r="A170" t="s">
        <v>97</v>
      </c>
      <c r="B170">
        <v>3497.4</v>
      </c>
      <c r="C170">
        <v>28.39</v>
      </c>
    </row>
    <row r="171" spans="1:3" x14ac:dyDescent="0.25">
      <c r="A171" t="s">
        <v>98</v>
      </c>
      <c r="B171">
        <v>3296.4</v>
      </c>
      <c r="C171">
        <v>28.17</v>
      </c>
    </row>
    <row r="172" spans="1:3" x14ac:dyDescent="0.25">
      <c r="A172" t="s">
        <v>99</v>
      </c>
      <c r="B172">
        <v>3638.1</v>
      </c>
      <c r="C172">
        <v>29.28</v>
      </c>
    </row>
    <row r="173" spans="1:3" x14ac:dyDescent="0.25">
      <c r="A173" t="s">
        <v>100</v>
      </c>
      <c r="B173">
        <v>3879.3</v>
      </c>
      <c r="C173">
        <v>31.06</v>
      </c>
    </row>
    <row r="174" spans="1:3" x14ac:dyDescent="0.25">
      <c r="A174" t="s">
        <v>101</v>
      </c>
      <c r="B174">
        <v>4502.3999999999996</v>
      </c>
      <c r="C174">
        <v>35.270000000000003</v>
      </c>
    </row>
    <row r="175" spans="1:3" x14ac:dyDescent="0.25">
      <c r="A175" t="s">
        <v>102</v>
      </c>
      <c r="B175">
        <v>3396.9</v>
      </c>
      <c r="C175">
        <v>27.28</v>
      </c>
    </row>
    <row r="176" spans="1:3" x14ac:dyDescent="0.25">
      <c r="A176" t="s">
        <v>103</v>
      </c>
      <c r="B176">
        <v>3457.2</v>
      </c>
      <c r="C176">
        <v>28.72</v>
      </c>
    </row>
    <row r="177" spans="1:12" x14ac:dyDescent="0.25">
      <c r="A177" t="s">
        <v>104</v>
      </c>
      <c r="B177">
        <v>3206</v>
      </c>
      <c r="C177">
        <v>27.56</v>
      </c>
    </row>
    <row r="178" spans="1:12" x14ac:dyDescent="0.25">
      <c r="A178" t="s">
        <v>105</v>
      </c>
      <c r="B178">
        <v>3356.7</v>
      </c>
      <c r="C178">
        <v>28.94</v>
      </c>
    </row>
    <row r="180" spans="1:12" x14ac:dyDescent="0.25">
      <c r="A180" s="1" t="s">
        <v>80</v>
      </c>
    </row>
    <row r="182" spans="1:12" x14ac:dyDescent="0.25">
      <c r="A182" t="s">
        <v>81</v>
      </c>
      <c r="B182" t="s">
        <v>82</v>
      </c>
      <c r="C182" t="s">
        <v>106</v>
      </c>
      <c r="D182" t="s">
        <v>107</v>
      </c>
      <c r="E182" t="s">
        <v>108</v>
      </c>
      <c r="F182" t="s">
        <v>109</v>
      </c>
      <c r="G182" t="s">
        <v>110</v>
      </c>
      <c r="H182" t="s">
        <v>111</v>
      </c>
      <c r="I182" t="s">
        <v>112</v>
      </c>
      <c r="J182" s="2" t="s">
        <v>113</v>
      </c>
      <c r="K182" s="2" t="s">
        <v>114</v>
      </c>
      <c r="L182" s="2" t="s">
        <v>14</v>
      </c>
    </row>
    <row r="183" spans="1:12" x14ac:dyDescent="0.25">
      <c r="A183" t="s">
        <v>85</v>
      </c>
      <c r="B183">
        <f>B157/100</f>
        <v>35.576999999999998</v>
      </c>
      <c r="C183">
        <v>9.85</v>
      </c>
      <c r="D183">
        <v>2.34</v>
      </c>
      <c r="E183">
        <v>1.4</v>
      </c>
      <c r="F183">
        <v>0.85</v>
      </c>
      <c r="G183">
        <v>11.78</v>
      </c>
      <c r="H183">
        <v>1.66</v>
      </c>
      <c r="I183">
        <v>1.73</v>
      </c>
      <c r="J183" s="2">
        <f>SUM(C183:E183)</f>
        <v>13.59</v>
      </c>
      <c r="K183" s="2">
        <f>SUM(F183:I183)</f>
        <v>16.02</v>
      </c>
      <c r="L183" s="2">
        <f>K183+J183</f>
        <v>29.61</v>
      </c>
    </row>
    <row r="184" spans="1:12" x14ac:dyDescent="0.25">
      <c r="A184" t="s">
        <v>86</v>
      </c>
      <c r="B184">
        <f t="shared" ref="B184:B204" si="0">B158/100</f>
        <v>32.963999999999999</v>
      </c>
      <c r="C184">
        <v>7.11</v>
      </c>
      <c r="D184">
        <v>2.2000000000000002</v>
      </c>
      <c r="E184">
        <v>1.4</v>
      </c>
      <c r="F184">
        <v>0.89</v>
      </c>
      <c r="G184">
        <v>13.44</v>
      </c>
      <c r="H184">
        <v>1.66</v>
      </c>
      <c r="I184">
        <v>1.1299999999999999</v>
      </c>
      <c r="J184" s="2">
        <f t="shared" ref="J184:J204" si="1">SUM(C184:E184)</f>
        <v>10.71</v>
      </c>
      <c r="K184" s="2">
        <f t="shared" ref="K184:K204" si="2">SUM(F184:I184)</f>
        <v>17.12</v>
      </c>
      <c r="L184" s="2">
        <f t="shared" ref="L184:L204" si="3">K184+J184</f>
        <v>27.830000000000002</v>
      </c>
    </row>
    <row r="185" spans="1:12" x14ac:dyDescent="0.25">
      <c r="A185" t="s">
        <v>87</v>
      </c>
      <c r="B185">
        <f t="shared" si="0"/>
        <v>34.371000000000002</v>
      </c>
      <c r="C185">
        <v>7.7</v>
      </c>
      <c r="D185">
        <v>2.4</v>
      </c>
      <c r="E185">
        <v>1.4</v>
      </c>
      <c r="F185">
        <v>0.94</v>
      </c>
      <c r="G185">
        <v>12.43</v>
      </c>
      <c r="H185">
        <v>1.66</v>
      </c>
      <c r="I185">
        <v>1.86</v>
      </c>
      <c r="J185" s="2">
        <f t="shared" si="1"/>
        <v>11.5</v>
      </c>
      <c r="K185" s="2">
        <f t="shared" si="2"/>
        <v>16.89</v>
      </c>
      <c r="L185" s="2">
        <f t="shared" si="3"/>
        <v>28.39</v>
      </c>
    </row>
    <row r="186" spans="1:12" x14ac:dyDescent="0.25">
      <c r="A186" t="s">
        <v>88</v>
      </c>
      <c r="B186">
        <f t="shared" si="0"/>
        <v>33.366</v>
      </c>
      <c r="C186">
        <v>9.66</v>
      </c>
      <c r="D186">
        <v>1.88</v>
      </c>
      <c r="E186">
        <v>1.4</v>
      </c>
      <c r="F186">
        <v>0.83</v>
      </c>
      <c r="G186">
        <v>11.72</v>
      </c>
      <c r="H186">
        <v>1.66</v>
      </c>
      <c r="I186">
        <v>2.02</v>
      </c>
      <c r="J186" s="2">
        <f t="shared" si="1"/>
        <v>12.94</v>
      </c>
      <c r="K186" s="2">
        <f t="shared" si="2"/>
        <v>16.23</v>
      </c>
      <c r="L186" s="2">
        <f t="shared" si="3"/>
        <v>29.17</v>
      </c>
    </row>
    <row r="187" spans="1:12" x14ac:dyDescent="0.25">
      <c r="A187" t="s">
        <v>84</v>
      </c>
      <c r="B187">
        <f t="shared" si="0"/>
        <v>36.18</v>
      </c>
      <c r="C187">
        <v>6.61</v>
      </c>
      <c r="D187">
        <v>2.64</v>
      </c>
      <c r="E187">
        <v>1.4</v>
      </c>
      <c r="F187">
        <v>0.72</v>
      </c>
      <c r="G187">
        <v>9.4600000000000009</v>
      </c>
      <c r="H187">
        <v>1.66</v>
      </c>
      <c r="I187">
        <v>7.68</v>
      </c>
      <c r="J187" s="2">
        <f t="shared" si="1"/>
        <v>10.65</v>
      </c>
      <c r="K187" s="2">
        <f t="shared" si="2"/>
        <v>19.520000000000003</v>
      </c>
      <c r="L187" s="2">
        <f t="shared" si="3"/>
        <v>30.17</v>
      </c>
    </row>
    <row r="188" spans="1:12" x14ac:dyDescent="0.25">
      <c r="A188" t="s">
        <v>89</v>
      </c>
      <c r="B188">
        <f t="shared" si="0"/>
        <v>33.768000000000001</v>
      </c>
      <c r="C188">
        <v>3.87</v>
      </c>
      <c r="D188">
        <v>1.54</v>
      </c>
      <c r="E188">
        <v>1.4</v>
      </c>
      <c r="F188">
        <v>0.64</v>
      </c>
      <c r="G188">
        <v>8.06</v>
      </c>
      <c r="H188">
        <v>1.66</v>
      </c>
      <c r="I188">
        <v>13.11</v>
      </c>
      <c r="J188" s="2">
        <f t="shared" si="1"/>
        <v>6.8100000000000005</v>
      </c>
      <c r="K188" s="2">
        <f t="shared" si="2"/>
        <v>23.47</v>
      </c>
      <c r="L188" s="2">
        <f t="shared" si="3"/>
        <v>30.28</v>
      </c>
    </row>
    <row r="189" spans="1:12" x14ac:dyDescent="0.25">
      <c r="A189" t="s">
        <v>90</v>
      </c>
      <c r="B189">
        <f t="shared" si="0"/>
        <v>31.959</v>
      </c>
      <c r="C189">
        <v>4.87</v>
      </c>
      <c r="D189">
        <v>1.94</v>
      </c>
      <c r="E189">
        <v>1.4</v>
      </c>
      <c r="F189">
        <v>0.67</v>
      </c>
      <c r="G189">
        <v>8.7200000000000006</v>
      </c>
      <c r="H189">
        <v>1.66</v>
      </c>
      <c r="I189">
        <v>8.8000000000000007</v>
      </c>
      <c r="J189" s="2">
        <f t="shared" si="1"/>
        <v>8.2100000000000009</v>
      </c>
      <c r="K189" s="2">
        <f t="shared" si="2"/>
        <v>19.850000000000001</v>
      </c>
      <c r="L189" s="2">
        <f t="shared" si="3"/>
        <v>28.060000000000002</v>
      </c>
    </row>
    <row r="190" spans="1:12" x14ac:dyDescent="0.25">
      <c r="A190" t="s">
        <v>91</v>
      </c>
      <c r="B190">
        <f t="shared" si="0"/>
        <v>40.601999999999997</v>
      </c>
      <c r="C190">
        <v>5.31</v>
      </c>
      <c r="D190">
        <v>2.12</v>
      </c>
      <c r="E190">
        <v>1.4</v>
      </c>
      <c r="F190">
        <v>0.65</v>
      </c>
      <c r="G190">
        <v>8.92</v>
      </c>
      <c r="H190">
        <v>1.66</v>
      </c>
      <c r="I190">
        <v>13.21</v>
      </c>
      <c r="J190" s="2">
        <f t="shared" si="1"/>
        <v>8.83</v>
      </c>
      <c r="K190" s="2">
        <f t="shared" si="2"/>
        <v>24.44</v>
      </c>
      <c r="L190" s="2">
        <f t="shared" si="3"/>
        <v>33.270000000000003</v>
      </c>
    </row>
    <row r="191" spans="1:12" x14ac:dyDescent="0.25">
      <c r="A191" t="s">
        <v>92</v>
      </c>
      <c r="B191">
        <f t="shared" si="0"/>
        <v>38.591999999999999</v>
      </c>
      <c r="C191">
        <v>6.08</v>
      </c>
      <c r="D191">
        <v>2.44</v>
      </c>
      <c r="E191">
        <v>1.4</v>
      </c>
      <c r="F191">
        <v>0.69</v>
      </c>
      <c r="G191">
        <v>9.56</v>
      </c>
      <c r="H191">
        <v>1.66</v>
      </c>
      <c r="I191">
        <v>7.44</v>
      </c>
      <c r="J191" s="2">
        <f t="shared" si="1"/>
        <v>9.92</v>
      </c>
      <c r="K191" s="2">
        <f t="shared" si="2"/>
        <v>19.350000000000001</v>
      </c>
      <c r="L191" s="2">
        <f t="shared" si="3"/>
        <v>29.270000000000003</v>
      </c>
    </row>
    <row r="192" spans="1:12" x14ac:dyDescent="0.25">
      <c r="A192" t="s">
        <v>93</v>
      </c>
      <c r="B192">
        <f t="shared" si="0"/>
        <v>36.582000000000001</v>
      </c>
      <c r="C192">
        <v>8.0299999999999994</v>
      </c>
      <c r="D192">
        <v>3.22</v>
      </c>
      <c r="E192">
        <v>1.4</v>
      </c>
      <c r="F192">
        <v>0.69</v>
      </c>
      <c r="G192">
        <v>11.1</v>
      </c>
      <c r="H192">
        <v>1.66</v>
      </c>
      <c r="I192">
        <v>3.42</v>
      </c>
      <c r="J192" s="2">
        <f t="shared" si="1"/>
        <v>12.65</v>
      </c>
      <c r="K192" s="2">
        <f t="shared" si="2"/>
        <v>16.869999999999997</v>
      </c>
      <c r="L192" s="2">
        <f t="shared" si="3"/>
        <v>29.519999999999996</v>
      </c>
    </row>
    <row r="193" spans="1:12" x14ac:dyDescent="0.25">
      <c r="A193" t="s">
        <v>94</v>
      </c>
      <c r="B193">
        <f t="shared" si="0"/>
        <v>36.783000000000001</v>
      </c>
      <c r="C193">
        <v>8.9</v>
      </c>
      <c r="D193">
        <v>3.56</v>
      </c>
      <c r="E193">
        <v>1.4</v>
      </c>
      <c r="F193">
        <v>0.9</v>
      </c>
      <c r="G193">
        <v>11.92</v>
      </c>
      <c r="H193">
        <v>1.66</v>
      </c>
      <c r="I193">
        <v>2.93</v>
      </c>
      <c r="J193" s="2">
        <f t="shared" si="1"/>
        <v>13.860000000000001</v>
      </c>
      <c r="K193" s="2">
        <f t="shared" si="2"/>
        <v>17.41</v>
      </c>
      <c r="L193" s="2">
        <f t="shared" si="3"/>
        <v>31.270000000000003</v>
      </c>
    </row>
    <row r="194" spans="1:12" x14ac:dyDescent="0.25">
      <c r="A194" t="s">
        <v>95</v>
      </c>
      <c r="B194">
        <f t="shared" si="0"/>
        <v>38.25</v>
      </c>
      <c r="C194">
        <v>5.51</v>
      </c>
      <c r="D194">
        <v>2.21</v>
      </c>
      <c r="E194">
        <v>1.4</v>
      </c>
      <c r="F194">
        <v>0.69</v>
      </c>
      <c r="G194">
        <v>9.6999999999999993</v>
      </c>
      <c r="H194">
        <v>1.66</v>
      </c>
      <c r="I194">
        <v>9.89</v>
      </c>
      <c r="J194" s="2">
        <f t="shared" si="1"/>
        <v>9.1199999999999992</v>
      </c>
      <c r="K194" s="2">
        <f t="shared" si="2"/>
        <v>21.939999999999998</v>
      </c>
      <c r="L194" s="2">
        <f t="shared" si="3"/>
        <v>31.059999999999995</v>
      </c>
    </row>
    <row r="195" spans="1:12" x14ac:dyDescent="0.25">
      <c r="A195" t="s">
        <v>96</v>
      </c>
      <c r="B195">
        <f t="shared" si="0"/>
        <v>33.969000000000001</v>
      </c>
      <c r="C195">
        <v>7.71</v>
      </c>
      <c r="D195">
        <v>2.52</v>
      </c>
      <c r="E195">
        <v>1.4</v>
      </c>
      <c r="F195">
        <v>0.78</v>
      </c>
      <c r="G195">
        <v>9.67</v>
      </c>
      <c r="H195">
        <v>1.66</v>
      </c>
      <c r="I195">
        <v>6.09</v>
      </c>
      <c r="J195" s="2">
        <f t="shared" si="1"/>
        <v>11.63</v>
      </c>
      <c r="K195" s="2">
        <f t="shared" si="2"/>
        <v>18.2</v>
      </c>
      <c r="L195" s="2">
        <f t="shared" si="3"/>
        <v>29.83</v>
      </c>
    </row>
    <row r="196" spans="1:12" x14ac:dyDescent="0.25">
      <c r="A196" t="s">
        <v>97</v>
      </c>
      <c r="B196">
        <f t="shared" si="0"/>
        <v>34.974000000000004</v>
      </c>
      <c r="C196">
        <v>8.14</v>
      </c>
      <c r="D196">
        <v>3.78</v>
      </c>
      <c r="E196">
        <v>1.4</v>
      </c>
      <c r="F196">
        <v>0.73</v>
      </c>
      <c r="G196">
        <v>9.01</v>
      </c>
      <c r="H196">
        <v>1.66</v>
      </c>
      <c r="I196">
        <v>3.66</v>
      </c>
      <c r="J196" s="2">
        <f t="shared" si="1"/>
        <v>13.32</v>
      </c>
      <c r="K196" s="2">
        <f t="shared" si="2"/>
        <v>15.06</v>
      </c>
      <c r="L196" s="2">
        <f t="shared" si="3"/>
        <v>28.380000000000003</v>
      </c>
    </row>
    <row r="197" spans="1:12" x14ac:dyDescent="0.25">
      <c r="A197" t="s">
        <v>98</v>
      </c>
      <c r="B197">
        <f t="shared" si="0"/>
        <v>32.963999999999999</v>
      </c>
      <c r="C197">
        <v>3.81</v>
      </c>
      <c r="D197">
        <v>1.89</v>
      </c>
      <c r="E197">
        <v>1.4</v>
      </c>
      <c r="F197">
        <v>0.71</v>
      </c>
      <c r="G197">
        <v>9.26</v>
      </c>
      <c r="H197">
        <v>1.66</v>
      </c>
      <c r="I197">
        <v>9.44</v>
      </c>
      <c r="J197" s="2">
        <f t="shared" si="1"/>
        <v>7.1</v>
      </c>
      <c r="K197" s="2">
        <f t="shared" si="2"/>
        <v>21.07</v>
      </c>
      <c r="L197" s="2">
        <f t="shared" si="3"/>
        <v>28.17</v>
      </c>
    </row>
    <row r="198" spans="1:12" x14ac:dyDescent="0.25">
      <c r="A198" t="s">
        <v>99</v>
      </c>
      <c r="B198">
        <f t="shared" si="0"/>
        <v>36.381</v>
      </c>
      <c r="C198">
        <v>5.41</v>
      </c>
      <c r="D198">
        <v>2.56</v>
      </c>
      <c r="E198">
        <v>1.4</v>
      </c>
      <c r="F198">
        <v>0.81</v>
      </c>
      <c r="G198">
        <v>9.9700000000000006</v>
      </c>
      <c r="H198">
        <v>1.66</v>
      </c>
      <c r="I198">
        <v>7.46</v>
      </c>
      <c r="J198" s="2">
        <f t="shared" si="1"/>
        <v>9.370000000000001</v>
      </c>
      <c r="K198" s="2">
        <f t="shared" si="2"/>
        <v>19.900000000000002</v>
      </c>
      <c r="L198" s="2">
        <f t="shared" si="3"/>
        <v>29.270000000000003</v>
      </c>
    </row>
    <row r="199" spans="1:12" x14ac:dyDescent="0.25">
      <c r="A199" t="s">
        <v>100</v>
      </c>
      <c r="B199">
        <f t="shared" si="0"/>
        <v>38.792999999999999</v>
      </c>
      <c r="C199">
        <v>10.54</v>
      </c>
      <c r="D199">
        <v>3.59</v>
      </c>
      <c r="E199">
        <v>1.4</v>
      </c>
      <c r="F199">
        <v>0.9</v>
      </c>
      <c r="G199">
        <v>11.11</v>
      </c>
      <c r="H199">
        <v>1.66</v>
      </c>
      <c r="I199">
        <v>1.86</v>
      </c>
      <c r="J199" s="2">
        <f t="shared" si="1"/>
        <v>15.53</v>
      </c>
      <c r="K199" s="2">
        <f t="shared" si="2"/>
        <v>15.53</v>
      </c>
      <c r="L199" s="2">
        <f t="shared" si="3"/>
        <v>31.06</v>
      </c>
    </row>
    <row r="200" spans="1:12" x14ac:dyDescent="0.25">
      <c r="A200" t="s">
        <v>101</v>
      </c>
      <c r="B200">
        <f t="shared" si="0"/>
        <v>45.023999999999994</v>
      </c>
      <c r="C200">
        <v>10.99</v>
      </c>
      <c r="D200">
        <v>3.72</v>
      </c>
      <c r="E200">
        <v>1.4</v>
      </c>
      <c r="F200">
        <v>0.83</v>
      </c>
      <c r="G200">
        <v>12.01</v>
      </c>
      <c r="H200">
        <v>1.66</v>
      </c>
      <c r="I200">
        <v>4.66</v>
      </c>
      <c r="J200" s="2">
        <f t="shared" si="1"/>
        <v>16.11</v>
      </c>
      <c r="K200" s="2">
        <f t="shared" si="2"/>
        <v>19.16</v>
      </c>
      <c r="L200" s="2">
        <f t="shared" si="3"/>
        <v>35.269999999999996</v>
      </c>
    </row>
    <row r="201" spans="1:12" x14ac:dyDescent="0.25">
      <c r="A201" t="s">
        <v>102</v>
      </c>
      <c r="B201">
        <f t="shared" si="0"/>
        <v>33.969000000000001</v>
      </c>
      <c r="C201">
        <v>6.59</v>
      </c>
      <c r="D201">
        <v>3.01</v>
      </c>
      <c r="E201">
        <v>1.4</v>
      </c>
      <c r="F201">
        <v>0.76</v>
      </c>
      <c r="G201">
        <v>10.58</v>
      </c>
      <c r="H201">
        <v>1.66</v>
      </c>
      <c r="I201">
        <v>3.28</v>
      </c>
      <c r="J201" s="2">
        <f t="shared" si="1"/>
        <v>11</v>
      </c>
      <c r="K201" s="2">
        <f t="shared" si="2"/>
        <v>16.28</v>
      </c>
      <c r="L201" s="2">
        <f t="shared" si="3"/>
        <v>27.28</v>
      </c>
    </row>
    <row r="202" spans="1:12" x14ac:dyDescent="0.25">
      <c r="A202" t="s">
        <v>103</v>
      </c>
      <c r="B202">
        <f t="shared" si="0"/>
        <v>34.571999999999996</v>
      </c>
      <c r="C202">
        <v>5</v>
      </c>
      <c r="D202">
        <v>1.78</v>
      </c>
      <c r="E202">
        <v>1.4</v>
      </c>
      <c r="F202">
        <v>0.74</v>
      </c>
      <c r="G202">
        <v>9.64</v>
      </c>
      <c r="H202">
        <v>1.66</v>
      </c>
      <c r="I202">
        <v>8.51</v>
      </c>
      <c r="J202" s="2">
        <f t="shared" si="1"/>
        <v>8.18</v>
      </c>
      <c r="K202" s="2">
        <f t="shared" si="2"/>
        <v>20.55</v>
      </c>
      <c r="L202" s="2">
        <f t="shared" si="3"/>
        <v>28.73</v>
      </c>
    </row>
    <row r="203" spans="1:12" x14ac:dyDescent="0.25">
      <c r="A203" t="s">
        <v>104</v>
      </c>
      <c r="B203">
        <f t="shared" si="0"/>
        <v>32.06</v>
      </c>
      <c r="C203">
        <v>4.3600000000000003</v>
      </c>
      <c r="D203">
        <v>1.94</v>
      </c>
      <c r="E203">
        <v>1.4</v>
      </c>
      <c r="F203">
        <v>0.82</v>
      </c>
      <c r="G203">
        <v>9.27</v>
      </c>
      <c r="H203">
        <v>1.66</v>
      </c>
      <c r="I203">
        <v>8.11</v>
      </c>
      <c r="J203" s="2">
        <f t="shared" si="1"/>
        <v>7.7000000000000011</v>
      </c>
      <c r="K203" s="2">
        <f t="shared" si="2"/>
        <v>19.86</v>
      </c>
      <c r="L203" s="2">
        <f t="shared" si="3"/>
        <v>27.560000000000002</v>
      </c>
    </row>
    <row r="204" spans="1:12" x14ac:dyDescent="0.25">
      <c r="A204" t="s">
        <v>105</v>
      </c>
      <c r="B204">
        <f t="shared" si="0"/>
        <v>33.567</v>
      </c>
      <c r="C204">
        <v>5.13</v>
      </c>
      <c r="D204">
        <v>2.06</v>
      </c>
      <c r="E204">
        <v>1.4</v>
      </c>
      <c r="F204">
        <v>0.86</v>
      </c>
      <c r="G204">
        <v>8.58</v>
      </c>
      <c r="H204">
        <v>1.66</v>
      </c>
      <c r="I204">
        <v>9.26</v>
      </c>
      <c r="J204" s="2">
        <f t="shared" si="1"/>
        <v>8.59</v>
      </c>
      <c r="K204" s="2">
        <f t="shared" si="2"/>
        <v>20.36</v>
      </c>
      <c r="L204" s="2">
        <f t="shared" si="3"/>
        <v>28.95</v>
      </c>
    </row>
    <row r="206" spans="1:12" x14ac:dyDescent="0.25">
      <c r="A206" s="1" t="s">
        <v>115</v>
      </c>
    </row>
    <row r="208" spans="1:12" x14ac:dyDescent="0.25">
      <c r="A208" t="s">
        <v>116</v>
      </c>
      <c r="B208" t="s">
        <v>117</v>
      </c>
      <c r="C208" t="s">
        <v>118</v>
      </c>
      <c r="D208" t="s">
        <v>119</v>
      </c>
    </row>
    <row r="209" spans="1:4" x14ac:dyDescent="0.25">
      <c r="A209">
        <v>1</v>
      </c>
      <c r="B209">
        <v>139</v>
      </c>
      <c r="C209">
        <v>64</v>
      </c>
      <c r="D209">
        <v>67.5</v>
      </c>
    </row>
    <row r="210" spans="1:4" x14ac:dyDescent="0.25">
      <c r="A210">
        <v>2</v>
      </c>
      <c r="B210">
        <v>142</v>
      </c>
      <c r="C210">
        <v>11</v>
      </c>
      <c r="D210">
        <v>76.2</v>
      </c>
    </row>
    <row r="211" spans="1:4" x14ac:dyDescent="0.25">
      <c r="A211">
        <v>3</v>
      </c>
      <c r="B211">
        <v>155</v>
      </c>
      <c r="C211">
        <v>89</v>
      </c>
      <c r="D211">
        <v>82</v>
      </c>
    </row>
    <row r="212" spans="1:4" x14ac:dyDescent="0.25">
      <c r="A212">
        <v>4</v>
      </c>
      <c r="B212">
        <v>146</v>
      </c>
      <c r="C212">
        <v>38</v>
      </c>
      <c r="D212">
        <v>109.6</v>
      </c>
    </row>
    <row r="213" spans="1:4" x14ac:dyDescent="0.25">
      <c r="A213">
        <v>5</v>
      </c>
      <c r="B213">
        <v>151</v>
      </c>
      <c r="C213">
        <v>9</v>
      </c>
      <c r="D213">
        <v>160.19999999999999</v>
      </c>
    </row>
    <row r="214" spans="1:4" x14ac:dyDescent="0.25">
      <c r="A214">
        <v>6</v>
      </c>
      <c r="B214">
        <v>169</v>
      </c>
      <c r="C214">
        <v>71</v>
      </c>
      <c r="D214">
        <v>188.2</v>
      </c>
    </row>
    <row r="215" spans="1:4" x14ac:dyDescent="0.25">
      <c r="A215">
        <v>7</v>
      </c>
      <c r="B215">
        <v>156</v>
      </c>
      <c r="C215">
        <v>75</v>
      </c>
      <c r="D215">
        <v>191.6</v>
      </c>
    </row>
    <row r="216" spans="1:4" x14ac:dyDescent="0.25">
      <c r="A216">
        <v>8</v>
      </c>
      <c r="B216">
        <v>179</v>
      </c>
      <c r="C216">
        <v>83</v>
      </c>
      <c r="D216">
        <v>208.8</v>
      </c>
    </row>
    <row r="217" spans="1:4" x14ac:dyDescent="0.25">
      <c r="A217">
        <v>9</v>
      </c>
      <c r="B217">
        <v>144</v>
      </c>
      <c r="C217">
        <v>31</v>
      </c>
      <c r="D217">
        <v>211.4</v>
      </c>
    </row>
    <row r="218" spans="1:4" x14ac:dyDescent="0.25">
      <c r="A218">
        <v>10</v>
      </c>
      <c r="B218">
        <v>183</v>
      </c>
      <c r="C218">
        <v>152</v>
      </c>
      <c r="D218">
        <v>215.9</v>
      </c>
    </row>
    <row r="219" spans="1:4" x14ac:dyDescent="0.25">
      <c r="A219">
        <v>11</v>
      </c>
      <c r="B219">
        <v>190</v>
      </c>
      <c r="C219">
        <v>138</v>
      </c>
      <c r="D219">
        <v>229.5</v>
      </c>
    </row>
    <row r="220" spans="1:4" x14ac:dyDescent="0.25">
      <c r="A220">
        <v>12</v>
      </c>
      <c r="B220">
        <v>178</v>
      </c>
      <c r="C220">
        <v>98</v>
      </c>
      <c r="D220">
        <v>261.8</v>
      </c>
    </row>
    <row r="221" spans="1:4" x14ac:dyDescent="0.25">
      <c r="A221">
        <v>13</v>
      </c>
      <c r="B221">
        <v>199</v>
      </c>
      <c r="C221">
        <v>185</v>
      </c>
      <c r="D221">
        <v>273</v>
      </c>
    </row>
    <row r="222" spans="1:4" x14ac:dyDescent="0.25">
      <c r="A222">
        <v>14</v>
      </c>
      <c r="B222">
        <v>167</v>
      </c>
      <c r="C222">
        <v>136</v>
      </c>
      <c r="D222">
        <v>292.7</v>
      </c>
    </row>
    <row r="223" spans="1:4" x14ac:dyDescent="0.25">
      <c r="A223">
        <v>15</v>
      </c>
      <c r="B223">
        <v>186</v>
      </c>
      <c r="C223">
        <v>60</v>
      </c>
      <c r="D223">
        <v>305.60000000000002</v>
      </c>
    </row>
    <row r="224" spans="1:4" x14ac:dyDescent="0.25">
      <c r="A224">
        <v>16</v>
      </c>
      <c r="B224">
        <v>247</v>
      </c>
      <c r="C224">
        <v>140</v>
      </c>
      <c r="D224">
        <v>322.39999999999998</v>
      </c>
    </row>
    <row r="225" spans="1:4" x14ac:dyDescent="0.25">
      <c r="A225">
        <v>17</v>
      </c>
      <c r="B225">
        <v>201</v>
      </c>
      <c r="C225">
        <v>104</v>
      </c>
      <c r="D225">
        <v>335.4</v>
      </c>
    </row>
    <row r="226" spans="1:4" x14ac:dyDescent="0.25">
      <c r="A226">
        <v>18</v>
      </c>
      <c r="B226">
        <v>191</v>
      </c>
      <c r="C226">
        <v>148</v>
      </c>
      <c r="D226">
        <v>350.7</v>
      </c>
    </row>
    <row r="227" spans="1:4" x14ac:dyDescent="0.25">
      <c r="A227">
        <v>19</v>
      </c>
      <c r="B227">
        <v>196</v>
      </c>
      <c r="C227">
        <v>109</v>
      </c>
      <c r="D227">
        <v>351.9</v>
      </c>
    </row>
    <row r="228" spans="1:4" x14ac:dyDescent="0.25">
      <c r="A228">
        <v>20</v>
      </c>
      <c r="B228">
        <v>197</v>
      </c>
      <c r="C228">
        <v>121</v>
      </c>
      <c r="D228">
        <v>353.2</v>
      </c>
    </row>
    <row r="229" spans="1:4" x14ac:dyDescent="0.25">
      <c r="A229">
        <v>21</v>
      </c>
      <c r="B229">
        <v>180</v>
      </c>
      <c r="C229">
        <v>130</v>
      </c>
      <c r="D229">
        <v>363.6</v>
      </c>
    </row>
    <row r="230" spans="1:4" x14ac:dyDescent="0.25">
      <c r="A230">
        <v>22</v>
      </c>
      <c r="B230">
        <v>200</v>
      </c>
      <c r="C230">
        <v>94</v>
      </c>
      <c r="D230">
        <v>374.6</v>
      </c>
    </row>
    <row r="231" spans="1:4" x14ac:dyDescent="0.25">
      <c r="A231">
        <v>23</v>
      </c>
      <c r="B231">
        <v>251</v>
      </c>
      <c r="C231">
        <v>176</v>
      </c>
      <c r="D231">
        <v>375.4</v>
      </c>
    </row>
    <row r="232" spans="1:4" x14ac:dyDescent="0.25">
      <c r="A232">
        <v>24</v>
      </c>
      <c r="B232">
        <v>212</v>
      </c>
      <c r="C232">
        <v>178</v>
      </c>
      <c r="D232">
        <v>382.5</v>
      </c>
    </row>
    <row r="233" spans="1:4" x14ac:dyDescent="0.25">
      <c r="A233">
        <v>25</v>
      </c>
      <c r="B233">
        <v>238</v>
      </c>
      <c r="C233">
        <v>168</v>
      </c>
      <c r="D233">
        <v>384.2</v>
      </c>
    </row>
    <row r="234" spans="1:4" x14ac:dyDescent="0.25">
      <c r="A234">
        <v>26</v>
      </c>
      <c r="B234">
        <v>243</v>
      </c>
      <c r="C234">
        <v>62</v>
      </c>
      <c r="D234">
        <v>401.1</v>
      </c>
    </row>
    <row r="235" spans="1:4" x14ac:dyDescent="0.25">
      <c r="A235">
        <v>27</v>
      </c>
      <c r="B235">
        <v>256</v>
      </c>
      <c r="C235">
        <v>87</v>
      </c>
      <c r="D235">
        <v>411.3</v>
      </c>
    </row>
    <row r="236" spans="1:4" x14ac:dyDescent="0.25">
      <c r="A236">
        <v>28</v>
      </c>
      <c r="B236">
        <v>247</v>
      </c>
      <c r="C236">
        <v>163</v>
      </c>
      <c r="D236">
        <v>414.1</v>
      </c>
    </row>
    <row r="237" spans="1:4" x14ac:dyDescent="0.25">
      <c r="A237">
        <v>29</v>
      </c>
      <c r="B237">
        <v>173</v>
      </c>
      <c r="C237">
        <v>114</v>
      </c>
      <c r="D237">
        <v>422.6</v>
      </c>
    </row>
    <row r="238" spans="1:4" x14ac:dyDescent="0.25">
      <c r="A238">
        <v>30</v>
      </c>
      <c r="B238">
        <v>249</v>
      </c>
      <c r="C238">
        <v>188</v>
      </c>
      <c r="D238">
        <v>442.1</v>
      </c>
    </row>
    <row r="239" spans="1:4" x14ac:dyDescent="0.25">
      <c r="A239">
        <v>31</v>
      </c>
      <c r="B239">
        <v>245</v>
      </c>
      <c r="C239">
        <v>157</v>
      </c>
      <c r="D239">
        <v>463</v>
      </c>
    </row>
    <row r="240" spans="1:4" x14ac:dyDescent="0.25">
      <c r="A240">
        <v>32</v>
      </c>
      <c r="B240">
        <v>253</v>
      </c>
      <c r="C240">
        <v>150</v>
      </c>
      <c r="D240">
        <v>500</v>
      </c>
    </row>
    <row r="241" spans="1:4" x14ac:dyDescent="0.25">
      <c r="A241">
        <v>33</v>
      </c>
      <c r="B241">
        <v>255</v>
      </c>
      <c r="C241">
        <v>120</v>
      </c>
      <c r="D241">
        <v>501.5</v>
      </c>
    </row>
    <row r="242" spans="1:4" x14ac:dyDescent="0.25">
      <c r="A242">
        <v>34</v>
      </c>
      <c r="B242">
        <v>189</v>
      </c>
      <c r="C242">
        <v>191</v>
      </c>
      <c r="D242">
        <v>512</v>
      </c>
    </row>
  </sheetData>
  <pageMargins left="0.7" right="0.7" top="0.75" bottom="0.75" header="0.3" footer="0.3"/>
  <pageSetup paperSize="9" orientation="portrait" verticalDpi="0" r:id="rId1"/>
  <headerFooter>
    <oddFooter xml:space="preserve">&amp;C&amp;"arial,Regular"&amp;8&amp;K990000Internal&amp;8&amp;K000000
</oddFooter>
    <evenFooter xml:space="preserve">&amp;C&amp;"arial,Regular"&amp;8&amp;K990000Internal&amp;8&amp;K000000
</evenFooter>
    <firstFooter xml:space="preserve">&amp;C&amp;"arial,Regular"&amp;8&amp;K990000Internal&amp;8&amp;K000000
</firstFooter>
  </headerFooter>
  <ignoredErrors>
    <ignoredError sqref="J183:K20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Z44"/>
  <sheetViews>
    <sheetView workbookViewId="0">
      <selection activeCell="C39" sqref="C39"/>
    </sheetView>
  </sheetViews>
  <sheetFormatPr defaultRowHeight="15" x14ac:dyDescent="0.25"/>
  <cols>
    <col min="1" max="1" width="12.28515625" customWidth="1"/>
  </cols>
  <sheetData>
    <row r="1" spans="1:26" x14ac:dyDescent="0.25">
      <c r="A1" s="1" t="s">
        <v>120</v>
      </c>
    </row>
    <row r="2" spans="1:26" x14ac:dyDescent="0.25">
      <c r="A2" s="7" t="s">
        <v>170</v>
      </c>
      <c r="B2" s="5">
        <f>SUM(Dati!B4:Z4)/COUNT(Dati!B4:Z4)</f>
        <v>2.2400000000000002</v>
      </c>
      <c r="C2" s="8">
        <f>AVERAGE(Dati!B4:Z4)</f>
        <v>2.2400000000000002</v>
      </c>
    </row>
    <row r="3" spans="1:26" s="5" customFormat="1" x14ac:dyDescent="0.25">
      <c r="A3" s="7" t="s">
        <v>173</v>
      </c>
      <c r="B3" s="5">
        <f>Dati!B4-'Cap2'!$B$2</f>
        <v>-1.2400000000000002</v>
      </c>
      <c r="C3" s="5">
        <f>Dati!C4-'Cap2'!$B$2</f>
        <v>1.7599999999999998</v>
      </c>
      <c r="D3" s="5">
        <f>Dati!D4-'Cap2'!$B$2</f>
        <v>0.75999999999999979</v>
      </c>
      <c r="E3" s="5">
        <f>Dati!E4-'Cap2'!$B$2</f>
        <v>1.7599999999999998</v>
      </c>
      <c r="F3" s="5">
        <f>Dati!F4-'Cap2'!$B$2</f>
        <v>-2.2400000000000002</v>
      </c>
      <c r="G3" s="5">
        <f>Dati!G4-'Cap2'!$B$2</f>
        <v>0.75999999999999979</v>
      </c>
      <c r="H3" s="5">
        <f>Dati!H4-'Cap2'!$B$2</f>
        <v>0.75999999999999979</v>
      </c>
      <c r="I3" s="5">
        <f>Dati!I4-'Cap2'!$B$2</f>
        <v>-2.2400000000000002</v>
      </c>
      <c r="J3" s="5">
        <f>Dati!J4-'Cap2'!$B$2</f>
        <v>1.7599999999999998</v>
      </c>
      <c r="K3" s="5">
        <f>Dati!K4-'Cap2'!$B$2</f>
        <v>-1.2400000000000002</v>
      </c>
      <c r="L3" s="5">
        <f>Dati!L4-'Cap2'!$B$2</f>
        <v>-0.24000000000000021</v>
      </c>
      <c r="M3" s="5">
        <f>Dati!M4-'Cap2'!$B$2</f>
        <v>-2.2400000000000002</v>
      </c>
      <c r="N3" s="5">
        <f>Dati!N4-'Cap2'!$B$2</f>
        <v>-0.24000000000000021</v>
      </c>
      <c r="O3" s="5">
        <f>Dati!O4-'Cap2'!$B$2</f>
        <v>0.75999999999999979</v>
      </c>
      <c r="P3" s="5">
        <f>Dati!P4-'Cap2'!$B$2</f>
        <v>-0.24000000000000021</v>
      </c>
      <c r="Q3" s="5">
        <f>Dati!Q4-'Cap2'!$B$2</f>
        <v>1.7599999999999998</v>
      </c>
      <c r="R3" s="5">
        <f>Dati!R4-'Cap2'!$B$2</f>
        <v>0.75999999999999979</v>
      </c>
      <c r="S3" s="5">
        <f>Dati!S4-'Cap2'!$B$2</f>
        <v>0.75999999999999979</v>
      </c>
      <c r="T3" s="5">
        <f>Dati!T4-'Cap2'!$B$2</f>
        <v>-1.2400000000000002</v>
      </c>
      <c r="U3" s="5">
        <f>Dati!U4-'Cap2'!$B$2</f>
        <v>-1.2400000000000002</v>
      </c>
      <c r="V3" s="5">
        <f>Dati!V4-'Cap2'!$B$2</f>
        <v>1.7599999999999998</v>
      </c>
      <c r="W3" s="5">
        <f>Dati!W4-'Cap2'!$B$2</f>
        <v>-2.2400000000000002</v>
      </c>
      <c r="X3" s="5">
        <f>Dati!X4-'Cap2'!$B$2</f>
        <v>0.75999999999999979</v>
      </c>
      <c r="Y3" s="5">
        <f>Dati!Y4-'Cap2'!$B$2</f>
        <v>-1.2400000000000002</v>
      </c>
      <c r="Z3" s="5">
        <f>Dati!Z4-'Cap2'!$B$2</f>
        <v>1.7599999999999998</v>
      </c>
    </row>
    <row r="4" spans="1:26" s="5" customFormat="1" x14ac:dyDescent="0.25">
      <c r="A4" s="7" t="s">
        <v>174</v>
      </c>
      <c r="B4" s="5">
        <f>B3^2</f>
        <v>1.5376000000000005</v>
      </c>
      <c r="C4" s="5">
        <f t="shared" ref="C4:Z4" si="0">C3^2</f>
        <v>3.0975999999999995</v>
      </c>
      <c r="D4" s="5">
        <f t="shared" si="0"/>
        <v>0.57759999999999967</v>
      </c>
      <c r="E4" s="5">
        <f t="shared" si="0"/>
        <v>3.0975999999999995</v>
      </c>
      <c r="F4" s="5">
        <f t="shared" si="0"/>
        <v>5.0176000000000007</v>
      </c>
      <c r="G4" s="5">
        <f t="shared" si="0"/>
        <v>0.57759999999999967</v>
      </c>
      <c r="H4" s="5">
        <f t="shared" si="0"/>
        <v>0.57759999999999967</v>
      </c>
      <c r="I4" s="5">
        <f t="shared" si="0"/>
        <v>5.0176000000000007</v>
      </c>
      <c r="J4" s="5">
        <f t="shared" si="0"/>
        <v>3.0975999999999995</v>
      </c>
      <c r="K4" s="5">
        <f t="shared" si="0"/>
        <v>1.5376000000000005</v>
      </c>
      <c r="L4" s="5">
        <f t="shared" si="0"/>
        <v>5.7600000000000103E-2</v>
      </c>
      <c r="M4" s="5">
        <f t="shared" si="0"/>
        <v>5.0176000000000007</v>
      </c>
      <c r="N4" s="5">
        <f t="shared" si="0"/>
        <v>5.7600000000000103E-2</v>
      </c>
      <c r="O4" s="5">
        <f t="shared" si="0"/>
        <v>0.57759999999999967</v>
      </c>
      <c r="P4" s="5">
        <f t="shared" si="0"/>
        <v>5.7600000000000103E-2</v>
      </c>
      <c r="Q4" s="5">
        <f t="shared" si="0"/>
        <v>3.0975999999999995</v>
      </c>
      <c r="R4" s="5">
        <f t="shared" si="0"/>
        <v>0.57759999999999967</v>
      </c>
      <c r="S4" s="5">
        <f t="shared" si="0"/>
        <v>0.57759999999999967</v>
      </c>
      <c r="T4" s="5">
        <f t="shared" si="0"/>
        <v>1.5376000000000005</v>
      </c>
      <c r="U4" s="5">
        <f t="shared" si="0"/>
        <v>1.5376000000000005</v>
      </c>
      <c r="V4" s="5">
        <f t="shared" si="0"/>
        <v>3.0975999999999995</v>
      </c>
      <c r="W4" s="5">
        <f t="shared" si="0"/>
        <v>5.0176000000000007</v>
      </c>
      <c r="X4" s="5">
        <f t="shared" si="0"/>
        <v>0.57759999999999967</v>
      </c>
      <c r="Y4" s="5">
        <f t="shared" si="0"/>
        <v>1.5376000000000005</v>
      </c>
      <c r="Z4" s="5">
        <f t="shared" si="0"/>
        <v>3.0975999999999995</v>
      </c>
    </row>
    <row r="6" spans="1:26" x14ac:dyDescent="0.25">
      <c r="A6" s="1" t="s">
        <v>121</v>
      </c>
    </row>
    <row r="7" spans="1:26" x14ac:dyDescent="0.25">
      <c r="A7" s="7" t="s">
        <v>172</v>
      </c>
      <c r="B7" s="5">
        <f>SUM(B4:Z4)/(COUNT(B4:Z4)-1)</f>
        <v>2.106666666666666</v>
      </c>
      <c r="C7" s="8">
        <f>_xlfn.VAR.S(Dati!B4:Z4)</f>
        <v>2.1066666666666669</v>
      </c>
      <c r="E7" s="7" t="s">
        <v>176</v>
      </c>
      <c r="F7" s="5">
        <v>115</v>
      </c>
    </row>
    <row r="8" spans="1:26" x14ac:dyDescent="0.25">
      <c r="A8" s="7" t="s">
        <v>175</v>
      </c>
      <c r="B8" s="5">
        <f>F8/F7</f>
        <v>0.21739130434782608</v>
      </c>
      <c r="C8" s="8"/>
      <c r="E8" s="7" t="s">
        <v>177</v>
      </c>
      <c r="F8" s="5">
        <f>COUNT(Dati!B4:Z4)</f>
        <v>25</v>
      </c>
    </row>
    <row r="9" spans="1:26" x14ac:dyDescent="0.25">
      <c r="A9" s="7" t="s">
        <v>171</v>
      </c>
      <c r="B9" s="5">
        <f>((1-B8)*B7/F8)^(1/2)</f>
        <v>0.25680308815697001</v>
      </c>
    </row>
    <row r="11" spans="1:26" x14ac:dyDescent="0.25">
      <c r="A11" s="1" t="s">
        <v>122</v>
      </c>
    </row>
    <row r="12" spans="1:26" s="5" customFormat="1" x14ac:dyDescent="0.25">
      <c r="A12" s="7" t="s">
        <v>179</v>
      </c>
      <c r="B12" s="5">
        <f>IF(Dati!B4&gt;3,1,0)</f>
        <v>0</v>
      </c>
      <c r="C12" s="5">
        <f>IF(Dati!C4&gt;3,1,0)</f>
        <v>1</v>
      </c>
      <c r="D12" s="5">
        <f>IF(Dati!D4&gt;3,1,0)</f>
        <v>0</v>
      </c>
      <c r="E12" s="5">
        <f>IF(Dati!E4&gt;3,1,0)</f>
        <v>1</v>
      </c>
      <c r="F12" s="5">
        <f>IF(Dati!F4&gt;3,1,0)</f>
        <v>0</v>
      </c>
      <c r="G12" s="5">
        <f>IF(Dati!G4&gt;3,1,0)</f>
        <v>0</v>
      </c>
      <c r="H12" s="5">
        <f>IF(Dati!H4&gt;3,1,0)</f>
        <v>0</v>
      </c>
      <c r="I12" s="5">
        <f>IF(Dati!I4&gt;3,1,0)</f>
        <v>0</v>
      </c>
      <c r="J12" s="5">
        <f>IF(Dati!J4&gt;3,1,0)</f>
        <v>1</v>
      </c>
      <c r="K12" s="5">
        <f>IF(Dati!K4&gt;3,1,0)</f>
        <v>0</v>
      </c>
      <c r="L12" s="5">
        <f>IF(Dati!L4&gt;3,1,0)</f>
        <v>0</v>
      </c>
      <c r="M12" s="5">
        <f>IF(Dati!M4&gt;3,1,0)</f>
        <v>0</v>
      </c>
      <c r="N12" s="5">
        <f>IF(Dati!N4&gt;3,1,0)</f>
        <v>0</v>
      </c>
      <c r="O12" s="5">
        <f>IF(Dati!O4&gt;3,1,0)</f>
        <v>0</v>
      </c>
      <c r="P12" s="5">
        <f>IF(Dati!P4&gt;3,1,0)</f>
        <v>0</v>
      </c>
      <c r="Q12" s="5">
        <f>IF(Dati!Q4&gt;3,1,0)</f>
        <v>1</v>
      </c>
      <c r="R12" s="5">
        <f>IF(Dati!R4&gt;3,1,0)</f>
        <v>0</v>
      </c>
      <c r="S12" s="5">
        <f>IF(Dati!S4&gt;3,1,0)</f>
        <v>0</v>
      </c>
      <c r="T12" s="5">
        <f>IF(Dati!T4&gt;3,1,0)</f>
        <v>0</v>
      </c>
      <c r="U12" s="5">
        <f>IF(Dati!U4&gt;3,1,0)</f>
        <v>0</v>
      </c>
      <c r="V12" s="5">
        <f>IF(Dati!V4&gt;3,1,0)</f>
        <v>1</v>
      </c>
      <c r="W12" s="5">
        <f>IF(Dati!W4&gt;3,1,0)</f>
        <v>0</v>
      </c>
      <c r="X12" s="5">
        <f>IF(Dati!X4&gt;3,1,0)</f>
        <v>0</v>
      </c>
      <c r="Y12" s="5">
        <f>IF(Dati!Y4&gt;3,1,0)</f>
        <v>0</v>
      </c>
      <c r="Z12" s="5">
        <f>IF(Dati!Z4&gt;3,1,0)</f>
        <v>1</v>
      </c>
    </row>
    <row r="13" spans="1:26" s="5" customFormat="1" x14ac:dyDescent="0.25">
      <c r="A13" s="7" t="s">
        <v>178</v>
      </c>
      <c r="B13" s="5">
        <f>SUM(B12:Z12)/COUNT(B12:Z12)</f>
        <v>0.24</v>
      </c>
    </row>
    <row r="16" spans="1:26" x14ac:dyDescent="0.25">
      <c r="A16" s="1" t="s">
        <v>123</v>
      </c>
    </row>
    <row r="17" spans="1:26" s="5" customFormat="1" x14ac:dyDescent="0.25">
      <c r="A17" s="7" t="s">
        <v>180</v>
      </c>
      <c r="B17" s="5">
        <f>((1-B8)*B13*(1-B13)/(F8-1))^(1/2)</f>
        <v>7.712215043005817E-2</v>
      </c>
    </row>
    <row r="18" spans="1:26" s="5" customFormat="1" x14ac:dyDescent="0.25">
      <c r="A18" s="7" t="s">
        <v>181</v>
      </c>
      <c r="C18" s="5">
        <f>((1-B8)*0.5*(1-0.5)/(F8-1))^(1/2)</f>
        <v>9.0289389814326895E-2</v>
      </c>
    </row>
    <row r="20" spans="1:26" x14ac:dyDescent="0.25">
      <c r="A20" s="1" t="s">
        <v>124</v>
      </c>
    </row>
    <row r="21" spans="1:26" x14ac:dyDescent="0.25">
      <c r="A21" s="1"/>
    </row>
    <row r="22" spans="1:26" s="5" customFormat="1" x14ac:dyDescent="0.25">
      <c r="A22" s="7" t="s">
        <v>182</v>
      </c>
      <c r="B22" s="5">
        <f>IF(Dati!B9=1,Dati!B10,"NA")</f>
        <v>0</v>
      </c>
      <c r="C22" s="5" t="str">
        <f>IF(Dati!C9=1,Dati!C10,"NA")</f>
        <v>NA</v>
      </c>
      <c r="D22" s="5" t="str">
        <f>IF(Dati!D9=1,Dati!D10,"NA")</f>
        <v>NA</v>
      </c>
      <c r="E22" s="5">
        <f>IF(Dati!E9=1,Dati!E10,"NA")</f>
        <v>4</v>
      </c>
      <c r="F22" s="5">
        <f>IF(Dati!F9=1,Dati!F10,"NA")</f>
        <v>2</v>
      </c>
      <c r="G22" s="5">
        <f>IF(Dati!G9=1,Dati!G10,"NA")</f>
        <v>1</v>
      </c>
      <c r="H22" s="5" t="str">
        <f>IF(Dati!H9=1,Dati!H10,"NA")</f>
        <v>NA</v>
      </c>
      <c r="I22" s="5" t="str">
        <f>IF(Dati!I9=1,Dati!I10,"NA")</f>
        <v>NA</v>
      </c>
      <c r="J22" s="5" t="str">
        <f>IF(Dati!J9=1,Dati!J10,"NA")</f>
        <v>NA</v>
      </c>
      <c r="K22" s="5" t="str">
        <f>IF(Dati!K9=1,Dati!K10,"NA")</f>
        <v>NA</v>
      </c>
      <c r="L22" s="5">
        <f>IF(Dati!L9=1,Dati!L10,"NA")</f>
        <v>1</v>
      </c>
      <c r="M22" s="5" t="str">
        <f>IF(Dati!M9=1,Dati!M10,"NA")</f>
        <v>NA</v>
      </c>
      <c r="N22" s="5">
        <f>IF(Dati!N9=1,Dati!N10,"NA")</f>
        <v>4</v>
      </c>
      <c r="O22" s="5" t="str">
        <f>IF(Dati!O9=1,Dati!O10,"NA")</f>
        <v>NA</v>
      </c>
      <c r="P22" s="5" t="str">
        <f>IF(Dati!P9=1,Dati!P10,"NA")</f>
        <v>NA</v>
      </c>
      <c r="Q22" s="5">
        <f>IF(Dati!Q9=1,Dati!Q10,"NA")</f>
        <v>2</v>
      </c>
      <c r="R22" s="5" t="str">
        <f>IF(Dati!R9=1,Dati!R10,"NA")</f>
        <v>NA</v>
      </c>
      <c r="S22" s="5" t="str">
        <f>IF(Dati!S9=1,Dati!S10,"NA")</f>
        <v>NA</v>
      </c>
      <c r="T22" s="5">
        <f>IF(Dati!T9=1,Dati!T10,"NA")</f>
        <v>2</v>
      </c>
      <c r="U22" s="5">
        <f>IF(Dati!U9=1,Dati!U10,"NA")</f>
        <v>0</v>
      </c>
      <c r="V22" s="5" t="str">
        <f>IF(Dati!V9=1,Dati!V10,"NA")</f>
        <v>NA</v>
      </c>
      <c r="W22" s="5" t="str">
        <f>IF(Dati!W9=1,Dati!W10,"NA")</f>
        <v>NA</v>
      </c>
      <c r="X22" s="5" t="str">
        <f>IF(Dati!X9=1,Dati!X10,"NA")</f>
        <v>NA</v>
      </c>
      <c r="Y22" s="5">
        <f>IF(Dati!Y9=1,Dati!Y10,"NA")</f>
        <v>3</v>
      </c>
      <c r="Z22" s="5" t="str">
        <f>IF(Dati!Z9=1,Dati!Z10,"NA")</f>
        <v>NA</v>
      </c>
    </row>
    <row r="23" spans="1:26" s="5" customFormat="1" x14ac:dyDescent="0.25">
      <c r="A23" s="7" t="s">
        <v>183</v>
      </c>
      <c r="B23" s="5" t="str">
        <f>IF(Dati!B9=2,Dati!B10,"NA")</f>
        <v>NA</v>
      </c>
      <c r="C23" s="5">
        <f>IF(Dati!C9=2,Dati!C10,"NA")</f>
        <v>5</v>
      </c>
      <c r="D23" s="5">
        <f>IF(Dati!D9=2,Dati!D10,"NA")</f>
        <v>2</v>
      </c>
      <c r="E23" s="5" t="str">
        <f>IF(Dati!E9=2,Dati!E10,"NA")</f>
        <v>NA</v>
      </c>
      <c r="F23" s="5" t="str">
        <f>IF(Dati!F9=2,Dati!F10,"NA")</f>
        <v>NA</v>
      </c>
      <c r="G23" s="5" t="str">
        <f>IF(Dati!G9=2,Dati!G10,"NA")</f>
        <v>NA</v>
      </c>
      <c r="H23" s="5">
        <f>IF(Dati!H9=2,Dati!H10,"NA")</f>
        <v>5</v>
      </c>
      <c r="I23" s="5">
        <f>IF(Dati!I9=2,Dati!I10,"NA")</f>
        <v>4</v>
      </c>
      <c r="J23" s="5">
        <f>IF(Dati!J9=2,Dati!J10,"NA")</f>
        <v>2</v>
      </c>
      <c r="K23" s="5">
        <f>IF(Dati!K9=2,Dati!K10,"NA")</f>
        <v>5</v>
      </c>
      <c r="L23" s="5" t="str">
        <f>IF(Dati!L9=2,Dati!L10,"NA")</f>
        <v>NA</v>
      </c>
      <c r="M23" s="5">
        <f>IF(Dati!M9=2,Dati!M10,"NA")</f>
        <v>3</v>
      </c>
      <c r="N23" s="5" t="str">
        <f>IF(Dati!N9=2,Dati!N10,"NA")</f>
        <v>NA</v>
      </c>
      <c r="O23" s="5">
        <f>IF(Dati!O9=2,Dati!O10,"NA")</f>
        <v>3</v>
      </c>
      <c r="P23" s="5">
        <f>IF(Dati!P9=2,Dati!P10,"NA")</f>
        <v>4</v>
      </c>
      <c r="Q23" s="5" t="str">
        <f>IF(Dati!Q9=2,Dati!Q10,"NA")</f>
        <v>NA</v>
      </c>
      <c r="R23" s="5">
        <f>IF(Dati!R9=2,Dati!R10,"NA")</f>
        <v>2</v>
      </c>
      <c r="S23" s="5">
        <f>IF(Dati!S9=2,Dati!S10,"NA")</f>
        <v>3</v>
      </c>
      <c r="T23" s="5" t="str">
        <f>IF(Dati!T9=2,Dati!T10,"NA")</f>
        <v>NA</v>
      </c>
      <c r="U23" s="5" t="str">
        <f>IF(Dati!U9=2,Dati!U10,"NA")</f>
        <v>NA</v>
      </c>
      <c r="V23" s="5">
        <f>IF(Dati!V9=2,Dati!V10,"NA")</f>
        <v>1</v>
      </c>
      <c r="W23" s="5">
        <f>IF(Dati!W9=2,Dati!W10,"NA")</f>
        <v>2</v>
      </c>
      <c r="X23" s="5">
        <f>IF(Dati!X9=2,Dati!X10,"NA")</f>
        <v>3</v>
      </c>
      <c r="Y23" s="5" t="str">
        <f>IF(Dati!Y9=2,Dati!Y10,"NA")</f>
        <v>NA</v>
      </c>
      <c r="Z23" s="5">
        <f>IF(Dati!Z9=2,Dati!Z10,"NA")</f>
        <v>1</v>
      </c>
    </row>
    <row r="24" spans="1:26" s="5" customFormat="1" x14ac:dyDescent="0.25">
      <c r="A24" s="7"/>
    </row>
    <row r="25" spans="1:26" s="5" customFormat="1" x14ac:dyDescent="0.25">
      <c r="A25" s="7" t="s">
        <v>184</v>
      </c>
      <c r="B25" s="5">
        <f>IF(IF(B22="NA",0,B22)&gt;3,1,0)</f>
        <v>0</v>
      </c>
      <c r="C25" s="5">
        <f t="shared" ref="C25:Z25" si="1">IF(IF(C22="NA",0,C22)&gt;3,1,0)</f>
        <v>0</v>
      </c>
      <c r="D25" s="5">
        <f t="shared" si="1"/>
        <v>0</v>
      </c>
      <c r="E25" s="5">
        <f t="shared" si="1"/>
        <v>1</v>
      </c>
      <c r="F25" s="5">
        <f t="shared" si="1"/>
        <v>0</v>
      </c>
      <c r="G25" s="5">
        <f t="shared" si="1"/>
        <v>0</v>
      </c>
      <c r="H25" s="5">
        <f t="shared" si="1"/>
        <v>0</v>
      </c>
      <c r="I25" s="5">
        <f t="shared" si="1"/>
        <v>0</v>
      </c>
      <c r="J25" s="5">
        <f t="shared" si="1"/>
        <v>0</v>
      </c>
      <c r="K25" s="5">
        <f t="shared" si="1"/>
        <v>0</v>
      </c>
      <c r="L25" s="5">
        <f t="shared" si="1"/>
        <v>0</v>
      </c>
      <c r="M25" s="5">
        <f t="shared" si="1"/>
        <v>0</v>
      </c>
      <c r="N25" s="5">
        <f t="shared" si="1"/>
        <v>1</v>
      </c>
      <c r="O25" s="5">
        <f t="shared" si="1"/>
        <v>0</v>
      </c>
      <c r="P25" s="5">
        <f t="shared" si="1"/>
        <v>0</v>
      </c>
      <c r="Q25" s="5">
        <f t="shared" si="1"/>
        <v>0</v>
      </c>
      <c r="R25" s="5">
        <f t="shared" si="1"/>
        <v>0</v>
      </c>
      <c r="S25" s="5">
        <f t="shared" si="1"/>
        <v>0</v>
      </c>
      <c r="T25" s="5">
        <f t="shared" si="1"/>
        <v>0</v>
      </c>
      <c r="U25" s="5">
        <f t="shared" si="1"/>
        <v>0</v>
      </c>
      <c r="V25" s="5">
        <f t="shared" si="1"/>
        <v>0</v>
      </c>
      <c r="W25" s="5">
        <f t="shared" si="1"/>
        <v>0</v>
      </c>
      <c r="X25" s="5">
        <f t="shared" si="1"/>
        <v>0</v>
      </c>
      <c r="Y25" s="5">
        <f t="shared" si="1"/>
        <v>0</v>
      </c>
      <c r="Z25" s="5">
        <f t="shared" si="1"/>
        <v>0</v>
      </c>
    </row>
    <row r="26" spans="1:26" s="5" customFormat="1" x14ac:dyDescent="0.25">
      <c r="A26" s="7" t="s">
        <v>185</v>
      </c>
      <c r="B26" s="5">
        <f>IF(IF(B23="NA",0,B23)&gt;3,1,0)</f>
        <v>0</v>
      </c>
      <c r="C26" s="5">
        <f t="shared" ref="C26:Z26" si="2">IF(IF(C23="NA",0,C23)&gt;3,1,0)</f>
        <v>1</v>
      </c>
      <c r="D26" s="5">
        <f t="shared" si="2"/>
        <v>0</v>
      </c>
      <c r="E26" s="5">
        <f t="shared" si="2"/>
        <v>0</v>
      </c>
      <c r="F26" s="5">
        <f t="shared" si="2"/>
        <v>0</v>
      </c>
      <c r="G26" s="5">
        <f t="shared" si="2"/>
        <v>0</v>
      </c>
      <c r="H26" s="5">
        <f t="shared" si="2"/>
        <v>1</v>
      </c>
      <c r="I26" s="5">
        <f t="shared" si="2"/>
        <v>1</v>
      </c>
      <c r="J26" s="5">
        <f t="shared" si="2"/>
        <v>0</v>
      </c>
      <c r="K26" s="5">
        <f t="shared" si="2"/>
        <v>1</v>
      </c>
      <c r="L26" s="5">
        <f t="shared" si="2"/>
        <v>0</v>
      </c>
      <c r="M26" s="5">
        <f t="shared" si="2"/>
        <v>0</v>
      </c>
      <c r="N26" s="5">
        <f t="shared" si="2"/>
        <v>0</v>
      </c>
      <c r="O26" s="5">
        <f t="shared" si="2"/>
        <v>0</v>
      </c>
      <c r="P26" s="5">
        <f t="shared" si="2"/>
        <v>1</v>
      </c>
      <c r="Q26" s="5">
        <f t="shared" si="2"/>
        <v>0</v>
      </c>
      <c r="R26" s="5">
        <f t="shared" si="2"/>
        <v>0</v>
      </c>
      <c r="S26" s="5">
        <f t="shared" si="2"/>
        <v>0</v>
      </c>
      <c r="T26" s="5">
        <f t="shared" si="2"/>
        <v>0</v>
      </c>
      <c r="U26" s="5">
        <f t="shared" si="2"/>
        <v>0</v>
      </c>
      <c r="V26" s="5">
        <f t="shared" si="2"/>
        <v>0</v>
      </c>
      <c r="W26" s="5">
        <f t="shared" si="2"/>
        <v>0</v>
      </c>
      <c r="X26" s="5">
        <f t="shared" si="2"/>
        <v>0</v>
      </c>
      <c r="Y26" s="5">
        <f t="shared" si="2"/>
        <v>0</v>
      </c>
      <c r="Z26" s="5">
        <f t="shared" si="2"/>
        <v>0</v>
      </c>
    </row>
    <row r="28" spans="1:26" x14ac:dyDescent="0.25">
      <c r="A28" s="1" t="s">
        <v>136</v>
      </c>
      <c r="B28" s="1" t="s">
        <v>128</v>
      </c>
      <c r="C28" s="1" t="s">
        <v>129</v>
      </c>
      <c r="D28" s="1" t="s">
        <v>130</v>
      </c>
      <c r="E28" s="1" t="s">
        <v>131</v>
      </c>
      <c r="F28" s="1" t="s">
        <v>132</v>
      </c>
      <c r="G28" s="1" t="s">
        <v>133</v>
      </c>
      <c r="H28" s="1" t="s">
        <v>134</v>
      </c>
      <c r="I28" s="1" t="s">
        <v>135</v>
      </c>
    </row>
    <row r="29" spans="1:26" x14ac:dyDescent="0.25">
      <c r="A29" s="3" t="s">
        <v>126</v>
      </c>
      <c r="B29" s="5">
        <v>45</v>
      </c>
      <c r="C29" s="5">
        <f>B29/$B$31</f>
        <v>0.39130434782608697</v>
      </c>
      <c r="D29" s="5">
        <f>COUNT(Dati!B9:Z9)-'Cap2'!D30</f>
        <v>10</v>
      </c>
      <c r="E29" s="5">
        <f>SUM(B22:Z22)</f>
        <v>19</v>
      </c>
      <c r="F29" s="5">
        <f>E29/D29</f>
        <v>1.9</v>
      </c>
      <c r="G29" s="5">
        <f>_xlfn.VAR.S(B22:Z22)</f>
        <v>2.0999999999999996</v>
      </c>
      <c r="H29" s="5">
        <f>SUM(B25:Z25)</f>
        <v>2</v>
      </c>
      <c r="I29" s="5">
        <f>H29/D29</f>
        <v>0.2</v>
      </c>
    </row>
    <row r="30" spans="1:26" x14ac:dyDescent="0.25">
      <c r="A30" s="4" t="s">
        <v>127</v>
      </c>
      <c r="B30" s="5">
        <v>70</v>
      </c>
      <c r="C30" s="5">
        <f t="shared" ref="C30:C31" si="3">B30/$B$31</f>
        <v>0.60869565217391308</v>
      </c>
      <c r="D30" s="5">
        <f>SUM(Dati!B9:Z9)-COUNT(Dati!B9:Z9)</f>
        <v>15</v>
      </c>
      <c r="E30" s="5">
        <f>SUM(B23:Z23)</f>
        <v>45</v>
      </c>
      <c r="F30" s="5">
        <f>E30/D30</f>
        <v>3</v>
      </c>
      <c r="G30" s="5">
        <f>_xlfn.VAR.S(B23:Z23)</f>
        <v>1.8571428571428572</v>
      </c>
      <c r="H30" s="5">
        <f>SUM(B26:Z26)</f>
        <v>5</v>
      </c>
      <c r="I30" s="5">
        <f t="shared" ref="I30:I31" si="4">H30/D30</f>
        <v>0.33333333333333331</v>
      </c>
    </row>
    <row r="31" spans="1:26" x14ac:dyDescent="0.25">
      <c r="A31" s="1" t="s">
        <v>125</v>
      </c>
      <c r="B31" s="5">
        <f>B30+B29</f>
        <v>115</v>
      </c>
      <c r="C31" s="5">
        <f t="shared" si="3"/>
        <v>1</v>
      </c>
      <c r="D31" s="5">
        <f>D29+D30</f>
        <v>25</v>
      </c>
      <c r="E31" s="5">
        <f t="shared" ref="E31" si="5">E30+E29</f>
        <v>64</v>
      </c>
      <c r="F31" s="5">
        <f>E31/D31</f>
        <v>2.56</v>
      </c>
      <c r="G31" s="5">
        <f>_xlfn.VAR.S(B22:Z23)</f>
        <v>2.1733333333333333</v>
      </c>
      <c r="H31" s="5">
        <f>H30+H29</f>
        <v>7</v>
      </c>
      <c r="I31" s="5">
        <f t="shared" si="4"/>
        <v>0.28000000000000003</v>
      </c>
    </row>
    <row r="34" spans="1:3" x14ac:dyDescent="0.25">
      <c r="A34" s="1" t="s">
        <v>137</v>
      </c>
    </row>
    <row r="36" spans="1:3" x14ac:dyDescent="0.25">
      <c r="A36" s="1" t="s">
        <v>138</v>
      </c>
      <c r="B36" s="5">
        <f>B2</f>
        <v>2.2400000000000002</v>
      </c>
      <c r="C36" s="5"/>
    </row>
    <row r="37" spans="1:3" x14ac:dyDescent="0.25">
      <c r="A37" s="1" t="s">
        <v>139</v>
      </c>
      <c r="B37" s="5">
        <f>B9</f>
        <v>0.25680308815697001</v>
      </c>
      <c r="C37" s="5"/>
    </row>
    <row r="38" spans="1:3" x14ac:dyDescent="0.25">
      <c r="A38" s="1" t="s">
        <v>140</v>
      </c>
      <c r="B38" s="5">
        <v>2.0640000000000001</v>
      </c>
      <c r="C38" s="5"/>
    </row>
    <row r="39" spans="1:3" x14ac:dyDescent="0.25">
      <c r="A39" s="1" t="s">
        <v>141</v>
      </c>
      <c r="B39" s="5">
        <f>B36-B38*B37</f>
        <v>1.7099584260440142</v>
      </c>
      <c r="C39" s="5">
        <f>B36+B37*B38</f>
        <v>2.7700415739559863</v>
      </c>
    </row>
    <row r="42" spans="1:3" x14ac:dyDescent="0.25">
      <c r="A42" s="1" t="s">
        <v>142</v>
      </c>
    </row>
    <row r="44" spans="1:3" x14ac:dyDescent="0.25">
      <c r="A44" t="s">
        <v>177</v>
      </c>
      <c r="B44">
        <f>1.96^2*B7/0.5^2</f>
        <v>32.371882666666657</v>
      </c>
    </row>
  </sheetData>
  <pageMargins left="0.7" right="0.7" top="0.75" bottom="0.75" header="0.3" footer="0.3"/>
  <pageSetup paperSize="9" orientation="portrait" verticalDpi="0" r:id="rId1"/>
  <headerFooter>
    <oddFooter xml:space="preserve">&amp;C&amp;"arial,Regular"&amp;8&amp;K990000Internal&amp;8&amp;K000000
</oddFooter>
    <evenFooter xml:space="preserve">&amp;C&amp;"arial,Regular"&amp;8&amp;K990000Internal&amp;8&amp;K000000
</evenFooter>
    <firstFooter xml:space="preserve">&amp;C&amp;"arial,Regular"&amp;8&amp;K990000Internal&amp;8&amp;K000000
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X145"/>
  <sheetViews>
    <sheetView topLeftCell="A31" workbookViewId="0">
      <selection activeCell="J60" sqref="J60"/>
    </sheetView>
  </sheetViews>
  <sheetFormatPr defaultRowHeight="15" x14ac:dyDescent="0.25"/>
  <cols>
    <col min="1" max="1" width="13" customWidth="1"/>
    <col min="10" max="10" width="11.28515625" customWidth="1"/>
    <col min="11" max="11" width="10.7109375" customWidth="1"/>
  </cols>
  <sheetData>
    <row r="1" spans="1:13" x14ac:dyDescent="0.25">
      <c r="A1" s="1" t="s">
        <v>5</v>
      </c>
    </row>
    <row r="3" spans="1:13" x14ac:dyDescent="0.25">
      <c r="A3" t="s">
        <v>6</v>
      </c>
      <c r="B3" t="s">
        <v>7</v>
      </c>
      <c r="C3" t="s">
        <v>8</v>
      </c>
      <c r="D3" t="s">
        <v>9</v>
      </c>
    </row>
    <row r="4" spans="1:13" x14ac:dyDescent="0.25">
      <c r="A4">
        <v>2008</v>
      </c>
      <c r="B4">
        <v>1.95</v>
      </c>
      <c r="C4" s="5" t="s">
        <v>186</v>
      </c>
      <c r="D4" s="5" t="s">
        <v>186</v>
      </c>
    </row>
    <row r="5" spans="1:13" x14ac:dyDescent="0.25">
      <c r="A5">
        <v>2009</v>
      </c>
      <c r="B5">
        <v>2.2000000000000002</v>
      </c>
      <c r="C5" s="5">
        <f>B5-B4</f>
        <v>0.25000000000000022</v>
      </c>
      <c r="D5" s="5">
        <f>(B5-B4)/B4</f>
        <v>0.12820512820512833</v>
      </c>
    </row>
    <row r="6" spans="1:13" x14ac:dyDescent="0.25">
      <c r="A6">
        <v>2010</v>
      </c>
      <c r="B6">
        <v>2.4900000000000002</v>
      </c>
      <c r="C6" s="5">
        <f>B6-B5</f>
        <v>0.29000000000000004</v>
      </c>
      <c r="D6" s="5">
        <f>(B6-B5)/B5</f>
        <v>0.13181818181818183</v>
      </c>
    </row>
    <row r="7" spans="1:13" x14ac:dyDescent="0.25">
      <c r="C7" s="6"/>
      <c r="D7" s="6"/>
    </row>
    <row r="8" spans="1:13" x14ac:dyDescent="0.25">
      <c r="A8" s="1" t="s">
        <v>143</v>
      </c>
      <c r="H8" s="7" t="s">
        <v>145</v>
      </c>
      <c r="I8" s="5"/>
      <c r="J8" s="5"/>
      <c r="K8" s="5"/>
      <c r="L8" s="5"/>
    </row>
    <row r="9" spans="1:13" x14ac:dyDescent="0.25">
      <c r="H9" s="7" t="s">
        <v>146</v>
      </c>
      <c r="I9" s="5"/>
      <c r="J9" s="5"/>
      <c r="K9" s="5"/>
      <c r="L9" s="5"/>
    </row>
    <row r="10" spans="1:13" x14ac:dyDescent="0.25">
      <c r="A10" t="s">
        <v>10</v>
      </c>
      <c r="B10" t="s">
        <v>11</v>
      </c>
      <c r="C10" t="s">
        <v>12</v>
      </c>
      <c r="D10" t="s">
        <v>13</v>
      </c>
      <c r="E10" t="s">
        <v>14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</row>
    <row r="11" spans="1:13" x14ac:dyDescent="0.25">
      <c r="A11" t="s">
        <v>15</v>
      </c>
      <c r="B11">
        <v>183</v>
      </c>
      <c r="C11">
        <v>917</v>
      </c>
      <c r="D11">
        <v>1009</v>
      </c>
      <c r="E11" s="5">
        <f>SUM(B11:D11)</f>
        <v>2109</v>
      </c>
      <c r="H11" s="5" t="s">
        <v>15</v>
      </c>
      <c r="I11" s="9">
        <f>B11/$E$15*100</f>
        <v>0.78960994131860551</v>
      </c>
      <c r="J11" s="9">
        <f t="shared" ref="J11:L11" si="0">C11/$E$15*100</f>
        <v>3.9566793234380393</v>
      </c>
      <c r="K11" s="9">
        <f t="shared" si="0"/>
        <v>4.3536416983085955</v>
      </c>
      <c r="L11" s="9">
        <f t="shared" si="0"/>
        <v>9.0999309630652405</v>
      </c>
    </row>
    <row r="12" spans="1:13" x14ac:dyDescent="0.25">
      <c r="A12" t="s">
        <v>16</v>
      </c>
      <c r="B12">
        <v>474</v>
      </c>
      <c r="C12">
        <v>1328</v>
      </c>
      <c r="D12">
        <v>948</v>
      </c>
      <c r="E12" s="5">
        <f t="shared" ref="E12:E14" si="1">SUM(B12:D12)</f>
        <v>2750</v>
      </c>
      <c r="H12" s="5" t="s">
        <v>16</v>
      </c>
      <c r="I12" s="9">
        <f t="shared" ref="I12:I15" si="2">B12/$E$15*100</f>
        <v>2.0452191922678633</v>
      </c>
      <c r="J12" s="9">
        <f t="shared" ref="J12:J15" si="3">C12/$E$15*100</f>
        <v>5.7300655850880222</v>
      </c>
      <c r="K12" s="9">
        <f t="shared" ref="K12:K15" si="4">D12/$E$15*100</f>
        <v>4.0904383845357266</v>
      </c>
      <c r="L12" s="9">
        <f t="shared" ref="L12:L15" si="5">E12/$E$15*100</f>
        <v>11.865723161891612</v>
      </c>
    </row>
    <row r="13" spans="1:13" x14ac:dyDescent="0.25">
      <c r="A13" t="s">
        <v>153</v>
      </c>
      <c r="B13">
        <v>2950</v>
      </c>
      <c r="C13">
        <v>5170</v>
      </c>
      <c r="D13">
        <v>2278</v>
      </c>
      <c r="E13" s="5">
        <f t="shared" si="1"/>
        <v>10398</v>
      </c>
      <c r="G13" s="5"/>
      <c r="H13" s="5" t="s">
        <v>153</v>
      </c>
      <c r="I13" s="9">
        <f t="shared" si="2"/>
        <v>12.72868484639282</v>
      </c>
      <c r="J13" s="9">
        <f t="shared" si="3"/>
        <v>22.307559544356231</v>
      </c>
      <c r="K13" s="9">
        <f t="shared" si="4"/>
        <v>9.8291335864687603</v>
      </c>
      <c r="L13" s="9">
        <f t="shared" si="5"/>
        <v>44.865377977217811</v>
      </c>
      <c r="M13" s="5"/>
    </row>
    <row r="14" spans="1:13" x14ac:dyDescent="0.25">
      <c r="A14" t="s">
        <v>18</v>
      </c>
      <c r="B14">
        <v>2487</v>
      </c>
      <c r="C14">
        <v>4569</v>
      </c>
      <c r="D14">
        <v>863</v>
      </c>
      <c r="E14" s="5">
        <f t="shared" si="1"/>
        <v>7919</v>
      </c>
      <c r="H14" s="5" t="s">
        <v>18</v>
      </c>
      <c r="I14" s="9">
        <f t="shared" si="2"/>
        <v>10.730928546772525</v>
      </c>
      <c r="J14" s="9">
        <f t="shared" si="3"/>
        <v>19.7143596824301</v>
      </c>
      <c r="K14" s="9">
        <f t="shared" si="4"/>
        <v>3.7236796686227134</v>
      </c>
      <c r="L14" s="9">
        <f t="shared" si="5"/>
        <v>34.16896789782534</v>
      </c>
    </row>
    <row r="15" spans="1:13" x14ac:dyDescent="0.25">
      <c r="A15" t="s">
        <v>14</v>
      </c>
      <c r="B15" s="5">
        <f>SUM(B11:B14)</f>
        <v>6094</v>
      </c>
      <c r="C15" s="5">
        <f t="shared" ref="C15:E15" si="6">SUM(C11:C14)</f>
        <v>11984</v>
      </c>
      <c r="D15" s="5">
        <f t="shared" si="6"/>
        <v>5098</v>
      </c>
      <c r="E15" s="5">
        <f t="shared" si="6"/>
        <v>23176</v>
      </c>
      <c r="H15" s="5" t="s">
        <v>14</v>
      </c>
      <c r="I15" s="9">
        <f t="shared" si="2"/>
        <v>26.294442526751808</v>
      </c>
      <c r="J15" s="9">
        <f t="shared" si="3"/>
        <v>51.708664135312389</v>
      </c>
      <c r="K15" s="9">
        <f t="shared" si="4"/>
        <v>21.996893337935795</v>
      </c>
      <c r="L15" s="9">
        <f t="shared" si="5"/>
        <v>100</v>
      </c>
    </row>
    <row r="16" spans="1:13" x14ac:dyDescent="0.25">
      <c r="H16" s="5"/>
      <c r="I16" s="5"/>
      <c r="J16" s="5"/>
      <c r="K16" s="5"/>
      <c r="L16" s="5"/>
    </row>
    <row r="17" spans="1:24" x14ac:dyDescent="0.25">
      <c r="A17" s="1" t="s">
        <v>144</v>
      </c>
      <c r="H17" s="7" t="s">
        <v>195</v>
      </c>
      <c r="I17" s="5"/>
      <c r="J17" s="5"/>
      <c r="K17" s="5"/>
      <c r="L17" s="5"/>
      <c r="N17" s="7" t="s">
        <v>149</v>
      </c>
      <c r="O17" s="5"/>
      <c r="P17" s="5"/>
      <c r="Q17" s="5"/>
      <c r="R17" s="5"/>
      <c r="S17" s="5"/>
    </row>
    <row r="18" spans="1:24" x14ac:dyDescent="0.25">
      <c r="H18" s="7" t="s">
        <v>146</v>
      </c>
      <c r="I18" s="5"/>
      <c r="J18" s="5"/>
      <c r="K18" s="5"/>
      <c r="L18" s="5"/>
      <c r="N18" s="7" t="s">
        <v>147</v>
      </c>
      <c r="O18" s="5"/>
      <c r="P18" s="5"/>
      <c r="Q18" s="5"/>
      <c r="R18" s="5"/>
      <c r="S18" s="5"/>
      <c r="T18" s="7" t="s">
        <v>148</v>
      </c>
      <c r="U18" s="5"/>
      <c r="V18" s="5"/>
      <c r="W18" s="5"/>
      <c r="X18" s="5"/>
    </row>
    <row r="19" spans="1:24" x14ac:dyDescent="0.25">
      <c r="A19" t="s">
        <v>10</v>
      </c>
      <c r="B19" t="s">
        <v>11</v>
      </c>
      <c r="C19" t="s">
        <v>12</v>
      </c>
      <c r="D19" t="s">
        <v>13</v>
      </c>
      <c r="E19" t="s">
        <v>14</v>
      </c>
      <c r="H19" s="5" t="s">
        <v>10</v>
      </c>
      <c r="I19" s="5" t="s">
        <v>11</v>
      </c>
      <c r="J19" s="5" t="s">
        <v>12</v>
      </c>
      <c r="K19" s="5" t="s">
        <v>13</v>
      </c>
      <c r="L19" s="5" t="s">
        <v>14</v>
      </c>
      <c r="N19" s="5" t="s">
        <v>10</v>
      </c>
      <c r="O19" s="5" t="s">
        <v>11</v>
      </c>
      <c r="P19" s="5" t="s">
        <v>12</v>
      </c>
      <c r="Q19" s="5" t="s">
        <v>13</v>
      </c>
      <c r="R19" s="5" t="s">
        <v>14</v>
      </c>
      <c r="S19" s="5"/>
      <c r="T19" s="5" t="s">
        <v>10</v>
      </c>
      <c r="U19" s="5" t="s">
        <v>11</v>
      </c>
      <c r="V19" s="5" t="s">
        <v>12</v>
      </c>
      <c r="W19" s="5" t="s">
        <v>13</v>
      </c>
      <c r="X19" s="5" t="s">
        <v>14</v>
      </c>
    </row>
    <row r="20" spans="1:24" x14ac:dyDescent="0.25">
      <c r="A20" t="s">
        <v>15</v>
      </c>
      <c r="B20">
        <v>2</v>
      </c>
      <c r="C20">
        <v>10</v>
      </c>
      <c r="D20">
        <v>11</v>
      </c>
      <c r="E20" s="5">
        <f>SUM(B20:D20)</f>
        <v>23</v>
      </c>
      <c r="H20" s="5" t="s">
        <v>15</v>
      </c>
      <c r="I20" s="9">
        <f>B20/$E$24*100</f>
        <v>0.26702269692923897</v>
      </c>
      <c r="J20" s="9">
        <f t="shared" ref="J20:L20" si="7">C20/$E$24*100</f>
        <v>1.3351134846461949</v>
      </c>
      <c r="K20" s="9">
        <f t="shared" si="7"/>
        <v>1.4686248331108143</v>
      </c>
      <c r="L20" s="9">
        <f t="shared" si="7"/>
        <v>3.0707610146862483</v>
      </c>
      <c r="N20" s="5" t="s">
        <v>15</v>
      </c>
      <c r="O20" s="9">
        <f>B20/$E20*100</f>
        <v>8.695652173913043</v>
      </c>
      <c r="P20" s="9">
        <f t="shared" ref="P20:R20" si="8">C20/$E20*100</f>
        <v>43.478260869565219</v>
      </c>
      <c r="Q20" s="9">
        <f t="shared" si="8"/>
        <v>47.826086956521742</v>
      </c>
      <c r="R20" s="9">
        <f t="shared" si="8"/>
        <v>100</v>
      </c>
      <c r="S20" s="5"/>
      <c r="T20" s="5" t="s">
        <v>15</v>
      </c>
      <c r="U20" s="9">
        <f>B20/B$24*100</f>
        <v>0.94786729857819907</v>
      </c>
      <c r="V20" s="9">
        <f t="shared" ref="V20:X20" si="9">C20/C$24*100</f>
        <v>2.5316455696202533</v>
      </c>
      <c r="W20" s="9">
        <f t="shared" si="9"/>
        <v>7.6923076923076925</v>
      </c>
      <c r="X20" s="9">
        <f t="shared" si="9"/>
        <v>3.0707610146862483</v>
      </c>
    </row>
    <row r="21" spans="1:24" x14ac:dyDescent="0.25">
      <c r="A21" t="s">
        <v>16</v>
      </c>
      <c r="B21">
        <v>10</v>
      </c>
      <c r="C21">
        <v>28</v>
      </c>
      <c r="D21">
        <v>20</v>
      </c>
      <c r="E21" s="5">
        <f t="shared" ref="E21:E23" si="10">SUM(B21:D21)</f>
        <v>58</v>
      </c>
      <c r="H21" s="5" t="s">
        <v>16</v>
      </c>
      <c r="I21" s="9">
        <f t="shared" ref="I21:I24" si="11">B21/$E$24*100</f>
        <v>1.3351134846461949</v>
      </c>
      <c r="J21" s="9">
        <f t="shared" ref="J21:J24" si="12">C21/$E$24*100</f>
        <v>3.7383177570093453</v>
      </c>
      <c r="K21" s="9">
        <f t="shared" ref="K21:K24" si="13">D21/$E$24*100</f>
        <v>2.6702269692923899</v>
      </c>
      <c r="L21" s="9">
        <f t="shared" ref="L21:L24" si="14">E21/$E$24*100</f>
        <v>7.7436582109479302</v>
      </c>
      <c r="N21" s="5" t="s">
        <v>16</v>
      </c>
      <c r="O21" s="9">
        <f t="shared" ref="O21:O24" si="15">B21/$E21*100</f>
        <v>17.241379310344829</v>
      </c>
      <c r="P21" s="9">
        <f t="shared" ref="P21:P24" si="16">C21/$E21*100</f>
        <v>48.275862068965516</v>
      </c>
      <c r="Q21" s="9">
        <f t="shared" ref="Q21:Q24" si="17">D21/$E21*100</f>
        <v>34.482758620689658</v>
      </c>
      <c r="R21" s="9">
        <f t="shared" ref="R21:R24" si="18">E21/$E21*100</f>
        <v>100</v>
      </c>
      <c r="S21" s="5"/>
      <c r="T21" s="5" t="s">
        <v>16</v>
      </c>
      <c r="U21" s="9">
        <f t="shared" ref="U21:U24" si="19">B21/B$24*100</f>
        <v>4.7393364928909953</v>
      </c>
      <c r="V21" s="9">
        <f t="shared" ref="V21:V24" si="20">C21/C$24*100</f>
        <v>7.0886075949367093</v>
      </c>
      <c r="W21" s="9">
        <f t="shared" ref="W21:W24" si="21">D21/D$24*100</f>
        <v>13.986013986013987</v>
      </c>
      <c r="X21" s="9">
        <f t="shared" ref="X21:X24" si="22">E21/E$24*100</f>
        <v>7.7436582109479302</v>
      </c>
    </row>
    <row r="22" spans="1:24" x14ac:dyDescent="0.25">
      <c r="A22" t="s">
        <v>153</v>
      </c>
      <c r="B22">
        <v>101</v>
      </c>
      <c r="C22">
        <v>177</v>
      </c>
      <c r="D22">
        <v>78</v>
      </c>
      <c r="E22" s="5">
        <f t="shared" si="10"/>
        <v>356</v>
      </c>
      <c r="H22" s="5" t="s">
        <v>153</v>
      </c>
      <c r="I22" s="9">
        <f t="shared" si="11"/>
        <v>13.484646194926569</v>
      </c>
      <c r="J22" s="9">
        <f t="shared" si="12"/>
        <v>23.631508678237651</v>
      </c>
      <c r="K22" s="9">
        <f t="shared" si="13"/>
        <v>10.413885180240321</v>
      </c>
      <c r="L22" s="9">
        <f t="shared" si="14"/>
        <v>47.530040053404541</v>
      </c>
      <c r="M22" s="5"/>
      <c r="N22" s="5" t="s">
        <v>153</v>
      </c>
      <c r="O22" s="9">
        <f t="shared" si="15"/>
        <v>28.370786516853936</v>
      </c>
      <c r="P22" s="9">
        <f t="shared" si="16"/>
        <v>49.719101123595507</v>
      </c>
      <c r="Q22" s="9">
        <f t="shared" si="17"/>
        <v>21.910112359550563</v>
      </c>
      <c r="R22" s="9">
        <f t="shared" si="18"/>
        <v>100</v>
      </c>
      <c r="S22" s="5"/>
      <c r="T22" s="5" t="s">
        <v>153</v>
      </c>
      <c r="U22" s="9">
        <f t="shared" si="19"/>
        <v>47.867298578199055</v>
      </c>
      <c r="V22" s="9">
        <f t="shared" si="20"/>
        <v>44.810126582278478</v>
      </c>
      <c r="W22" s="9">
        <f t="shared" si="21"/>
        <v>54.54545454545454</v>
      </c>
      <c r="X22" s="9">
        <f t="shared" si="22"/>
        <v>47.530040053404541</v>
      </c>
    </row>
    <row r="23" spans="1:24" x14ac:dyDescent="0.25">
      <c r="A23" t="s">
        <v>18</v>
      </c>
      <c r="B23">
        <v>98</v>
      </c>
      <c r="C23">
        <v>180</v>
      </c>
      <c r="D23">
        <v>34</v>
      </c>
      <c r="E23" s="5">
        <f t="shared" si="10"/>
        <v>312</v>
      </c>
      <c r="H23" s="5" t="s">
        <v>18</v>
      </c>
      <c r="I23" s="9">
        <f t="shared" si="11"/>
        <v>13.084112149532709</v>
      </c>
      <c r="J23" s="9">
        <f t="shared" si="12"/>
        <v>24.032042723631509</v>
      </c>
      <c r="K23" s="9">
        <f t="shared" si="13"/>
        <v>4.539385847797063</v>
      </c>
      <c r="L23" s="9">
        <f t="shared" si="14"/>
        <v>41.655540720961284</v>
      </c>
      <c r="N23" s="5" t="s">
        <v>18</v>
      </c>
      <c r="O23" s="9">
        <f t="shared" si="15"/>
        <v>31.410256410256409</v>
      </c>
      <c r="P23" s="9">
        <f t="shared" si="16"/>
        <v>57.692307692307686</v>
      </c>
      <c r="Q23" s="9">
        <f t="shared" si="17"/>
        <v>10.897435897435898</v>
      </c>
      <c r="R23" s="9">
        <f t="shared" si="18"/>
        <v>100</v>
      </c>
      <c r="S23" s="5"/>
      <c r="T23" s="5" t="s">
        <v>18</v>
      </c>
      <c r="U23" s="9">
        <f t="shared" si="19"/>
        <v>46.445497630331758</v>
      </c>
      <c r="V23" s="9">
        <f t="shared" si="20"/>
        <v>45.569620253164558</v>
      </c>
      <c r="W23" s="9">
        <f t="shared" si="21"/>
        <v>23.776223776223777</v>
      </c>
      <c r="X23" s="9">
        <f t="shared" si="22"/>
        <v>41.655540720961284</v>
      </c>
    </row>
    <row r="24" spans="1:24" x14ac:dyDescent="0.25">
      <c r="A24" t="s">
        <v>14</v>
      </c>
      <c r="B24" s="5">
        <f>SUM(B20:B23)</f>
        <v>211</v>
      </c>
      <c r="C24" s="5">
        <f t="shared" ref="C24" si="23">SUM(C20:C23)</f>
        <v>395</v>
      </c>
      <c r="D24" s="5">
        <f t="shared" ref="D24" si="24">SUM(D20:D23)</f>
        <v>143</v>
      </c>
      <c r="E24" s="5">
        <f t="shared" ref="E24" si="25">SUM(E20:E23)</f>
        <v>749</v>
      </c>
      <c r="H24" s="5" t="s">
        <v>14</v>
      </c>
      <c r="I24" s="9">
        <f t="shared" si="11"/>
        <v>28.170894526034711</v>
      </c>
      <c r="J24" s="9">
        <f t="shared" si="12"/>
        <v>52.736982643524698</v>
      </c>
      <c r="K24" s="9">
        <f t="shared" si="13"/>
        <v>19.092122830440587</v>
      </c>
      <c r="L24" s="9">
        <f t="shared" si="14"/>
        <v>100</v>
      </c>
      <c r="N24" s="5" t="s">
        <v>14</v>
      </c>
      <c r="O24" s="9">
        <f t="shared" si="15"/>
        <v>28.170894526034711</v>
      </c>
      <c r="P24" s="9">
        <f t="shared" si="16"/>
        <v>52.736982643524698</v>
      </c>
      <c r="Q24" s="9">
        <f t="shared" si="17"/>
        <v>19.092122830440587</v>
      </c>
      <c r="R24" s="9">
        <f t="shared" si="18"/>
        <v>100</v>
      </c>
      <c r="S24" s="5"/>
      <c r="T24" s="5" t="s">
        <v>14</v>
      </c>
      <c r="U24" s="9">
        <f t="shared" si="19"/>
        <v>100</v>
      </c>
      <c r="V24" s="9">
        <f t="shared" si="20"/>
        <v>100</v>
      </c>
      <c r="W24" s="9">
        <f t="shared" si="21"/>
        <v>100</v>
      </c>
      <c r="X24" s="9">
        <f t="shared" si="22"/>
        <v>100</v>
      </c>
    </row>
    <row r="26" spans="1:24" x14ac:dyDescent="0.25">
      <c r="H26" s="7" t="s">
        <v>150</v>
      </c>
    </row>
    <row r="27" spans="1:24" x14ac:dyDescent="0.25">
      <c r="H27" s="5">
        <f>SUM(B11:B14)/SUM(D11:D14)*100</f>
        <v>119.53707336210277</v>
      </c>
    </row>
    <row r="28" spans="1:24" x14ac:dyDescent="0.25">
      <c r="N28" s="5"/>
    </row>
    <row r="29" spans="1:24" x14ac:dyDescent="0.25">
      <c r="A29" s="1" t="s">
        <v>21</v>
      </c>
      <c r="B29" s="1" t="s">
        <v>264</v>
      </c>
      <c r="H29" s="7" t="s">
        <v>151</v>
      </c>
      <c r="I29" s="5"/>
      <c r="J29" s="5"/>
      <c r="K29" s="5"/>
    </row>
    <row r="30" spans="1:24" x14ac:dyDescent="0.25">
      <c r="H30" s="7" t="s">
        <v>152</v>
      </c>
      <c r="I30" s="5"/>
      <c r="J30" s="5"/>
      <c r="K30" s="5"/>
    </row>
    <row r="31" spans="1:24" x14ac:dyDescent="0.25">
      <c r="A31" t="s">
        <v>22</v>
      </c>
      <c r="B31" t="s">
        <v>187</v>
      </c>
      <c r="C31" t="s">
        <v>188</v>
      </c>
      <c r="D31" t="s">
        <v>14</v>
      </c>
      <c r="H31" s="5" t="s">
        <v>22</v>
      </c>
      <c r="I31" s="5" t="s">
        <v>187</v>
      </c>
      <c r="J31" s="5" t="s">
        <v>188</v>
      </c>
      <c r="K31" s="5" t="s">
        <v>14</v>
      </c>
    </row>
    <row r="32" spans="1:24" x14ac:dyDescent="0.25">
      <c r="A32" t="s">
        <v>23</v>
      </c>
      <c r="B32">
        <v>5</v>
      </c>
      <c r="C32">
        <v>7</v>
      </c>
      <c r="D32" s="5">
        <f>C32+B32</f>
        <v>12</v>
      </c>
      <c r="H32" s="5" t="s">
        <v>23</v>
      </c>
      <c r="I32" s="9">
        <f>B32/B40*100</f>
        <v>2.5</v>
      </c>
      <c r="J32" s="9">
        <f t="shared" ref="J32:K32" si="26">C32/C40*100</f>
        <v>2.3333333333333335</v>
      </c>
      <c r="K32" s="9">
        <f t="shared" si="26"/>
        <v>2.4</v>
      </c>
    </row>
    <row r="33" spans="1:18" x14ac:dyDescent="0.25">
      <c r="A33" t="s">
        <v>24</v>
      </c>
      <c r="B33">
        <v>7</v>
      </c>
      <c r="C33">
        <v>5</v>
      </c>
      <c r="D33" s="5">
        <f t="shared" ref="D33:D34" si="27">C33+B33</f>
        <v>12</v>
      </c>
      <c r="H33" s="5" t="s">
        <v>24</v>
      </c>
      <c r="I33" s="9">
        <f t="shared" ref="I33:I35" si="28">B33/B41*100</f>
        <v>1.1666666666666667</v>
      </c>
      <c r="J33" s="9">
        <f t="shared" ref="J33:J35" si="29">C33/C41*100</f>
        <v>1.25</v>
      </c>
      <c r="K33" s="9">
        <f t="shared" ref="K33:K35" si="30">D33/D41*100</f>
        <v>1.2</v>
      </c>
    </row>
    <row r="34" spans="1:18" x14ac:dyDescent="0.25">
      <c r="A34" t="s">
        <v>25</v>
      </c>
      <c r="B34">
        <v>6</v>
      </c>
      <c r="C34">
        <v>11</v>
      </c>
      <c r="D34" s="5">
        <f t="shared" si="27"/>
        <v>17</v>
      </c>
      <c r="H34" s="5" t="s">
        <v>25</v>
      </c>
      <c r="I34" s="9">
        <f t="shared" si="28"/>
        <v>6</v>
      </c>
      <c r="J34" s="9">
        <f t="shared" si="29"/>
        <v>5.5</v>
      </c>
      <c r="K34" s="9">
        <f t="shared" si="30"/>
        <v>5.6666666666666661</v>
      </c>
    </row>
    <row r="35" spans="1:18" x14ac:dyDescent="0.25">
      <c r="A35" t="s">
        <v>14</v>
      </c>
      <c r="B35" s="5">
        <f>SUM(B32:B34)</f>
        <v>18</v>
      </c>
      <c r="C35" s="5">
        <f t="shared" ref="C35:D35" si="31">SUM(C32:C34)</f>
        <v>23</v>
      </c>
      <c r="D35" s="5">
        <f t="shared" si="31"/>
        <v>41</v>
      </c>
      <c r="H35" s="5" t="s">
        <v>14</v>
      </c>
      <c r="I35" s="9">
        <f t="shared" si="28"/>
        <v>2</v>
      </c>
      <c r="J35" s="9">
        <f t="shared" si="29"/>
        <v>2.5555555555555558</v>
      </c>
      <c r="K35" s="9">
        <f t="shared" si="30"/>
        <v>2.2777777777777777</v>
      </c>
    </row>
    <row r="37" spans="1:18" x14ac:dyDescent="0.25">
      <c r="A37" s="1" t="s">
        <v>26</v>
      </c>
      <c r="B37" s="1" t="s">
        <v>265</v>
      </c>
    </row>
    <row r="39" spans="1:18" x14ac:dyDescent="0.25">
      <c r="A39" t="s">
        <v>22</v>
      </c>
      <c r="B39" t="s">
        <v>187</v>
      </c>
      <c r="C39" t="s">
        <v>188</v>
      </c>
      <c r="D39" t="s">
        <v>14</v>
      </c>
    </row>
    <row r="40" spans="1:18" x14ac:dyDescent="0.25">
      <c r="A40" t="s">
        <v>23</v>
      </c>
      <c r="B40">
        <v>200</v>
      </c>
      <c r="C40">
        <v>300</v>
      </c>
      <c r="D40" s="5">
        <f>C40+B40</f>
        <v>500</v>
      </c>
    </row>
    <row r="41" spans="1:18" x14ac:dyDescent="0.25">
      <c r="A41" t="s">
        <v>24</v>
      </c>
      <c r="B41">
        <v>600</v>
      </c>
      <c r="C41">
        <v>400</v>
      </c>
      <c r="D41" s="5">
        <f t="shared" ref="D41:D42" si="32">C41+B41</f>
        <v>1000</v>
      </c>
    </row>
    <row r="42" spans="1:18" x14ac:dyDescent="0.25">
      <c r="A42" t="s">
        <v>25</v>
      </c>
      <c r="B42">
        <v>100</v>
      </c>
      <c r="C42">
        <v>200</v>
      </c>
      <c r="D42" s="5">
        <f t="shared" si="32"/>
        <v>300</v>
      </c>
    </row>
    <row r="43" spans="1:18" x14ac:dyDescent="0.25">
      <c r="A43" t="s">
        <v>14</v>
      </c>
      <c r="B43" s="5">
        <f>SUM(B40:B42)</f>
        <v>900</v>
      </c>
      <c r="C43" s="5">
        <f t="shared" ref="C43" si="33">SUM(C40:C42)</f>
        <v>900</v>
      </c>
      <c r="D43" s="5">
        <f t="shared" ref="D43" si="34">SUM(D40:D42)</f>
        <v>1800</v>
      </c>
    </row>
    <row r="45" spans="1:18" x14ac:dyDescent="0.25">
      <c r="A45" s="1" t="s">
        <v>27</v>
      </c>
      <c r="H45" s="7" t="s">
        <v>27</v>
      </c>
      <c r="I45" s="5"/>
      <c r="J45" s="5"/>
      <c r="K45" s="5"/>
      <c r="L45" s="5"/>
      <c r="O45" s="7" t="s">
        <v>156</v>
      </c>
    </row>
    <row r="46" spans="1:18" x14ac:dyDescent="0.25">
      <c r="H46" s="5"/>
      <c r="I46" s="5"/>
      <c r="J46" s="5"/>
      <c r="K46" s="5"/>
      <c r="L46" s="5"/>
      <c r="O46" s="5"/>
    </row>
    <row r="47" spans="1:18" x14ac:dyDescent="0.25">
      <c r="A47" t="s">
        <v>6</v>
      </c>
      <c r="B47" t="s">
        <v>28</v>
      </c>
      <c r="C47" t="s">
        <v>29</v>
      </c>
      <c r="D47" s="5" t="s">
        <v>30</v>
      </c>
      <c r="E47" s="5" t="s">
        <v>31</v>
      </c>
      <c r="H47" s="5" t="s">
        <v>6</v>
      </c>
      <c r="I47" s="5" t="s">
        <v>28</v>
      </c>
      <c r="J47" s="5" t="s">
        <v>154</v>
      </c>
      <c r="K47" s="5" t="s">
        <v>155</v>
      </c>
      <c r="L47" s="5" t="s">
        <v>31</v>
      </c>
      <c r="O47" s="5" t="s">
        <v>157</v>
      </c>
      <c r="R47" s="11">
        <f>(C52-C48)/C48*(1/4)</f>
        <v>6.8181818181818218E-2</v>
      </c>
    </row>
    <row r="48" spans="1:18" x14ac:dyDescent="0.25">
      <c r="A48">
        <v>2005</v>
      </c>
      <c r="B48">
        <v>0</v>
      </c>
      <c r="C48">
        <v>1.65</v>
      </c>
      <c r="D48" s="10">
        <f>C48/$C$48*100</f>
        <v>100</v>
      </c>
      <c r="E48" s="5" t="s">
        <v>186</v>
      </c>
      <c r="H48" s="5">
        <v>2005</v>
      </c>
      <c r="I48" s="5">
        <v>0</v>
      </c>
      <c r="J48" s="10">
        <f>D48</f>
        <v>100</v>
      </c>
      <c r="K48" s="10">
        <f>J48/$D$50*100</f>
        <v>106.45161290322579</v>
      </c>
      <c r="L48" s="5" t="s">
        <v>186</v>
      </c>
      <c r="O48" s="5" t="s">
        <v>158</v>
      </c>
      <c r="R48" s="11">
        <f>(C52/C48)^(1/4)-1</f>
        <v>6.2145069957740162E-2</v>
      </c>
    </row>
    <row r="49" spans="1:15" x14ac:dyDescent="0.25">
      <c r="A49">
        <v>2006</v>
      </c>
      <c r="B49">
        <v>1</v>
      </c>
      <c r="C49">
        <v>1.68</v>
      </c>
      <c r="D49" s="10">
        <f t="shared" ref="D49:D52" si="35">C49/$C$48*100</f>
        <v>101.81818181818183</v>
      </c>
      <c r="E49" s="10">
        <f>C49/C48*100</f>
        <v>101.81818181818183</v>
      </c>
      <c r="H49" s="5">
        <v>2006</v>
      </c>
      <c r="I49" s="5">
        <v>1</v>
      </c>
      <c r="J49" s="10">
        <f t="shared" ref="J49:J52" si="36">D49</f>
        <v>101.81818181818183</v>
      </c>
      <c r="K49" s="10">
        <f t="shared" ref="K49:K52" si="37">J49/$D$50*100</f>
        <v>108.38709677419357</v>
      </c>
      <c r="L49" s="10">
        <f>K49/K48*100</f>
        <v>101.81818181818186</v>
      </c>
    </row>
    <row r="50" spans="1:15" x14ac:dyDescent="0.25">
      <c r="A50">
        <v>2007</v>
      </c>
      <c r="B50">
        <v>2</v>
      </c>
      <c r="C50">
        <v>1.55</v>
      </c>
      <c r="D50" s="10">
        <f t="shared" si="35"/>
        <v>93.939393939393938</v>
      </c>
      <c r="E50" s="10">
        <f t="shared" ref="E50:E52" si="38">C50/C49*100</f>
        <v>92.261904761904773</v>
      </c>
      <c r="H50" s="5">
        <v>2007</v>
      </c>
      <c r="I50" s="5">
        <v>2</v>
      </c>
      <c r="J50" s="10">
        <f t="shared" si="36"/>
        <v>93.939393939393938</v>
      </c>
      <c r="K50" s="10">
        <f t="shared" si="37"/>
        <v>100</v>
      </c>
      <c r="L50" s="10">
        <f t="shared" ref="L50:L52" si="39">K50/K49*100</f>
        <v>92.261904761904745</v>
      </c>
    </row>
    <row r="51" spans="1:15" x14ac:dyDescent="0.25">
      <c r="A51">
        <v>2008</v>
      </c>
      <c r="B51">
        <v>3</v>
      </c>
      <c r="C51">
        <v>1.65</v>
      </c>
      <c r="D51" s="10">
        <f t="shared" si="35"/>
        <v>100</v>
      </c>
      <c r="E51" s="10">
        <f t="shared" si="38"/>
        <v>106.45161290322579</v>
      </c>
      <c r="H51" s="5">
        <v>2008</v>
      </c>
      <c r="I51" s="5">
        <v>3</v>
      </c>
      <c r="J51" s="10">
        <f t="shared" si="36"/>
        <v>100</v>
      </c>
      <c r="K51" s="10">
        <f t="shared" si="37"/>
        <v>106.45161290322579</v>
      </c>
      <c r="L51" s="10">
        <f t="shared" si="39"/>
        <v>106.45161290322579</v>
      </c>
    </row>
    <row r="52" spans="1:15" x14ac:dyDescent="0.25">
      <c r="A52">
        <v>2009</v>
      </c>
      <c r="B52">
        <v>4</v>
      </c>
      <c r="C52">
        <v>2.1</v>
      </c>
      <c r="D52" s="10">
        <f t="shared" si="35"/>
        <v>127.27272727272729</v>
      </c>
      <c r="E52" s="10">
        <f t="shared" si="38"/>
        <v>127.27272727272729</v>
      </c>
      <c r="H52" s="5">
        <v>2009</v>
      </c>
      <c r="I52" s="5">
        <v>4</v>
      </c>
      <c r="J52" s="10">
        <f t="shared" si="36"/>
        <v>127.27272727272729</v>
      </c>
      <c r="K52" s="10">
        <f t="shared" si="37"/>
        <v>135.48387096774198</v>
      </c>
      <c r="L52" s="10">
        <f t="shared" si="39"/>
        <v>127.27272727272734</v>
      </c>
    </row>
    <row r="54" spans="1:15" x14ac:dyDescent="0.25">
      <c r="A54" s="1" t="s">
        <v>35</v>
      </c>
      <c r="H54" s="7" t="s">
        <v>159</v>
      </c>
      <c r="I54" s="5"/>
      <c r="J54" s="5"/>
      <c r="K54" s="5"/>
      <c r="L54" s="5"/>
    </row>
    <row r="55" spans="1:15" x14ac:dyDescent="0.25">
      <c r="H55" s="5"/>
      <c r="I55" s="5"/>
      <c r="J55" s="5"/>
      <c r="K55" s="5"/>
      <c r="L55" s="5"/>
    </row>
    <row r="56" spans="1:15" x14ac:dyDescent="0.25">
      <c r="B56">
        <v>2005</v>
      </c>
      <c r="C56">
        <v>2006</v>
      </c>
      <c r="D56">
        <v>2007</v>
      </c>
      <c r="H56" s="5"/>
      <c r="I56" s="5" t="s">
        <v>163</v>
      </c>
      <c r="J56" s="5" t="s">
        <v>164</v>
      </c>
      <c r="K56" s="5" t="s">
        <v>165</v>
      </c>
      <c r="L56" s="5" t="s">
        <v>166</v>
      </c>
      <c r="M56" s="5" t="s">
        <v>167</v>
      </c>
      <c r="N56" s="5" t="s">
        <v>168</v>
      </c>
      <c r="O56" s="5" t="s">
        <v>169</v>
      </c>
    </row>
    <row r="57" spans="1:15" x14ac:dyDescent="0.25">
      <c r="A57" t="s">
        <v>32</v>
      </c>
      <c r="B57">
        <v>1.5</v>
      </c>
      <c r="C57">
        <v>1.8</v>
      </c>
      <c r="D57">
        <v>1.9</v>
      </c>
      <c r="H57" s="5" t="s">
        <v>160</v>
      </c>
      <c r="I57" s="5">
        <f>B57*B64</f>
        <v>16.5</v>
      </c>
      <c r="J57" s="5">
        <f>C57*B64</f>
        <v>19.8</v>
      </c>
      <c r="K57" s="5">
        <f>D57*B64</f>
        <v>20.9</v>
      </c>
      <c r="L57" s="5">
        <f>B57*C64</f>
        <v>11.25</v>
      </c>
      <c r="M57" s="5">
        <f>B57*D64</f>
        <v>6</v>
      </c>
      <c r="N57" s="5">
        <f>C57*C64</f>
        <v>13.5</v>
      </c>
      <c r="O57" s="5">
        <f>D57*D64</f>
        <v>7.6</v>
      </c>
    </row>
    <row r="58" spans="1:15" x14ac:dyDescent="0.25">
      <c r="A58" t="s">
        <v>33</v>
      </c>
      <c r="B58">
        <v>6.3</v>
      </c>
      <c r="C58">
        <v>6.5</v>
      </c>
      <c r="D58">
        <v>7</v>
      </c>
      <c r="H58" s="5" t="s">
        <v>161</v>
      </c>
      <c r="I58" s="5">
        <f t="shared" ref="I58:I59" si="40">B58*B65</f>
        <v>63</v>
      </c>
      <c r="J58" s="5">
        <f t="shared" ref="J58:J59" si="41">C58*B65</f>
        <v>65</v>
      </c>
      <c r="K58" s="5">
        <f t="shared" ref="K58:K59" si="42">D58*B65</f>
        <v>70</v>
      </c>
      <c r="L58" s="5">
        <f t="shared" ref="L58:L59" si="43">B58*C65</f>
        <v>50.4</v>
      </c>
      <c r="M58" s="5">
        <f t="shared" ref="M58:M59" si="44">B58*D65</f>
        <v>37.799999999999997</v>
      </c>
      <c r="N58" s="5">
        <f t="shared" ref="N58:O58" si="45">C58*C65</f>
        <v>52</v>
      </c>
      <c r="O58" s="5">
        <f t="shared" si="45"/>
        <v>42</v>
      </c>
    </row>
    <row r="59" spans="1:15" x14ac:dyDescent="0.25">
      <c r="A59" t="s">
        <v>34</v>
      </c>
      <c r="B59">
        <v>3.5</v>
      </c>
      <c r="C59">
        <v>3.8</v>
      </c>
      <c r="D59">
        <v>4.2</v>
      </c>
      <c r="H59" s="5" t="s">
        <v>162</v>
      </c>
      <c r="I59" s="5">
        <f t="shared" si="40"/>
        <v>42</v>
      </c>
      <c r="J59" s="5">
        <f t="shared" si="41"/>
        <v>45.599999999999994</v>
      </c>
      <c r="K59" s="5">
        <f t="shared" si="42"/>
        <v>50.400000000000006</v>
      </c>
      <c r="L59" s="5">
        <f t="shared" si="43"/>
        <v>35</v>
      </c>
      <c r="M59" s="5">
        <f t="shared" si="44"/>
        <v>22.75</v>
      </c>
      <c r="N59" s="5">
        <f t="shared" ref="N59:O59" si="46">C59*C66</f>
        <v>38</v>
      </c>
      <c r="O59" s="5">
        <f t="shared" si="46"/>
        <v>27.3</v>
      </c>
    </row>
    <row r="60" spans="1:15" x14ac:dyDescent="0.25">
      <c r="H60" s="5" t="s">
        <v>14</v>
      </c>
      <c r="I60" s="5">
        <f>SUM(I57:I59)</f>
        <v>121.5</v>
      </c>
      <c r="J60" s="5">
        <f t="shared" ref="J60:O60" si="47">SUM(J57:J59)</f>
        <v>130.39999999999998</v>
      </c>
      <c r="K60" s="5">
        <f t="shared" si="47"/>
        <v>141.30000000000001</v>
      </c>
      <c r="L60" s="5">
        <f t="shared" si="47"/>
        <v>96.65</v>
      </c>
      <c r="M60" s="5">
        <f t="shared" si="47"/>
        <v>66.55</v>
      </c>
      <c r="N60" s="5">
        <f t="shared" si="47"/>
        <v>103.5</v>
      </c>
      <c r="O60" s="5">
        <f t="shared" si="47"/>
        <v>76.900000000000006</v>
      </c>
    </row>
    <row r="61" spans="1:15" x14ac:dyDescent="0.25">
      <c r="A61" s="1" t="s">
        <v>36</v>
      </c>
      <c r="H61" s="5"/>
      <c r="I61" s="5"/>
      <c r="J61" s="5"/>
      <c r="K61" s="5"/>
      <c r="L61" s="5"/>
    </row>
    <row r="63" spans="1:15" x14ac:dyDescent="0.25">
      <c r="B63">
        <v>2005</v>
      </c>
      <c r="C63">
        <v>2006</v>
      </c>
      <c r="D63">
        <v>2007</v>
      </c>
      <c r="H63" s="5" t="s">
        <v>189</v>
      </c>
      <c r="I63" s="5">
        <f>J60/I60</f>
        <v>1.0732510288065842</v>
      </c>
    </row>
    <row r="64" spans="1:15" x14ac:dyDescent="0.25">
      <c r="A64" t="s">
        <v>32</v>
      </c>
      <c r="B64">
        <v>11</v>
      </c>
      <c r="C64">
        <v>7.5</v>
      </c>
      <c r="D64">
        <v>4</v>
      </c>
      <c r="H64" s="5" t="s">
        <v>192</v>
      </c>
      <c r="I64" s="5">
        <f>K60/I60</f>
        <v>1.162962962962963</v>
      </c>
    </row>
    <row r="65" spans="1:18" x14ac:dyDescent="0.25">
      <c r="A65" t="s">
        <v>33</v>
      </c>
      <c r="B65">
        <v>10</v>
      </c>
      <c r="C65">
        <v>8</v>
      </c>
      <c r="D65">
        <v>6</v>
      </c>
      <c r="H65" s="5" t="s">
        <v>190</v>
      </c>
      <c r="I65" s="5">
        <f>N60/L60</f>
        <v>1.0708742886704603</v>
      </c>
    </row>
    <row r="66" spans="1:18" x14ac:dyDescent="0.25">
      <c r="A66" t="s">
        <v>34</v>
      </c>
      <c r="B66">
        <v>12</v>
      </c>
      <c r="C66">
        <v>10</v>
      </c>
      <c r="D66">
        <v>6.5</v>
      </c>
      <c r="H66" s="5" t="s">
        <v>191</v>
      </c>
      <c r="I66" s="5">
        <f>O60/M60</f>
        <v>1.1555221637866266</v>
      </c>
    </row>
    <row r="69" spans="1:18" x14ac:dyDescent="0.25">
      <c r="A69" s="1" t="s">
        <v>37</v>
      </c>
      <c r="H69" s="7" t="s">
        <v>193</v>
      </c>
      <c r="I69" s="5"/>
      <c r="J69" s="5"/>
      <c r="K69" s="5"/>
      <c r="L69" s="5"/>
      <c r="M69" s="5"/>
      <c r="N69" s="7" t="s">
        <v>194</v>
      </c>
      <c r="O69" s="5"/>
      <c r="P69" s="5"/>
      <c r="Q69" s="5"/>
      <c r="R69" s="5"/>
    </row>
    <row r="70" spans="1:18" x14ac:dyDescent="0.25"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x14ac:dyDescent="0.25">
      <c r="A71" t="s">
        <v>38</v>
      </c>
      <c r="B71" t="s">
        <v>39</v>
      </c>
      <c r="C71" t="s">
        <v>40</v>
      </c>
      <c r="D71" t="s">
        <v>41</v>
      </c>
      <c r="E71" t="s">
        <v>42</v>
      </c>
      <c r="H71" s="5" t="s">
        <v>38</v>
      </c>
      <c r="I71" s="5" t="s">
        <v>39</v>
      </c>
      <c r="J71" s="5" t="s">
        <v>40</v>
      </c>
      <c r="K71" s="5" t="s">
        <v>41</v>
      </c>
      <c r="L71" s="5" t="s">
        <v>42</v>
      </c>
      <c r="M71" s="5"/>
      <c r="N71" s="5" t="s">
        <v>38</v>
      </c>
      <c r="O71" s="5" t="s">
        <v>39</v>
      </c>
      <c r="P71" s="5" t="s">
        <v>40</v>
      </c>
      <c r="Q71" s="5" t="s">
        <v>41</v>
      </c>
      <c r="R71" s="5" t="s">
        <v>42</v>
      </c>
    </row>
    <row r="72" spans="1:18" x14ac:dyDescent="0.25">
      <c r="A72">
        <v>2009</v>
      </c>
      <c r="B72" t="s">
        <v>43</v>
      </c>
      <c r="C72">
        <v>102.3</v>
      </c>
      <c r="D72">
        <v>99.4</v>
      </c>
      <c r="E72">
        <v>121.7</v>
      </c>
      <c r="H72" s="5">
        <v>2009</v>
      </c>
      <c r="I72" s="5" t="s">
        <v>43</v>
      </c>
      <c r="J72" s="5" t="s">
        <v>186</v>
      </c>
      <c r="K72" s="5" t="s">
        <v>186</v>
      </c>
      <c r="L72" s="5" t="s">
        <v>186</v>
      </c>
      <c r="M72" s="5"/>
      <c r="N72" s="5">
        <v>2009</v>
      </c>
      <c r="O72" s="5" t="s">
        <v>43</v>
      </c>
      <c r="P72" s="5" t="s">
        <v>186</v>
      </c>
      <c r="Q72" s="5" t="s">
        <v>186</v>
      </c>
      <c r="R72" s="5" t="s">
        <v>186</v>
      </c>
    </row>
    <row r="73" spans="1:18" x14ac:dyDescent="0.25">
      <c r="A73">
        <v>2009</v>
      </c>
      <c r="B73" t="s">
        <v>44</v>
      </c>
      <c r="C73">
        <v>105.1</v>
      </c>
      <c r="D73">
        <v>101.5</v>
      </c>
      <c r="E73">
        <v>129.4</v>
      </c>
      <c r="H73" s="5">
        <v>2009</v>
      </c>
      <c r="I73" s="5" t="s">
        <v>44</v>
      </c>
      <c r="J73" s="9">
        <f>(C73/C72-1)*100</f>
        <v>2.7370478983382185</v>
      </c>
      <c r="K73" s="9">
        <f t="shared" ref="K73:L73" si="48">(D73/D72-1)*100</f>
        <v>2.1126760563380254</v>
      </c>
      <c r="L73" s="9">
        <f t="shared" si="48"/>
        <v>6.3270336894001744</v>
      </c>
      <c r="M73" s="5"/>
      <c r="N73" s="5">
        <v>2009</v>
      </c>
      <c r="O73" s="5" t="s">
        <v>44</v>
      </c>
      <c r="P73" s="5" t="s">
        <v>186</v>
      </c>
      <c r="Q73" s="5" t="s">
        <v>186</v>
      </c>
      <c r="R73" s="5" t="s">
        <v>186</v>
      </c>
    </row>
    <row r="74" spans="1:18" x14ac:dyDescent="0.25">
      <c r="A74">
        <v>2009</v>
      </c>
      <c r="B74" t="s">
        <v>45</v>
      </c>
      <c r="C74">
        <v>121.7</v>
      </c>
      <c r="D74">
        <v>118.4</v>
      </c>
      <c r="E74">
        <v>143.69999999999999</v>
      </c>
      <c r="H74" s="5">
        <v>2009</v>
      </c>
      <c r="I74" s="5" t="s">
        <v>45</v>
      </c>
      <c r="J74" s="9">
        <f t="shared" ref="J74:J87" si="49">(C74/C73-1)*100</f>
        <v>15.794481446241694</v>
      </c>
      <c r="K74" s="9">
        <f t="shared" ref="K74:K87" si="50">(D74/D73-1)*100</f>
        <v>16.650246305418715</v>
      </c>
      <c r="L74" s="9">
        <f t="shared" ref="L74:L87" si="51">(E74/E73-1)*100</f>
        <v>11.051004636785144</v>
      </c>
      <c r="M74" s="5"/>
      <c r="N74" s="5">
        <v>2009</v>
      </c>
      <c r="O74" s="5" t="s">
        <v>45</v>
      </c>
      <c r="P74" s="5" t="s">
        <v>186</v>
      </c>
      <c r="Q74" s="5" t="s">
        <v>186</v>
      </c>
      <c r="R74" s="5" t="s">
        <v>186</v>
      </c>
    </row>
    <row r="75" spans="1:18" x14ac:dyDescent="0.25">
      <c r="A75">
        <v>2009</v>
      </c>
      <c r="B75" t="s">
        <v>46</v>
      </c>
      <c r="C75">
        <v>115.9</v>
      </c>
      <c r="D75">
        <v>112.4</v>
      </c>
      <c r="E75">
        <v>139.6</v>
      </c>
      <c r="H75" s="5">
        <v>2009</v>
      </c>
      <c r="I75" s="5" t="s">
        <v>46</v>
      </c>
      <c r="J75" s="9">
        <f t="shared" si="49"/>
        <v>-4.7658175842234973</v>
      </c>
      <c r="K75" s="9">
        <f t="shared" si="50"/>
        <v>-5.0675675675675658</v>
      </c>
      <c r="L75" s="9">
        <f t="shared" si="51"/>
        <v>-2.8531663187195466</v>
      </c>
      <c r="M75" s="5"/>
      <c r="N75" s="5">
        <v>2009</v>
      </c>
      <c r="O75" s="5" t="s">
        <v>46</v>
      </c>
      <c r="P75" s="5" t="s">
        <v>186</v>
      </c>
      <c r="Q75" s="5" t="s">
        <v>186</v>
      </c>
      <c r="R75" s="5" t="s">
        <v>186</v>
      </c>
    </row>
    <row r="76" spans="1:18" x14ac:dyDescent="0.25">
      <c r="A76">
        <v>2009</v>
      </c>
      <c r="B76" t="s">
        <v>47</v>
      </c>
      <c r="C76">
        <v>115.3</v>
      </c>
      <c r="D76">
        <v>111.2</v>
      </c>
      <c r="E76">
        <v>142.6</v>
      </c>
      <c r="H76" s="5">
        <v>2009</v>
      </c>
      <c r="I76" s="5" t="s">
        <v>47</v>
      </c>
      <c r="J76" s="9">
        <f t="shared" si="49"/>
        <v>-0.51768766177739955</v>
      </c>
      <c r="K76" s="9">
        <f t="shared" si="50"/>
        <v>-1.067615658362997</v>
      </c>
      <c r="L76" s="9">
        <f t="shared" si="51"/>
        <v>2.1489971346704939</v>
      </c>
      <c r="M76" s="5"/>
      <c r="N76" s="5">
        <v>2009</v>
      </c>
      <c r="O76" s="5" t="s">
        <v>47</v>
      </c>
      <c r="P76" s="5" t="s">
        <v>186</v>
      </c>
      <c r="Q76" s="5" t="s">
        <v>186</v>
      </c>
      <c r="R76" s="5" t="s">
        <v>186</v>
      </c>
    </row>
    <row r="77" spans="1:18" x14ac:dyDescent="0.25">
      <c r="A77">
        <v>2009</v>
      </c>
      <c r="B77" t="s">
        <v>48</v>
      </c>
      <c r="C77">
        <v>123.6</v>
      </c>
      <c r="D77">
        <v>119.9</v>
      </c>
      <c r="E77">
        <v>148.30000000000001</v>
      </c>
      <c r="H77" s="5">
        <v>2009</v>
      </c>
      <c r="I77" s="5" t="s">
        <v>48</v>
      </c>
      <c r="J77" s="9">
        <f t="shared" si="49"/>
        <v>7.1986123156981829</v>
      </c>
      <c r="K77" s="9">
        <f t="shared" si="50"/>
        <v>7.8237410071942515</v>
      </c>
      <c r="L77" s="9">
        <f t="shared" si="51"/>
        <v>3.9971949509116422</v>
      </c>
      <c r="M77" s="5"/>
      <c r="N77" s="5">
        <v>2009</v>
      </c>
      <c r="O77" s="5" t="s">
        <v>48</v>
      </c>
      <c r="P77" s="5" t="s">
        <v>186</v>
      </c>
      <c r="Q77" s="5" t="s">
        <v>186</v>
      </c>
      <c r="R77" s="5" t="s">
        <v>186</v>
      </c>
    </row>
    <row r="78" spans="1:18" x14ac:dyDescent="0.25">
      <c r="A78">
        <v>2009</v>
      </c>
      <c r="B78" t="s">
        <v>49</v>
      </c>
      <c r="C78">
        <v>121.9</v>
      </c>
      <c r="D78">
        <v>118.3</v>
      </c>
      <c r="E78">
        <v>146</v>
      </c>
      <c r="H78" s="5">
        <v>2009</v>
      </c>
      <c r="I78" s="5" t="s">
        <v>49</v>
      </c>
      <c r="J78" s="9">
        <f t="shared" si="49"/>
        <v>-1.3754045307443286</v>
      </c>
      <c r="K78" s="9">
        <f t="shared" si="50"/>
        <v>-1.334445371142623</v>
      </c>
      <c r="L78" s="9">
        <f t="shared" si="51"/>
        <v>-1.5509103169251581</v>
      </c>
      <c r="M78" s="5"/>
      <c r="N78" s="5">
        <v>2009</v>
      </c>
      <c r="O78" s="5" t="s">
        <v>49</v>
      </c>
      <c r="P78" s="5" t="s">
        <v>186</v>
      </c>
      <c r="Q78" s="5" t="s">
        <v>186</v>
      </c>
      <c r="R78" s="5" t="s">
        <v>186</v>
      </c>
    </row>
    <row r="79" spans="1:18" x14ac:dyDescent="0.25">
      <c r="A79">
        <v>2009</v>
      </c>
      <c r="B79" t="s">
        <v>50</v>
      </c>
      <c r="C79">
        <v>102.4</v>
      </c>
      <c r="D79">
        <v>98.9</v>
      </c>
      <c r="E79">
        <v>126</v>
      </c>
      <c r="H79" s="5">
        <v>2009</v>
      </c>
      <c r="I79" s="5" t="s">
        <v>50</v>
      </c>
      <c r="J79" s="9">
        <f t="shared" si="49"/>
        <v>-15.996718621821159</v>
      </c>
      <c r="K79" s="9">
        <f t="shared" si="50"/>
        <v>-16.398985629754858</v>
      </c>
      <c r="L79" s="9">
        <f t="shared" si="51"/>
        <v>-13.698630136986301</v>
      </c>
      <c r="M79" s="5"/>
      <c r="N79" s="5">
        <v>2009</v>
      </c>
      <c r="O79" s="5" t="s">
        <v>50</v>
      </c>
      <c r="P79" s="5" t="s">
        <v>186</v>
      </c>
      <c r="Q79" s="5" t="s">
        <v>186</v>
      </c>
      <c r="R79" s="5" t="s">
        <v>186</v>
      </c>
    </row>
    <row r="80" spans="1:18" x14ac:dyDescent="0.25">
      <c r="A80">
        <v>2009</v>
      </c>
      <c r="B80" t="s">
        <v>51</v>
      </c>
      <c r="C80">
        <v>125.2</v>
      </c>
      <c r="D80">
        <v>119.5</v>
      </c>
      <c r="E80">
        <v>163.19999999999999</v>
      </c>
      <c r="H80" s="5">
        <v>2009</v>
      </c>
      <c r="I80" s="5" t="s">
        <v>51</v>
      </c>
      <c r="J80" s="9">
        <f t="shared" si="49"/>
        <v>22.265625</v>
      </c>
      <c r="K80" s="9">
        <f t="shared" si="50"/>
        <v>20.829120323559145</v>
      </c>
      <c r="L80" s="9">
        <f t="shared" si="51"/>
        <v>29.523809523809508</v>
      </c>
      <c r="M80" s="5"/>
      <c r="N80" s="5">
        <v>2009</v>
      </c>
      <c r="O80" s="5" t="s">
        <v>51</v>
      </c>
      <c r="P80" s="5" t="s">
        <v>186</v>
      </c>
      <c r="Q80" s="5" t="s">
        <v>186</v>
      </c>
      <c r="R80" s="5" t="s">
        <v>186</v>
      </c>
    </row>
    <row r="81" spans="1:18" x14ac:dyDescent="0.25">
      <c r="A81">
        <v>2009</v>
      </c>
      <c r="B81" t="s">
        <v>52</v>
      </c>
      <c r="C81">
        <v>124.9</v>
      </c>
      <c r="D81">
        <v>118.7</v>
      </c>
      <c r="E81">
        <v>166.3</v>
      </c>
      <c r="H81" s="5">
        <v>2009</v>
      </c>
      <c r="I81" s="5" t="s">
        <v>52</v>
      </c>
      <c r="J81" s="9">
        <f t="shared" si="49"/>
        <v>-0.23961661341852514</v>
      </c>
      <c r="K81" s="9">
        <f t="shared" si="50"/>
        <v>-0.66945606694560622</v>
      </c>
      <c r="L81" s="9">
        <f t="shared" si="51"/>
        <v>1.899509803921573</v>
      </c>
      <c r="M81" s="5"/>
      <c r="N81" s="5">
        <v>2009</v>
      </c>
      <c r="O81" s="5" t="s">
        <v>52</v>
      </c>
      <c r="P81" s="5" t="s">
        <v>186</v>
      </c>
      <c r="Q81" s="5" t="s">
        <v>186</v>
      </c>
      <c r="R81" s="5" t="s">
        <v>186</v>
      </c>
    </row>
    <row r="82" spans="1:18" x14ac:dyDescent="0.25">
      <c r="A82">
        <v>2009</v>
      </c>
      <c r="B82" t="s">
        <v>53</v>
      </c>
      <c r="C82">
        <v>120.7</v>
      </c>
      <c r="D82">
        <v>116.3</v>
      </c>
      <c r="E82">
        <v>150.30000000000001</v>
      </c>
      <c r="H82" s="5">
        <v>2009</v>
      </c>
      <c r="I82" s="5" t="s">
        <v>53</v>
      </c>
      <c r="J82" s="9">
        <f t="shared" si="49"/>
        <v>-3.3626901521216945</v>
      </c>
      <c r="K82" s="9">
        <f t="shared" si="50"/>
        <v>-2.0219039595619215</v>
      </c>
      <c r="L82" s="9">
        <f t="shared" si="51"/>
        <v>-9.6211665664461812</v>
      </c>
      <c r="M82" s="5"/>
      <c r="N82" s="5">
        <v>2009</v>
      </c>
      <c r="O82" s="5" t="s">
        <v>53</v>
      </c>
      <c r="P82" s="5" t="s">
        <v>186</v>
      </c>
      <c r="Q82" s="5" t="s">
        <v>186</v>
      </c>
      <c r="R82" s="5" t="s">
        <v>186</v>
      </c>
    </row>
    <row r="83" spans="1:18" x14ac:dyDescent="0.25">
      <c r="A83">
        <v>2009</v>
      </c>
      <c r="B83" t="s">
        <v>54</v>
      </c>
      <c r="C83">
        <v>126.4</v>
      </c>
      <c r="D83">
        <v>124.3</v>
      </c>
      <c r="E83">
        <v>140.5</v>
      </c>
      <c r="H83" s="5">
        <v>2009</v>
      </c>
      <c r="I83" s="5" t="s">
        <v>54</v>
      </c>
      <c r="J83" s="9">
        <f t="shared" si="49"/>
        <v>4.7224523612261926</v>
      </c>
      <c r="K83" s="9">
        <f t="shared" si="50"/>
        <v>6.8787618228718816</v>
      </c>
      <c r="L83" s="9">
        <f t="shared" si="51"/>
        <v>-6.5202927478376633</v>
      </c>
      <c r="M83" s="5"/>
      <c r="N83" s="5">
        <v>2009</v>
      </c>
      <c r="O83" s="5" t="s">
        <v>54</v>
      </c>
      <c r="P83" s="5" t="s">
        <v>186</v>
      </c>
      <c r="Q83" s="5" t="s">
        <v>186</v>
      </c>
      <c r="R83" s="5" t="s">
        <v>186</v>
      </c>
    </row>
    <row r="84" spans="1:18" x14ac:dyDescent="0.25">
      <c r="A84">
        <v>2010</v>
      </c>
      <c r="B84" t="s">
        <v>43</v>
      </c>
      <c r="C84">
        <v>97.6</v>
      </c>
      <c r="D84">
        <v>94.2</v>
      </c>
      <c r="E84">
        <v>120.4</v>
      </c>
      <c r="H84" s="5">
        <v>2010</v>
      </c>
      <c r="I84" s="5" t="s">
        <v>43</v>
      </c>
      <c r="J84" s="9">
        <f t="shared" si="49"/>
        <v>-22.78481012658229</v>
      </c>
      <c r="K84" s="9">
        <f t="shared" si="50"/>
        <v>-24.215607401448104</v>
      </c>
      <c r="L84" s="9">
        <f t="shared" si="51"/>
        <v>-14.306049822064049</v>
      </c>
      <c r="M84" s="5"/>
      <c r="N84" s="5">
        <v>2010</v>
      </c>
      <c r="O84" s="5" t="s">
        <v>43</v>
      </c>
      <c r="P84" s="9">
        <f>(C84/C72-1)*100</f>
        <v>-4.5943304007820203</v>
      </c>
      <c r="Q84" s="9">
        <f t="shared" ref="Q84:R84" si="52">(D84/D72-1)*100</f>
        <v>-5.2313883299798807</v>
      </c>
      <c r="R84" s="9">
        <f t="shared" si="52"/>
        <v>-1.0682004930156141</v>
      </c>
    </row>
    <row r="85" spans="1:18" x14ac:dyDescent="0.25">
      <c r="A85">
        <v>2010</v>
      </c>
      <c r="B85" t="s">
        <v>44</v>
      </c>
      <c r="C85">
        <v>106</v>
      </c>
      <c r="D85">
        <v>101.6</v>
      </c>
      <c r="E85">
        <v>135.80000000000001</v>
      </c>
      <c r="H85" s="5">
        <v>2010</v>
      </c>
      <c r="I85" s="5" t="s">
        <v>44</v>
      </c>
      <c r="J85" s="9">
        <f t="shared" si="49"/>
        <v>8.6065573770491852</v>
      </c>
      <c r="K85" s="9">
        <f t="shared" si="50"/>
        <v>7.8556263269639048</v>
      </c>
      <c r="L85" s="9">
        <f t="shared" si="51"/>
        <v>12.790697674418606</v>
      </c>
      <c r="M85" s="5"/>
      <c r="N85" s="5">
        <v>2010</v>
      </c>
      <c r="O85" s="5" t="s">
        <v>44</v>
      </c>
      <c r="P85" s="9">
        <f t="shared" ref="P85:P87" si="53">(C85/C73-1)*100</f>
        <v>0.85632730732636553</v>
      </c>
      <c r="Q85" s="9">
        <f t="shared" ref="Q85:Q87" si="54">(D85/D73-1)*100</f>
        <v>9.8522167487669066E-2</v>
      </c>
      <c r="R85" s="9">
        <f t="shared" ref="R85:R87" si="55">(E85/E73-1)*100</f>
        <v>4.9459041731066522</v>
      </c>
    </row>
    <row r="86" spans="1:18" x14ac:dyDescent="0.25">
      <c r="A86">
        <v>2010</v>
      </c>
      <c r="B86" t="s">
        <v>45</v>
      </c>
      <c r="C86">
        <v>128.80000000000001</v>
      </c>
      <c r="D86">
        <v>124.5</v>
      </c>
      <c r="E86">
        <v>157.6</v>
      </c>
      <c r="H86" s="5">
        <v>2010</v>
      </c>
      <c r="I86" s="5" t="s">
        <v>45</v>
      </c>
      <c r="J86" s="9">
        <f t="shared" si="49"/>
        <v>21.509433962264168</v>
      </c>
      <c r="K86" s="9">
        <f t="shared" si="50"/>
        <v>22.539370078740163</v>
      </c>
      <c r="L86" s="9">
        <f t="shared" si="51"/>
        <v>16.053019145802637</v>
      </c>
      <c r="M86" s="5"/>
      <c r="N86" s="5">
        <v>2010</v>
      </c>
      <c r="O86" s="5" t="s">
        <v>45</v>
      </c>
      <c r="P86" s="9">
        <f t="shared" si="53"/>
        <v>5.8340180772391115</v>
      </c>
      <c r="Q86" s="9">
        <f t="shared" si="54"/>
        <v>5.1520270270270174</v>
      </c>
      <c r="R86" s="9">
        <f t="shared" si="55"/>
        <v>9.6729297146833648</v>
      </c>
    </row>
    <row r="87" spans="1:18" x14ac:dyDescent="0.25">
      <c r="A87">
        <v>2010</v>
      </c>
      <c r="B87" t="s">
        <v>46</v>
      </c>
      <c r="C87">
        <v>113.6</v>
      </c>
      <c r="D87">
        <v>109.2</v>
      </c>
      <c r="E87">
        <v>143.30000000000001</v>
      </c>
      <c r="H87" s="5">
        <v>2010</v>
      </c>
      <c r="I87" s="5" t="s">
        <v>46</v>
      </c>
      <c r="J87" s="9">
        <f t="shared" si="49"/>
        <v>-11.801242236024855</v>
      </c>
      <c r="K87" s="9">
        <f t="shared" si="50"/>
        <v>-12.289156626506026</v>
      </c>
      <c r="L87" s="9">
        <f t="shared" si="51"/>
        <v>-9.0736040609136985</v>
      </c>
      <c r="M87" s="5"/>
      <c r="N87" s="5">
        <v>2010</v>
      </c>
      <c r="O87" s="5" t="s">
        <v>46</v>
      </c>
      <c r="P87" s="9">
        <f t="shared" si="53"/>
        <v>-1.9844693701466909</v>
      </c>
      <c r="Q87" s="9">
        <f t="shared" si="54"/>
        <v>-2.8469750889679735</v>
      </c>
      <c r="R87" s="9">
        <f t="shared" si="55"/>
        <v>2.6504297994269566</v>
      </c>
    </row>
    <row r="89" spans="1:18" x14ac:dyDescent="0.25">
      <c r="A89" s="1" t="s">
        <v>203</v>
      </c>
    </row>
    <row r="91" spans="1:18" x14ac:dyDescent="0.25">
      <c r="A91" t="s">
        <v>55</v>
      </c>
      <c r="B91">
        <v>2007</v>
      </c>
      <c r="C91">
        <v>2008</v>
      </c>
      <c r="D91">
        <v>2009</v>
      </c>
      <c r="E91">
        <v>2010</v>
      </c>
    </row>
    <row r="92" spans="1:18" x14ac:dyDescent="0.25">
      <c r="A92" t="s">
        <v>56</v>
      </c>
      <c r="B92">
        <v>7303</v>
      </c>
      <c r="C92">
        <v>7182</v>
      </c>
      <c r="D92">
        <v>6972</v>
      </c>
      <c r="E92">
        <v>6810</v>
      </c>
    </row>
    <row r="93" spans="1:18" x14ac:dyDescent="0.25">
      <c r="A93" t="s">
        <v>58</v>
      </c>
      <c r="B93">
        <v>5495</v>
      </c>
      <c r="C93">
        <v>5524</v>
      </c>
      <c r="D93">
        <v>5011</v>
      </c>
      <c r="E93">
        <v>4952</v>
      </c>
    </row>
    <row r="94" spans="1:18" x14ac:dyDescent="0.25">
      <c r="A94" t="s">
        <v>57</v>
      </c>
      <c r="B94">
        <v>5718</v>
      </c>
      <c r="C94">
        <v>5819</v>
      </c>
      <c r="D94">
        <v>5896</v>
      </c>
      <c r="E94">
        <v>5912</v>
      </c>
    </row>
    <row r="95" spans="1:18" x14ac:dyDescent="0.25">
      <c r="A95" t="s">
        <v>59</v>
      </c>
      <c r="B95">
        <v>7653</v>
      </c>
      <c r="C95">
        <v>7770</v>
      </c>
      <c r="D95">
        <v>7845</v>
      </c>
      <c r="E95">
        <v>7958</v>
      </c>
    </row>
    <row r="96" spans="1:18" x14ac:dyDescent="0.25">
      <c r="A96" t="s">
        <v>60</v>
      </c>
      <c r="B96">
        <v>1512</v>
      </c>
      <c r="C96">
        <v>1569</v>
      </c>
      <c r="D96">
        <v>1826</v>
      </c>
      <c r="E96">
        <v>1877</v>
      </c>
    </row>
    <row r="97" spans="1:5" x14ac:dyDescent="0.25">
      <c r="A97" t="s">
        <v>61</v>
      </c>
      <c r="B97">
        <v>711</v>
      </c>
      <c r="C97">
        <v>715</v>
      </c>
      <c r="D97">
        <v>707</v>
      </c>
      <c r="E97">
        <v>703</v>
      </c>
    </row>
    <row r="98" spans="1:5" x14ac:dyDescent="0.25">
      <c r="A98" t="s">
        <v>62</v>
      </c>
      <c r="B98">
        <v>5785</v>
      </c>
      <c r="C98">
        <v>5944</v>
      </c>
      <c r="D98">
        <v>6106</v>
      </c>
      <c r="E98">
        <v>6253</v>
      </c>
    </row>
    <row r="99" spans="1:5" x14ac:dyDescent="0.25">
      <c r="A99" t="s">
        <v>63</v>
      </c>
      <c r="B99">
        <v>96</v>
      </c>
      <c r="C99">
        <v>110</v>
      </c>
      <c r="D99">
        <v>138</v>
      </c>
      <c r="E99">
        <v>127</v>
      </c>
    </row>
    <row r="100" spans="1:5" x14ac:dyDescent="0.25">
      <c r="A100" t="s">
        <v>14</v>
      </c>
    </row>
    <row r="102" spans="1:5" x14ac:dyDescent="0.25">
      <c r="A102" s="1" t="s">
        <v>204</v>
      </c>
    </row>
    <row r="104" spans="1:5" x14ac:dyDescent="0.25">
      <c r="A104" t="s">
        <v>55</v>
      </c>
      <c r="B104">
        <v>2007</v>
      </c>
      <c r="C104">
        <v>2008</v>
      </c>
      <c r="D104">
        <v>2009</v>
      </c>
      <c r="E104">
        <v>2010</v>
      </c>
    </row>
    <row r="105" spans="1:5" x14ac:dyDescent="0.25">
      <c r="A105" t="s">
        <v>56</v>
      </c>
      <c r="B105">
        <v>46513</v>
      </c>
      <c r="C105">
        <v>45801</v>
      </c>
      <c r="D105">
        <v>43713</v>
      </c>
      <c r="E105">
        <v>42974</v>
      </c>
    </row>
    <row r="106" spans="1:5" x14ac:dyDescent="0.25">
      <c r="A106" t="s">
        <v>58</v>
      </c>
      <c r="B106">
        <v>54112</v>
      </c>
      <c r="C106">
        <v>55244</v>
      </c>
      <c r="D106">
        <v>50332</v>
      </c>
      <c r="E106">
        <v>49871</v>
      </c>
    </row>
    <row r="107" spans="1:5" x14ac:dyDescent="0.25">
      <c r="A107" t="s">
        <v>57</v>
      </c>
      <c r="B107">
        <v>62253</v>
      </c>
      <c r="C107">
        <v>63962</v>
      </c>
      <c r="D107">
        <v>65070</v>
      </c>
      <c r="E107">
        <v>65044</v>
      </c>
    </row>
    <row r="108" spans="1:5" x14ac:dyDescent="0.25">
      <c r="A108" t="s">
        <v>59</v>
      </c>
      <c r="B108">
        <v>91394</v>
      </c>
      <c r="C108">
        <v>92275</v>
      </c>
      <c r="D108">
        <v>92470</v>
      </c>
      <c r="E108">
        <v>93169</v>
      </c>
    </row>
    <row r="109" spans="1:5" x14ac:dyDescent="0.25">
      <c r="A109" t="s">
        <v>60</v>
      </c>
      <c r="B109">
        <v>20033</v>
      </c>
      <c r="C109">
        <v>20822</v>
      </c>
      <c r="D109">
        <v>23993</v>
      </c>
      <c r="E109">
        <v>24681</v>
      </c>
    </row>
    <row r="110" spans="1:5" x14ac:dyDescent="0.25">
      <c r="A110" t="s">
        <v>61</v>
      </c>
      <c r="B110">
        <v>7286</v>
      </c>
      <c r="C110">
        <v>7354</v>
      </c>
      <c r="D110">
        <v>7323</v>
      </c>
      <c r="E110">
        <v>7364</v>
      </c>
    </row>
    <row r="111" spans="1:5" x14ac:dyDescent="0.25">
      <c r="A111" t="s">
        <v>62</v>
      </c>
      <c r="B111">
        <v>76604</v>
      </c>
      <c r="C111">
        <v>78728</v>
      </c>
      <c r="D111">
        <v>80388</v>
      </c>
      <c r="E111">
        <v>81854</v>
      </c>
    </row>
    <row r="112" spans="1:5" x14ac:dyDescent="0.25">
      <c r="A112" t="s">
        <v>63</v>
      </c>
      <c r="B112">
        <v>1797</v>
      </c>
      <c r="C112">
        <v>1797</v>
      </c>
      <c r="D112">
        <v>2084</v>
      </c>
      <c r="E112">
        <v>1601</v>
      </c>
    </row>
    <row r="113" spans="1:20" x14ac:dyDescent="0.25">
      <c r="A113" t="s">
        <v>14</v>
      </c>
    </row>
    <row r="115" spans="1:20" x14ac:dyDescent="0.25">
      <c r="A115" s="1" t="s">
        <v>66</v>
      </c>
      <c r="H115" s="7" t="s">
        <v>198</v>
      </c>
      <c r="I115" s="5"/>
      <c r="J115" s="5"/>
      <c r="K115" s="5"/>
      <c r="L115" s="5"/>
      <c r="M115" s="5"/>
      <c r="O115" s="7" t="s">
        <v>199</v>
      </c>
      <c r="P115" s="5"/>
      <c r="Q115" s="5"/>
      <c r="R115" s="5"/>
      <c r="S115" s="5"/>
      <c r="T115" s="5"/>
    </row>
    <row r="116" spans="1:20" x14ac:dyDescent="0.25">
      <c r="B116" t="s">
        <v>196</v>
      </c>
      <c r="H116" s="5"/>
      <c r="I116" s="5" t="s">
        <v>196</v>
      </c>
      <c r="J116" s="5"/>
      <c r="K116" s="5"/>
      <c r="L116" s="5"/>
      <c r="M116" s="5"/>
      <c r="O116" s="5"/>
      <c r="P116" s="5" t="s">
        <v>201</v>
      </c>
      <c r="Q116" s="5"/>
      <c r="R116" s="5"/>
      <c r="S116" s="5"/>
      <c r="T116" s="5"/>
    </row>
    <row r="117" spans="1:20" x14ac:dyDescent="0.25">
      <c r="A117" t="s">
        <v>197</v>
      </c>
      <c r="B117">
        <v>1</v>
      </c>
      <c r="C117">
        <v>2</v>
      </c>
      <c r="D117">
        <v>3</v>
      </c>
      <c r="E117">
        <v>4</v>
      </c>
      <c r="F117" t="s">
        <v>67</v>
      </c>
      <c r="H117" s="5" t="s">
        <v>197</v>
      </c>
      <c r="I117" s="5">
        <v>1</v>
      </c>
      <c r="J117" s="5">
        <v>2</v>
      </c>
      <c r="K117" s="5">
        <v>3</v>
      </c>
      <c r="L117" s="5">
        <v>4</v>
      </c>
      <c r="M117" s="5" t="s">
        <v>67</v>
      </c>
      <c r="O117" s="5" t="s">
        <v>196</v>
      </c>
      <c r="P117" s="5">
        <v>1</v>
      </c>
      <c r="Q117" s="5">
        <v>2</v>
      </c>
      <c r="R117" s="5">
        <v>3</v>
      </c>
      <c r="S117" s="5">
        <v>4</v>
      </c>
      <c r="T117" s="5" t="s">
        <v>202</v>
      </c>
    </row>
    <row r="118" spans="1:20" x14ac:dyDescent="0.25">
      <c r="A118">
        <v>1</v>
      </c>
      <c r="B118">
        <v>400</v>
      </c>
      <c r="C118">
        <v>50</v>
      </c>
      <c r="D118">
        <v>50</v>
      </c>
      <c r="E118">
        <v>0</v>
      </c>
      <c r="F118" s="5">
        <f>SUM(B118:E118)</f>
        <v>500</v>
      </c>
      <c r="H118" s="5">
        <v>1</v>
      </c>
      <c r="I118" s="5">
        <f>B118/$F118</f>
        <v>0.8</v>
      </c>
      <c r="J118" s="5">
        <f t="shared" ref="J118:L121" si="56">C118/$F118</f>
        <v>0.1</v>
      </c>
      <c r="K118" s="5">
        <f t="shared" si="56"/>
        <v>0.1</v>
      </c>
      <c r="L118" s="5">
        <f t="shared" si="56"/>
        <v>0</v>
      </c>
      <c r="M118" s="5">
        <f>SUM(I118:L118)</f>
        <v>1</v>
      </c>
      <c r="O118" s="5">
        <v>1</v>
      </c>
      <c r="P118" s="5">
        <f>I118*$B$122</f>
        <v>320</v>
      </c>
      <c r="Q118" s="5">
        <f t="shared" ref="Q118:S118" si="57">J118*$B$122</f>
        <v>40</v>
      </c>
      <c r="R118" s="5">
        <f t="shared" si="57"/>
        <v>40</v>
      </c>
      <c r="S118" s="5">
        <f t="shared" si="57"/>
        <v>0</v>
      </c>
      <c r="T118" s="5">
        <f>SUM(P118:S118)</f>
        <v>400</v>
      </c>
    </row>
    <row r="119" spans="1:20" x14ac:dyDescent="0.25">
      <c r="A119">
        <v>2</v>
      </c>
      <c r="B119">
        <v>0</v>
      </c>
      <c r="C119">
        <v>270</v>
      </c>
      <c r="D119">
        <v>30</v>
      </c>
      <c r="E119">
        <v>0</v>
      </c>
      <c r="F119" s="5">
        <f t="shared" ref="F119:F121" si="58">SUM(B119:E119)</f>
        <v>300</v>
      </c>
      <c r="H119" s="5">
        <v>2</v>
      </c>
      <c r="I119" s="5">
        <f t="shared" ref="I119:I121" si="59">B119/$F119</f>
        <v>0</v>
      </c>
      <c r="J119" s="5">
        <f t="shared" si="56"/>
        <v>0.9</v>
      </c>
      <c r="K119" s="5">
        <f t="shared" si="56"/>
        <v>0.1</v>
      </c>
      <c r="L119" s="5">
        <f t="shared" si="56"/>
        <v>0</v>
      </c>
      <c r="M119" s="5">
        <f t="shared" ref="M119:M121" si="60">SUM(I119:L119)</f>
        <v>1</v>
      </c>
      <c r="O119" s="5">
        <v>2</v>
      </c>
      <c r="P119" s="5">
        <f>I119*$C$122</f>
        <v>0</v>
      </c>
      <c r="Q119" s="5">
        <f t="shared" ref="Q119:S119" si="61">J119*$C$122</f>
        <v>288</v>
      </c>
      <c r="R119" s="5">
        <f t="shared" si="61"/>
        <v>32</v>
      </c>
      <c r="S119" s="5">
        <f t="shared" si="61"/>
        <v>0</v>
      </c>
      <c r="T119" s="5">
        <f t="shared" ref="T119:T121" si="62">SUM(P119:S119)</f>
        <v>320</v>
      </c>
    </row>
    <row r="120" spans="1:20" x14ac:dyDescent="0.25">
      <c r="A120">
        <v>3</v>
      </c>
      <c r="B120">
        <v>0</v>
      </c>
      <c r="C120">
        <v>0</v>
      </c>
      <c r="D120">
        <v>70</v>
      </c>
      <c r="E120">
        <v>30</v>
      </c>
      <c r="F120" s="5">
        <f t="shared" si="58"/>
        <v>100</v>
      </c>
      <c r="H120" s="5">
        <v>3</v>
      </c>
      <c r="I120" s="5">
        <f t="shared" si="59"/>
        <v>0</v>
      </c>
      <c r="J120" s="5">
        <f t="shared" si="56"/>
        <v>0</v>
      </c>
      <c r="K120" s="5">
        <f t="shared" si="56"/>
        <v>0.7</v>
      </c>
      <c r="L120" s="5">
        <f t="shared" si="56"/>
        <v>0.3</v>
      </c>
      <c r="M120" s="5">
        <f t="shared" si="60"/>
        <v>1</v>
      </c>
      <c r="O120" s="5">
        <v>3</v>
      </c>
      <c r="P120" s="5">
        <f>I120*$D$122</f>
        <v>0</v>
      </c>
      <c r="Q120" s="5">
        <f t="shared" ref="Q120:S120" si="63">J120*$D$122</f>
        <v>0</v>
      </c>
      <c r="R120" s="5">
        <f t="shared" si="63"/>
        <v>105</v>
      </c>
      <c r="S120" s="5">
        <f t="shared" si="63"/>
        <v>45</v>
      </c>
      <c r="T120" s="5">
        <f t="shared" si="62"/>
        <v>150</v>
      </c>
    </row>
    <row r="121" spans="1:20" x14ac:dyDescent="0.25">
      <c r="A121">
        <v>4</v>
      </c>
      <c r="B121">
        <v>0</v>
      </c>
      <c r="C121">
        <v>0</v>
      </c>
      <c r="D121">
        <v>0</v>
      </c>
      <c r="E121">
        <v>25</v>
      </c>
      <c r="F121" s="5">
        <f t="shared" si="58"/>
        <v>25</v>
      </c>
      <c r="H121" s="5">
        <v>4</v>
      </c>
      <c r="I121" s="5">
        <f t="shared" si="59"/>
        <v>0</v>
      </c>
      <c r="J121" s="5">
        <f t="shared" si="56"/>
        <v>0</v>
      </c>
      <c r="K121" s="5">
        <f t="shared" si="56"/>
        <v>0</v>
      </c>
      <c r="L121" s="5">
        <f t="shared" si="56"/>
        <v>1</v>
      </c>
      <c r="M121" s="5">
        <f t="shared" si="60"/>
        <v>1</v>
      </c>
      <c r="O121" s="5">
        <v>4</v>
      </c>
      <c r="P121" s="5">
        <f>I121*$E$122</f>
        <v>0</v>
      </c>
      <c r="Q121" s="5">
        <f t="shared" ref="Q121:S121" si="64">J121*$E$122</f>
        <v>0</v>
      </c>
      <c r="R121" s="5">
        <f t="shared" si="64"/>
        <v>0</v>
      </c>
      <c r="S121" s="5">
        <f t="shared" si="64"/>
        <v>55</v>
      </c>
      <c r="T121" s="5">
        <f t="shared" si="62"/>
        <v>55</v>
      </c>
    </row>
    <row r="122" spans="1:20" x14ac:dyDescent="0.25">
      <c r="A122" t="s">
        <v>68</v>
      </c>
      <c r="B122" s="5">
        <f>SUM(B118:B121)</f>
        <v>400</v>
      </c>
      <c r="C122" s="5">
        <f t="shared" ref="C122:E122" si="65">SUM(C118:C121)</f>
        <v>320</v>
      </c>
      <c r="D122" s="5">
        <f t="shared" si="65"/>
        <v>150</v>
      </c>
      <c r="E122" s="5">
        <f t="shared" si="65"/>
        <v>55</v>
      </c>
      <c r="H122" s="5" t="s">
        <v>68</v>
      </c>
      <c r="I122" s="5"/>
      <c r="J122" s="5"/>
      <c r="K122" s="5"/>
      <c r="L122" s="5"/>
      <c r="M122" s="5"/>
      <c r="O122" s="5" t="s">
        <v>200</v>
      </c>
      <c r="P122" s="5"/>
      <c r="Q122" s="5"/>
      <c r="R122" s="5"/>
      <c r="S122" s="5"/>
      <c r="T122" s="5"/>
    </row>
    <row r="124" spans="1:20" x14ac:dyDescent="0.25">
      <c r="A124" s="1" t="s">
        <v>69</v>
      </c>
    </row>
    <row r="126" spans="1:20" x14ac:dyDescent="0.25">
      <c r="A126" t="s">
        <v>6</v>
      </c>
      <c r="B126" t="s">
        <v>70</v>
      </c>
      <c r="C126" t="s">
        <v>71</v>
      </c>
      <c r="D126" t="s">
        <v>72</v>
      </c>
      <c r="E126" t="s">
        <v>73</v>
      </c>
    </row>
    <row r="127" spans="1:20" x14ac:dyDescent="0.25">
      <c r="A127">
        <v>2001</v>
      </c>
      <c r="B127">
        <v>8</v>
      </c>
      <c r="C127">
        <v>15</v>
      </c>
      <c r="D127">
        <v>253</v>
      </c>
    </row>
    <row r="128" spans="1:20" x14ac:dyDescent="0.25">
      <c r="A128">
        <v>2002</v>
      </c>
      <c r="B128">
        <v>12</v>
      </c>
      <c r="C128">
        <v>10</v>
      </c>
    </row>
    <row r="129" spans="1:6" x14ac:dyDescent="0.25">
      <c r="A129">
        <v>2003</v>
      </c>
      <c r="B129">
        <v>10</v>
      </c>
      <c r="C129">
        <v>15</v>
      </c>
    </row>
    <row r="130" spans="1:6" x14ac:dyDescent="0.25">
      <c r="A130">
        <v>2004</v>
      </c>
      <c r="B130">
        <v>11</v>
      </c>
      <c r="C130">
        <v>10</v>
      </c>
    </row>
    <row r="131" spans="1:6" x14ac:dyDescent="0.25">
      <c r="A131">
        <v>2005</v>
      </c>
      <c r="B131">
        <v>15</v>
      </c>
      <c r="C131">
        <v>10</v>
      </c>
    </row>
    <row r="132" spans="1:6" x14ac:dyDescent="0.25">
      <c r="A132">
        <v>2006</v>
      </c>
      <c r="B132">
        <v>15</v>
      </c>
      <c r="C132">
        <v>11</v>
      </c>
    </row>
    <row r="133" spans="1:6" x14ac:dyDescent="0.25">
      <c r="A133">
        <v>2007</v>
      </c>
      <c r="B133">
        <v>9</v>
      </c>
      <c r="C133">
        <v>9</v>
      </c>
    </row>
    <row r="134" spans="1:6" x14ac:dyDescent="0.25">
      <c r="A134">
        <v>2008</v>
      </c>
      <c r="B134">
        <v>9</v>
      </c>
      <c r="C134">
        <v>10</v>
      </c>
    </row>
    <row r="135" spans="1:6" x14ac:dyDescent="0.25">
      <c r="A135">
        <v>2009</v>
      </c>
      <c r="B135">
        <v>7</v>
      </c>
      <c r="C135">
        <v>8</v>
      </c>
    </row>
    <row r="136" spans="1:6" x14ac:dyDescent="0.25">
      <c r="A136">
        <v>2010</v>
      </c>
      <c r="B136">
        <v>6</v>
      </c>
      <c r="C136">
        <v>10</v>
      </c>
    </row>
    <row r="138" spans="1:6" x14ac:dyDescent="0.25">
      <c r="A138" s="1" t="s">
        <v>74</v>
      </c>
    </row>
    <row r="140" spans="1:6" x14ac:dyDescent="0.25">
      <c r="B140">
        <v>2005</v>
      </c>
      <c r="C140">
        <v>2006</v>
      </c>
      <c r="D140">
        <v>2007</v>
      </c>
      <c r="E140">
        <v>2008</v>
      </c>
      <c r="F140">
        <v>2009</v>
      </c>
    </row>
    <row r="141" spans="1:6" x14ac:dyDescent="0.25">
      <c r="A141" t="s">
        <v>75</v>
      </c>
      <c r="B141">
        <v>25</v>
      </c>
      <c r="C141">
        <v>26.08</v>
      </c>
      <c r="D141">
        <v>27.97</v>
      </c>
      <c r="E141">
        <v>30.3</v>
      </c>
      <c r="F141">
        <v>31.02</v>
      </c>
    </row>
    <row r="142" spans="1:6" x14ac:dyDescent="0.25">
      <c r="A142" t="s">
        <v>76</v>
      </c>
      <c r="B142">
        <v>100</v>
      </c>
      <c r="C142">
        <v>102.6</v>
      </c>
      <c r="D142">
        <v>107.3</v>
      </c>
      <c r="E142">
        <v>115</v>
      </c>
      <c r="F142">
        <v>116.6</v>
      </c>
    </row>
    <row r="143" spans="1:6" x14ac:dyDescent="0.25">
      <c r="A143" t="s">
        <v>77</v>
      </c>
    </row>
    <row r="144" spans="1:6" x14ac:dyDescent="0.25">
      <c r="A144" t="s">
        <v>78</v>
      </c>
    </row>
    <row r="145" spans="1:1" x14ac:dyDescent="0.25">
      <c r="A145" t="s">
        <v>79</v>
      </c>
    </row>
  </sheetData>
  <pageMargins left="0.7" right="0.7" top="0.75" bottom="0.75" header="0.3" footer="0.3"/>
  <pageSetup paperSize="9" orientation="portrait" verticalDpi="0" r:id="rId1"/>
  <headerFooter>
    <oddFooter xml:space="preserve">&amp;C&amp;"arial,Regular"&amp;8&amp;K990000Internal&amp;8&amp;K000000
</oddFooter>
    <evenFooter xml:space="preserve">&amp;C&amp;"arial,Regular"&amp;8&amp;K990000Internal&amp;8&amp;K000000
</evenFooter>
    <firstFooter xml:space="preserve">&amp;C&amp;"arial,Regular"&amp;8&amp;K990000Internal&amp;8&amp;K000000
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1:AA89"/>
  <sheetViews>
    <sheetView workbookViewId="0">
      <selection activeCell="U13" sqref="U13"/>
    </sheetView>
  </sheetViews>
  <sheetFormatPr defaultRowHeight="15" x14ac:dyDescent="0.25"/>
  <cols>
    <col min="9" max="9" width="9" customWidth="1"/>
    <col min="19" max="19" width="12.7109375" bestFit="1" customWidth="1"/>
    <col min="23" max="23" width="10.42578125" customWidth="1"/>
  </cols>
  <sheetData>
    <row r="1" spans="1:27" x14ac:dyDescent="0.25">
      <c r="A1" s="1" t="s">
        <v>80</v>
      </c>
      <c r="F1" s="7" t="s">
        <v>205</v>
      </c>
    </row>
    <row r="2" spans="1:27" x14ac:dyDescent="0.25"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7" x14ac:dyDescent="0.25">
      <c r="A3" t="s">
        <v>81</v>
      </c>
      <c r="B3" t="s">
        <v>82</v>
      </c>
      <c r="C3" t="s">
        <v>83</v>
      </c>
      <c r="F3" s="5" t="s">
        <v>206</v>
      </c>
      <c r="G3" s="5" t="s">
        <v>207</v>
      </c>
      <c r="H3" s="5" t="s">
        <v>208</v>
      </c>
      <c r="I3" s="5" t="s">
        <v>209</v>
      </c>
      <c r="J3" s="5" t="s">
        <v>211</v>
      </c>
      <c r="K3" s="7" t="s">
        <v>210</v>
      </c>
      <c r="L3" s="5"/>
      <c r="M3" s="5" t="s">
        <v>212</v>
      </c>
      <c r="N3" s="5" t="s">
        <v>213</v>
      </c>
      <c r="O3" s="5" t="s">
        <v>214</v>
      </c>
      <c r="P3" s="7" t="s">
        <v>210</v>
      </c>
      <c r="Q3" s="5"/>
      <c r="R3" s="5" t="s">
        <v>215</v>
      </c>
      <c r="S3" s="5" t="s">
        <v>216</v>
      </c>
      <c r="T3" s="7" t="s">
        <v>219</v>
      </c>
      <c r="U3" s="5"/>
      <c r="V3" s="5" t="s">
        <v>218</v>
      </c>
      <c r="W3" s="7" t="s">
        <v>217</v>
      </c>
    </row>
    <row r="4" spans="1:27" x14ac:dyDescent="0.25">
      <c r="A4" t="s">
        <v>85</v>
      </c>
      <c r="B4">
        <v>3557.7</v>
      </c>
      <c r="C4">
        <v>29.61</v>
      </c>
      <c r="F4" s="5">
        <f>SUM(B4:B25)/COUNT(B4:B25)</f>
        <v>3569.3954545454549</v>
      </c>
      <c r="G4" s="5">
        <f>SUM(C4:C25)/COUNT(C4:C25)</f>
        <v>29.65545454545455</v>
      </c>
      <c r="H4" s="5">
        <f>B4-F$4</f>
        <v>-11.69545454545505</v>
      </c>
      <c r="I4" s="5">
        <f>C4-G$4</f>
        <v>-4.5454545454550299E-2</v>
      </c>
      <c r="J4" s="5">
        <f>H4*I4</f>
        <v>0.53161157024801342</v>
      </c>
      <c r="K4" s="5">
        <f>SUM(J4:J25)/(COUNT(J4:J25))</f>
        <v>500.71920661157031</v>
      </c>
      <c r="L4" s="5"/>
      <c r="M4" s="5">
        <f>B4*C4</f>
        <v>105343.49699999999</v>
      </c>
      <c r="N4" s="5">
        <f>SUM(M4:M25)/COUNT(M4:M25)</f>
        <v>106352.76386363637</v>
      </c>
      <c r="O4" s="5">
        <f>F4*G4</f>
        <v>105852.04465702482</v>
      </c>
      <c r="P4" s="5">
        <f>N4-O4</f>
        <v>500.71920661155309</v>
      </c>
      <c r="Q4" s="5"/>
      <c r="R4" s="5">
        <f>_xlfn.VAR.P(B4:B25)</f>
        <v>92528.66225206606</v>
      </c>
      <c r="S4" s="5">
        <f>_xlfn.VAR.P(C4:C25)</f>
        <v>3.4172247933884323</v>
      </c>
      <c r="T4" s="5">
        <f>P4/(SQRT(R4)*SQRT(S4))</f>
        <v>0.89047008563283914</v>
      </c>
      <c r="U4" s="5"/>
      <c r="V4" s="5">
        <f>SQRT((COUNT(B4:B25)-2)/(1-T4^2))</f>
        <v>9.8279676659405357</v>
      </c>
      <c r="W4" s="5">
        <f>T4*V4</f>
        <v>8.7515112090868428</v>
      </c>
    </row>
    <row r="5" spans="1:27" x14ac:dyDescent="0.25">
      <c r="A5" t="s">
        <v>86</v>
      </c>
      <c r="B5">
        <v>3296.4</v>
      </c>
      <c r="C5">
        <v>27.83</v>
      </c>
      <c r="F5" s="5"/>
      <c r="G5" s="5"/>
      <c r="H5" s="5">
        <f t="shared" ref="H5:I25" si="0">B5-F$4</f>
        <v>-272.99545454545478</v>
      </c>
      <c r="I5" s="5">
        <f t="shared" si="0"/>
        <v>-1.8254545454545514</v>
      </c>
      <c r="J5" s="5">
        <f t="shared" ref="J5:J25" si="1">H5*I5</f>
        <v>498.34079338843179</v>
      </c>
      <c r="K5" s="5"/>
      <c r="L5" s="5"/>
      <c r="M5" s="5">
        <f t="shared" ref="M5:M25" si="2">B5*C5</f>
        <v>91738.811999999991</v>
      </c>
      <c r="N5" s="5"/>
      <c r="O5" s="5"/>
      <c r="P5" s="5"/>
      <c r="Q5" s="5"/>
      <c r="R5" s="5"/>
      <c r="S5" s="5"/>
      <c r="T5" s="5"/>
      <c r="U5" s="5"/>
    </row>
    <row r="6" spans="1:27" x14ac:dyDescent="0.25">
      <c r="A6" t="s">
        <v>87</v>
      </c>
      <c r="B6">
        <v>3437.1</v>
      </c>
      <c r="C6">
        <v>28.39</v>
      </c>
      <c r="F6" s="5"/>
      <c r="G6" s="5"/>
      <c r="H6" s="5">
        <f t="shared" si="0"/>
        <v>-132.29545454545496</v>
      </c>
      <c r="I6" s="5">
        <f t="shared" si="0"/>
        <v>-1.2654545454545492</v>
      </c>
      <c r="J6" s="5">
        <f t="shared" si="1"/>
        <v>167.41388429752166</v>
      </c>
      <c r="K6" s="5"/>
      <c r="L6" s="5"/>
      <c r="M6" s="5">
        <f t="shared" si="2"/>
        <v>97579.269</v>
      </c>
      <c r="N6" s="5"/>
      <c r="O6" s="5"/>
      <c r="P6" s="5"/>
      <c r="Q6" s="5"/>
      <c r="R6" s="5"/>
      <c r="S6" s="5"/>
      <c r="T6" s="5"/>
      <c r="U6" s="5"/>
    </row>
    <row r="7" spans="1:27" x14ac:dyDescent="0.25">
      <c r="A7" t="s">
        <v>88</v>
      </c>
      <c r="B7">
        <v>3336.6</v>
      </c>
      <c r="C7">
        <v>29.17</v>
      </c>
      <c r="F7" s="5"/>
      <c r="G7" s="5"/>
      <c r="H7" s="5">
        <f t="shared" si="0"/>
        <v>-232.79545454545496</v>
      </c>
      <c r="I7" s="5">
        <f t="shared" si="0"/>
        <v>-0.48545454545454803</v>
      </c>
      <c r="J7" s="5">
        <f t="shared" si="1"/>
        <v>113.01161157024873</v>
      </c>
      <c r="K7" s="5"/>
      <c r="L7" s="5"/>
      <c r="M7" s="5">
        <f t="shared" si="2"/>
        <v>97328.622000000003</v>
      </c>
      <c r="N7" s="5"/>
      <c r="O7" s="5"/>
      <c r="P7" s="5"/>
      <c r="Q7" s="5"/>
      <c r="R7" s="5"/>
      <c r="S7" s="5"/>
      <c r="T7" s="5"/>
      <c r="U7" s="5"/>
    </row>
    <row r="8" spans="1:27" x14ac:dyDescent="0.25">
      <c r="A8" t="s">
        <v>84</v>
      </c>
      <c r="B8">
        <v>3618</v>
      </c>
      <c r="C8">
        <v>30.17</v>
      </c>
      <c r="F8" s="5"/>
      <c r="G8" s="5"/>
      <c r="H8" s="5">
        <f t="shared" si="0"/>
        <v>48.604545454545132</v>
      </c>
      <c r="I8" s="5">
        <f t="shared" si="0"/>
        <v>0.51454545454545197</v>
      </c>
      <c r="J8" s="5">
        <f t="shared" si="1"/>
        <v>25.009247933884005</v>
      </c>
      <c r="K8" s="5"/>
      <c r="L8" s="5"/>
      <c r="M8" s="5">
        <f t="shared" si="2"/>
        <v>109155.06000000001</v>
      </c>
      <c r="N8" s="5"/>
      <c r="O8" s="5"/>
      <c r="P8" s="5"/>
      <c r="Q8" s="5"/>
      <c r="R8" s="7" t="s">
        <v>220</v>
      </c>
      <c r="S8" s="5"/>
      <c r="T8" s="5"/>
      <c r="U8" s="5"/>
    </row>
    <row r="9" spans="1:27" x14ac:dyDescent="0.25">
      <c r="A9" t="s">
        <v>89</v>
      </c>
      <c r="B9">
        <v>3376.8</v>
      </c>
      <c r="C9">
        <v>30.28</v>
      </c>
      <c r="F9" s="5"/>
      <c r="G9" s="5"/>
      <c r="H9" s="5">
        <f t="shared" si="0"/>
        <v>-192.59545454545469</v>
      </c>
      <c r="I9" s="5">
        <f t="shared" si="0"/>
        <v>0.62454545454545141</v>
      </c>
      <c r="J9" s="5">
        <f t="shared" si="1"/>
        <v>-120.28461570247882</v>
      </c>
      <c r="K9" s="5"/>
      <c r="L9" s="5"/>
      <c r="M9" s="5">
        <f t="shared" si="2"/>
        <v>102249.50400000002</v>
      </c>
      <c r="N9" s="5"/>
      <c r="O9" s="5"/>
      <c r="P9" s="5"/>
      <c r="Q9" s="5"/>
      <c r="R9" s="5"/>
      <c r="S9" s="5"/>
      <c r="T9" s="5"/>
      <c r="U9" s="5"/>
    </row>
    <row r="10" spans="1:27" x14ac:dyDescent="0.25">
      <c r="A10" t="s">
        <v>90</v>
      </c>
      <c r="B10">
        <v>3195.9</v>
      </c>
      <c r="C10">
        <v>28.06</v>
      </c>
      <c r="F10" s="5"/>
      <c r="G10" s="5"/>
      <c r="H10" s="5">
        <f t="shared" si="0"/>
        <v>-373.49545454545478</v>
      </c>
      <c r="I10" s="5">
        <f t="shared" si="0"/>
        <v>-1.595454545454551</v>
      </c>
      <c r="J10" s="5">
        <f t="shared" si="1"/>
        <v>595.89502066115949</v>
      </c>
      <c r="K10" s="5"/>
      <c r="L10" s="5"/>
      <c r="M10" s="5">
        <f t="shared" si="2"/>
        <v>89676.953999999998</v>
      </c>
      <c r="N10" s="5"/>
      <c r="O10" s="5"/>
      <c r="P10" s="5"/>
      <c r="Q10" s="5"/>
      <c r="R10" s="5" t="s">
        <v>223</v>
      </c>
      <c r="S10" s="5"/>
      <c r="T10" s="5"/>
      <c r="U10" s="5"/>
      <c r="W10" s="5" t="s">
        <v>226</v>
      </c>
    </row>
    <row r="11" spans="1:27" x14ac:dyDescent="0.25">
      <c r="A11" t="s">
        <v>91</v>
      </c>
      <c r="B11">
        <v>4060.2</v>
      </c>
      <c r="C11">
        <v>33.28</v>
      </c>
      <c r="F11" s="5"/>
      <c r="G11" s="5"/>
      <c r="H11" s="5">
        <f t="shared" si="0"/>
        <v>490.80454545454495</v>
      </c>
      <c r="I11" s="5">
        <f t="shared" si="0"/>
        <v>3.6245454545454514</v>
      </c>
      <c r="J11" s="5">
        <f t="shared" si="1"/>
        <v>1778.9433842975172</v>
      </c>
      <c r="K11" s="5"/>
      <c r="L11" s="5"/>
      <c r="M11" s="5">
        <f t="shared" si="2"/>
        <v>135123.45600000001</v>
      </c>
      <c r="N11" s="5"/>
      <c r="O11" s="5"/>
      <c r="P11" s="5"/>
      <c r="Q11" s="5"/>
      <c r="R11" s="5"/>
      <c r="S11" s="5"/>
      <c r="T11" s="5"/>
      <c r="U11" s="5"/>
    </row>
    <row r="12" spans="1:27" x14ac:dyDescent="0.25">
      <c r="A12" t="s">
        <v>92</v>
      </c>
      <c r="B12">
        <v>3859.2</v>
      </c>
      <c r="C12">
        <v>29.28</v>
      </c>
      <c r="F12" s="5"/>
      <c r="G12" s="5"/>
      <c r="H12" s="5">
        <f t="shared" si="0"/>
        <v>289.80454545454495</v>
      </c>
      <c r="I12" s="5">
        <f t="shared" si="0"/>
        <v>-0.37545454545454859</v>
      </c>
      <c r="J12" s="5">
        <f t="shared" si="1"/>
        <v>-108.80843388429824</v>
      </c>
      <c r="K12" s="5"/>
      <c r="L12" s="5"/>
      <c r="M12" s="5">
        <f t="shared" si="2"/>
        <v>112997.376</v>
      </c>
      <c r="N12" s="5"/>
      <c r="O12" s="5"/>
      <c r="P12" s="5"/>
      <c r="Q12" s="5"/>
      <c r="S12" s="5" t="s">
        <v>224</v>
      </c>
      <c r="T12" s="5" t="s">
        <v>225</v>
      </c>
      <c r="U12" s="5" t="s">
        <v>232</v>
      </c>
      <c r="W12" s="5" t="s">
        <v>227</v>
      </c>
      <c r="X12" s="5" t="s">
        <v>229</v>
      </c>
      <c r="Y12" s="5" t="s">
        <v>228</v>
      </c>
      <c r="Z12" s="5" t="s">
        <v>230</v>
      </c>
      <c r="AA12" s="5" t="s">
        <v>231</v>
      </c>
    </row>
    <row r="13" spans="1:27" x14ac:dyDescent="0.25">
      <c r="A13" t="s">
        <v>93</v>
      </c>
      <c r="B13">
        <v>3658.2</v>
      </c>
      <c r="C13">
        <v>29.51</v>
      </c>
      <c r="F13" s="5"/>
      <c r="G13" s="5"/>
      <c r="H13" s="5">
        <f t="shared" si="0"/>
        <v>88.80454545454495</v>
      </c>
      <c r="I13" s="5">
        <f t="shared" si="0"/>
        <v>-0.14545454545454817</v>
      </c>
      <c r="J13" s="5">
        <f t="shared" si="1"/>
        <v>-12.917024793388597</v>
      </c>
      <c r="K13" s="5"/>
      <c r="L13" s="5"/>
      <c r="M13" s="5">
        <f t="shared" si="2"/>
        <v>107953.482</v>
      </c>
      <c r="N13" s="5"/>
      <c r="O13" s="5"/>
      <c r="P13" s="5"/>
      <c r="Q13" s="5"/>
      <c r="R13" s="5" t="s">
        <v>221</v>
      </c>
      <c r="S13" s="5">
        <f>G4-$S$14*F4</f>
        <v>10.339657509353163</v>
      </c>
      <c r="T13" s="5">
        <f>SQRT(Y13)*SQRT((SUM(Z13:Z34)/(COUNT(Z13:Z34)*SUM(AA13:AA34))))</f>
        <v>2.2151386545777916</v>
      </c>
      <c r="U13" s="5">
        <f>S13/T13</f>
        <v>4.6677247439952767</v>
      </c>
      <c r="W13" s="5">
        <f>C4-($S$13+$S$14*B4)</f>
        <v>1.7835451163019655E-2</v>
      </c>
      <c r="X13" s="5">
        <f>W13^2</f>
        <v>3.1810331818845917E-4</v>
      </c>
      <c r="Y13" s="5">
        <f>SUM(X13:X34)/(COUNT(X13:X34)-2)</f>
        <v>0.77833899909437254</v>
      </c>
      <c r="Z13" s="5">
        <f>(B4)^2</f>
        <v>12657229.289999999</v>
      </c>
      <c r="AA13" s="5">
        <f>(H4)^2</f>
        <v>136.78365702480519</v>
      </c>
    </row>
    <row r="14" spans="1:27" x14ac:dyDescent="0.25">
      <c r="A14" t="s">
        <v>94</v>
      </c>
      <c r="B14">
        <v>3678.3</v>
      </c>
      <c r="C14">
        <v>31.28</v>
      </c>
      <c r="F14" s="5"/>
      <c r="G14" s="5"/>
      <c r="H14" s="5">
        <f t="shared" si="0"/>
        <v>108.90454545454531</v>
      </c>
      <c r="I14" s="5">
        <f t="shared" si="0"/>
        <v>1.6245454545454514</v>
      </c>
      <c r="J14" s="5">
        <f t="shared" si="1"/>
        <v>176.92038429752009</v>
      </c>
      <c r="K14" s="5"/>
      <c r="L14" s="5"/>
      <c r="M14" s="5">
        <f t="shared" si="2"/>
        <v>115057.22400000002</v>
      </c>
      <c r="N14" s="5"/>
      <c r="O14" s="5"/>
      <c r="P14" s="5"/>
      <c r="Q14" s="5"/>
      <c r="R14" s="5" t="s">
        <v>222</v>
      </c>
      <c r="S14" s="5">
        <f>P4/R4</f>
        <v>5.4115037916304962E-3</v>
      </c>
      <c r="T14" s="5">
        <f>SQRT(Y13)*SQRT(1/SUM(AA13:AA34))</f>
        <v>6.1835078106406633E-4</v>
      </c>
      <c r="U14" s="5">
        <f>S14/T14</f>
        <v>8.7515112090879992</v>
      </c>
      <c r="W14" s="5">
        <f t="shared" ref="W14:W34" si="3">C5-($S$13+$S$14*B5)</f>
        <v>-0.34813860808393216</v>
      </c>
      <c r="X14" s="5">
        <f t="shared" ref="X14:X34" si="4">W14^2</f>
        <v>0.12120049043861771</v>
      </c>
      <c r="Z14" s="5">
        <f t="shared" ref="Z14:Z34" si="5">(B5)^2</f>
        <v>10866252.960000001</v>
      </c>
      <c r="AA14" s="5">
        <f t="shared" ref="AA14:AA34" si="6">(H5)^2</f>
        <v>74526.518202479463</v>
      </c>
    </row>
    <row r="15" spans="1:27" x14ac:dyDescent="0.25">
      <c r="A15" t="s">
        <v>95</v>
      </c>
      <c r="B15">
        <v>3825</v>
      </c>
      <c r="C15">
        <v>31.06</v>
      </c>
      <c r="F15" s="5"/>
      <c r="G15" s="5"/>
      <c r="H15" s="5">
        <f t="shared" si="0"/>
        <v>255.60454545454513</v>
      </c>
      <c r="I15" s="5">
        <f t="shared" si="0"/>
        <v>1.404545454545449</v>
      </c>
      <c r="J15" s="5">
        <f t="shared" si="1"/>
        <v>359.00820247933694</v>
      </c>
      <c r="K15" s="5"/>
      <c r="L15" s="5"/>
      <c r="M15" s="5">
        <f t="shared" si="2"/>
        <v>118804.5</v>
      </c>
      <c r="N15" s="5"/>
      <c r="O15" s="5"/>
      <c r="P15" s="5"/>
      <c r="Q15" s="5"/>
      <c r="R15" s="5"/>
      <c r="S15" s="5"/>
      <c r="T15" s="5"/>
      <c r="U15" s="5"/>
      <c r="W15" s="5">
        <f t="shared" si="3"/>
        <v>-0.54953719156634051</v>
      </c>
      <c r="X15" s="5">
        <f t="shared" si="4"/>
        <v>0.30199112491462082</v>
      </c>
      <c r="Z15" s="5">
        <f t="shared" si="5"/>
        <v>11813656.41</v>
      </c>
      <c r="AA15" s="5">
        <f t="shared" si="6"/>
        <v>17502.08729338854</v>
      </c>
    </row>
    <row r="16" spans="1:27" x14ac:dyDescent="0.25">
      <c r="A16" t="s">
        <v>96</v>
      </c>
      <c r="B16">
        <v>3396.9</v>
      </c>
      <c r="C16">
        <v>29.83</v>
      </c>
      <c r="F16" s="5"/>
      <c r="G16" s="5"/>
      <c r="H16" s="5">
        <f t="shared" si="0"/>
        <v>-172.49545454545478</v>
      </c>
      <c r="I16" s="5">
        <f t="shared" si="0"/>
        <v>0.17454545454544856</v>
      </c>
      <c r="J16" s="5">
        <f t="shared" si="1"/>
        <v>-30.108297520660166</v>
      </c>
      <c r="K16" s="5"/>
      <c r="L16" s="5"/>
      <c r="M16" s="5">
        <f t="shared" si="2"/>
        <v>101329.527</v>
      </c>
      <c r="N16" s="5"/>
      <c r="O16" s="5"/>
      <c r="P16" s="5"/>
      <c r="Q16" s="5"/>
      <c r="R16" s="5"/>
      <c r="S16" s="5"/>
      <c r="T16" s="5"/>
      <c r="U16" s="5"/>
      <c r="W16" s="5">
        <f t="shared" si="3"/>
        <v>0.77431893949252384</v>
      </c>
      <c r="X16" s="5">
        <f t="shared" si="4"/>
        <v>0.5995698200568268</v>
      </c>
      <c r="Z16" s="5">
        <f t="shared" si="5"/>
        <v>11132899.559999999</v>
      </c>
      <c r="AA16" s="5">
        <f t="shared" si="6"/>
        <v>54193.723657024988</v>
      </c>
    </row>
    <row r="17" spans="1:27" x14ac:dyDescent="0.25">
      <c r="A17" t="s">
        <v>97</v>
      </c>
      <c r="B17">
        <v>3497.4</v>
      </c>
      <c r="C17">
        <v>28.39</v>
      </c>
      <c r="F17" s="5"/>
      <c r="G17" s="5"/>
      <c r="H17" s="5">
        <f t="shared" si="0"/>
        <v>-71.995454545454777</v>
      </c>
      <c r="I17" s="5">
        <f t="shared" si="0"/>
        <v>-1.2654545454545492</v>
      </c>
      <c r="J17" s="5">
        <f t="shared" si="1"/>
        <v>91.106975206612134</v>
      </c>
      <c r="K17" s="5"/>
      <c r="L17" s="5"/>
      <c r="M17" s="5">
        <f t="shared" si="2"/>
        <v>99291.186000000002</v>
      </c>
      <c r="N17" s="5"/>
      <c r="O17" s="5"/>
      <c r="P17" s="5"/>
      <c r="Q17" s="5"/>
      <c r="R17" s="5"/>
      <c r="S17" s="5"/>
      <c r="T17" s="5"/>
      <c r="U17" s="5"/>
      <c r="W17" s="5">
        <f t="shared" si="3"/>
        <v>0.25152177252770258</v>
      </c>
      <c r="X17" s="5">
        <f t="shared" si="4"/>
        <v>6.3263202055477363E-2</v>
      </c>
      <c r="Z17" s="5">
        <f t="shared" si="5"/>
        <v>13089924</v>
      </c>
      <c r="AA17" s="5">
        <f t="shared" si="6"/>
        <v>2362.401838842944</v>
      </c>
    </row>
    <row r="18" spans="1:27" x14ac:dyDescent="0.25">
      <c r="A18" t="s">
        <v>98</v>
      </c>
      <c r="B18">
        <v>3296.4</v>
      </c>
      <c r="C18">
        <v>28.17</v>
      </c>
      <c r="F18" s="5"/>
      <c r="G18" s="5"/>
      <c r="H18" s="5">
        <f t="shared" si="0"/>
        <v>-272.99545454545478</v>
      </c>
      <c r="I18" s="5">
        <f t="shared" si="0"/>
        <v>-1.485454545454548</v>
      </c>
      <c r="J18" s="5">
        <f t="shared" si="1"/>
        <v>405.52233884297624</v>
      </c>
      <c r="K18" s="5"/>
      <c r="L18" s="5"/>
      <c r="M18" s="5">
        <f t="shared" si="2"/>
        <v>92859.588000000003</v>
      </c>
      <c r="N18" s="5"/>
      <c r="O18" s="5"/>
      <c r="P18" s="5"/>
      <c r="Q18" s="5"/>
      <c r="R18" s="5"/>
      <c r="S18" s="5"/>
      <c r="T18" s="5"/>
      <c r="U18" s="5"/>
      <c r="W18" s="5">
        <f t="shared" si="3"/>
        <v>1.6667764870689759</v>
      </c>
      <c r="X18" s="5">
        <f t="shared" si="4"/>
        <v>2.778143857845996</v>
      </c>
      <c r="Z18" s="5">
        <f t="shared" si="5"/>
        <v>11402778.240000002</v>
      </c>
      <c r="AA18" s="5">
        <f t="shared" si="6"/>
        <v>37093.009111570304</v>
      </c>
    </row>
    <row r="19" spans="1:27" x14ac:dyDescent="0.25">
      <c r="A19" t="s">
        <v>99</v>
      </c>
      <c r="B19">
        <v>3638.1</v>
      </c>
      <c r="C19">
        <v>29.28</v>
      </c>
      <c r="F19" s="5"/>
      <c r="G19" s="5"/>
      <c r="H19" s="5">
        <f t="shared" si="0"/>
        <v>68.704545454545041</v>
      </c>
      <c r="I19" s="5">
        <f t="shared" si="0"/>
        <v>-0.37545454545454859</v>
      </c>
      <c r="J19" s="5">
        <f t="shared" si="1"/>
        <v>-25.79543388429758</v>
      </c>
      <c r="K19" s="5"/>
      <c r="L19" s="5"/>
      <c r="M19" s="5">
        <f t="shared" si="2"/>
        <v>106523.568</v>
      </c>
      <c r="N19" s="5"/>
      <c r="O19" s="5"/>
      <c r="P19" s="5"/>
      <c r="Q19" s="5"/>
      <c r="R19" s="5"/>
      <c r="S19" s="5"/>
      <c r="T19" s="5"/>
      <c r="U19" s="5"/>
      <c r="W19" s="5">
        <f t="shared" si="3"/>
        <v>0.42571752297493148</v>
      </c>
      <c r="X19" s="5">
        <f t="shared" si="4"/>
        <v>0.18123540936791133</v>
      </c>
      <c r="Z19" s="5">
        <f t="shared" si="5"/>
        <v>10213776.810000001</v>
      </c>
      <c r="AA19" s="5">
        <f t="shared" si="6"/>
        <v>139498.85456611589</v>
      </c>
    </row>
    <row r="20" spans="1:27" x14ac:dyDescent="0.25">
      <c r="A20" t="s">
        <v>100</v>
      </c>
      <c r="B20">
        <v>3879.3</v>
      </c>
      <c r="C20">
        <v>31.06</v>
      </c>
      <c r="F20" s="5"/>
      <c r="G20" s="5"/>
      <c r="H20" s="5">
        <f t="shared" si="0"/>
        <v>309.90454545454531</v>
      </c>
      <c r="I20" s="5">
        <f t="shared" si="0"/>
        <v>1.404545454545449</v>
      </c>
      <c r="J20" s="5">
        <f t="shared" si="1"/>
        <v>435.27502066115511</v>
      </c>
      <c r="K20" s="5"/>
      <c r="L20" s="5"/>
      <c r="M20" s="5">
        <f t="shared" si="2"/>
        <v>120491.058</v>
      </c>
      <c r="N20" s="5"/>
      <c r="O20" s="5"/>
      <c r="P20" s="5"/>
      <c r="Q20" s="5"/>
      <c r="R20" s="5"/>
      <c r="S20" s="5"/>
      <c r="T20" s="5"/>
      <c r="U20" s="5"/>
      <c r="W20" s="5">
        <f t="shared" si="3"/>
        <v>0.96855479586869819</v>
      </c>
      <c r="X20" s="5">
        <f t="shared" si="4"/>
        <v>0.93809839260025563</v>
      </c>
      <c r="Z20" s="5">
        <f t="shared" si="5"/>
        <v>16485224.039999999</v>
      </c>
      <c r="AA20" s="5">
        <f t="shared" si="6"/>
        <v>240889.10183884247</v>
      </c>
    </row>
    <row r="21" spans="1:27" x14ac:dyDescent="0.25">
      <c r="A21" t="s">
        <v>101</v>
      </c>
      <c r="B21">
        <v>4502.3999999999996</v>
      </c>
      <c r="C21">
        <v>35.270000000000003</v>
      </c>
      <c r="F21" s="5"/>
      <c r="G21" s="5"/>
      <c r="H21" s="5">
        <f t="shared" si="0"/>
        <v>933.00454545454477</v>
      </c>
      <c r="I21" s="5">
        <f t="shared" si="0"/>
        <v>5.6145454545454534</v>
      </c>
      <c r="J21" s="5">
        <f t="shared" si="1"/>
        <v>5238.3964297520615</v>
      </c>
      <c r="K21" s="5"/>
      <c r="L21" s="5"/>
      <c r="M21" s="5">
        <f t="shared" si="2"/>
        <v>158799.64800000002</v>
      </c>
      <c r="N21" s="5"/>
      <c r="O21" s="5"/>
      <c r="P21" s="5"/>
      <c r="Q21" s="5"/>
      <c r="R21" s="5"/>
      <c r="S21" s="5"/>
      <c r="T21" s="5"/>
      <c r="U21" s="5"/>
      <c r="W21" s="5">
        <f t="shared" si="3"/>
        <v>-1.9437329420135718</v>
      </c>
      <c r="X21" s="5">
        <f t="shared" si="4"/>
        <v>3.7780977498687354</v>
      </c>
      <c r="Z21" s="5">
        <f t="shared" si="5"/>
        <v>14893424.639999999</v>
      </c>
      <c r="AA21" s="5">
        <f t="shared" si="6"/>
        <v>83986.674566115413</v>
      </c>
    </row>
    <row r="22" spans="1:27" x14ac:dyDescent="0.25">
      <c r="A22" t="s">
        <v>102</v>
      </c>
      <c r="B22">
        <v>3396.9</v>
      </c>
      <c r="C22">
        <v>27.28</v>
      </c>
      <c r="F22" s="5"/>
      <c r="G22" s="5"/>
      <c r="H22" s="5">
        <f t="shared" si="0"/>
        <v>-172.49545454545478</v>
      </c>
      <c r="I22" s="5">
        <f t="shared" si="0"/>
        <v>-2.3754545454545486</v>
      </c>
      <c r="J22" s="5">
        <f t="shared" si="1"/>
        <v>409.75511157024903</v>
      </c>
      <c r="K22" s="5"/>
      <c r="L22" s="5"/>
      <c r="M22" s="5">
        <f t="shared" si="2"/>
        <v>92667.432000000001</v>
      </c>
      <c r="N22" s="5"/>
      <c r="O22" s="5"/>
      <c r="P22" s="5"/>
      <c r="Q22" s="5"/>
      <c r="R22" s="5"/>
      <c r="S22" s="5"/>
      <c r="T22" s="5"/>
      <c r="U22" s="5"/>
      <c r="W22" s="5">
        <f t="shared" si="3"/>
        <v>-0.62602067989584143</v>
      </c>
      <c r="X22" s="5">
        <f t="shared" si="4"/>
        <v>0.39190189165725153</v>
      </c>
      <c r="Z22" s="5">
        <f t="shared" si="5"/>
        <v>13382427.239999998</v>
      </c>
      <c r="AA22" s="5">
        <f t="shared" si="6"/>
        <v>7886.24729338834</v>
      </c>
    </row>
    <row r="23" spans="1:27" x14ac:dyDescent="0.25">
      <c r="A23" t="s">
        <v>103</v>
      </c>
      <c r="B23">
        <v>3457.2</v>
      </c>
      <c r="C23">
        <v>28.72</v>
      </c>
      <c r="F23" s="5"/>
      <c r="G23" s="5"/>
      <c r="H23" s="5">
        <f t="shared" si="0"/>
        <v>-112.19545454545505</v>
      </c>
      <c r="I23" s="5">
        <f t="shared" si="0"/>
        <v>-0.93545454545455087</v>
      </c>
      <c r="J23" s="5">
        <f t="shared" si="1"/>
        <v>104.95374793388538</v>
      </c>
      <c r="K23" s="5"/>
      <c r="L23" s="5"/>
      <c r="M23" s="5">
        <f t="shared" si="2"/>
        <v>99290.783999999985</v>
      </c>
      <c r="N23" s="5"/>
      <c r="O23" s="5"/>
      <c r="P23" s="5"/>
      <c r="Q23" s="5"/>
      <c r="R23" s="5"/>
      <c r="S23" s="5"/>
      <c r="T23" s="5"/>
      <c r="U23" s="5"/>
      <c r="W23" s="5">
        <f t="shared" si="3"/>
        <v>1.0352080938923827</v>
      </c>
      <c r="X23" s="5">
        <f t="shared" si="4"/>
        <v>1.0716557976603001</v>
      </c>
      <c r="Z23" s="5">
        <f t="shared" si="5"/>
        <v>13529890.890000001</v>
      </c>
      <c r="AA23" s="5">
        <f t="shared" si="6"/>
        <v>11860.200020661126</v>
      </c>
    </row>
    <row r="24" spans="1:27" x14ac:dyDescent="0.25">
      <c r="A24" t="s">
        <v>104</v>
      </c>
      <c r="B24">
        <v>3206</v>
      </c>
      <c r="C24">
        <v>27.56</v>
      </c>
      <c r="F24" s="5"/>
      <c r="G24" s="5"/>
      <c r="H24" s="5">
        <f t="shared" si="0"/>
        <v>-363.39545454545487</v>
      </c>
      <c r="I24" s="5">
        <f t="shared" si="0"/>
        <v>-2.095454545454551</v>
      </c>
      <c r="J24" s="5">
        <f t="shared" si="1"/>
        <v>761.47865702479612</v>
      </c>
      <c r="K24" s="5"/>
      <c r="L24" s="5"/>
      <c r="M24" s="5">
        <f t="shared" si="2"/>
        <v>88357.36</v>
      </c>
      <c r="N24" s="5"/>
      <c r="O24" s="5"/>
      <c r="P24" s="5"/>
      <c r="Q24" s="5"/>
      <c r="R24" s="5"/>
      <c r="S24" s="5"/>
      <c r="T24" s="5"/>
      <c r="U24" s="5"/>
      <c r="W24" s="5">
        <f t="shared" si="3"/>
        <v>2.1340487660186369E-2</v>
      </c>
      <c r="X24" s="5">
        <f t="shared" si="4"/>
        <v>4.5541641357456667E-4</v>
      </c>
      <c r="Z24" s="5">
        <f t="shared" si="5"/>
        <v>14630625</v>
      </c>
      <c r="AA24" s="5">
        <f t="shared" si="6"/>
        <v>65333.683657024631</v>
      </c>
    </row>
    <row r="25" spans="1:27" x14ac:dyDescent="0.25">
      <c r="A25" t="s">
        <v>105</v>
      </c>
      <c r="B25">
        <v>3356.7</v>
      </c>
      <c r="C25">
        <v>28.94</v>
      </c>
      <c r="F25" s="5"/>
      <c r="G25" s="5"/>
      <c r="H25" s="5">
        <f t="shared" si="0"/>
        <v>-212.69545454545505</v>
      </c>
      <c r="I25" s="5">
        <f t="shared" si="0"/>
        <v>-0.71545454545454845</v>
      </c>
      <c r="J25" s="5">
        <f t="shared" si="1"/>
        <v>152.17392975206712</v>
      </c>
      <c r="K25" s="5"/>
      <c r="L25" s="5"/>
      <c r="M25" s="5">
        <f t="shared" si="2"/>
        <v>97142.898000000001</v>
      </c>
      <c r="N25" s="5"/>
      <c r="O25" s="5"/>
      <c r="P25" s="5"/>
      <c r="Q25" s="5"/>
      <c r="R25" s="5"/>
      <c r="S25" s="5"/>
      <c r="T25" s="5"/>
      <c r="U25" s="5"/>
      <c r="W25" s="5">
        <f t="shared" si="3"/>
        <v>1.1080052608572011</v>
      </c>
      <c r="X25" s="5">
        <f t="shared" si="4"/>
        <v>1.2276756580872341</v>
      </c>
      <c r="Z25" s="5">
        <f t="shared" si="5"/>
        <v>11538929.610000001</v>
      </c>
      <c r="AA25" s="5">
        <f t="shared" si="6"/>
        <v>29754.681838843055</v>
      </c>
    </row>
    <row r="26" spans="1:27" x14ac:dyDescent="0.25"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W26" s="5">
        <f t="shared" si="3"/>
        <v>-0.87585087020165986</v>
      </c>
      <c r="X26" s="5">
        <f t="shared" si="4"/>
        <v>0.76711474683300485</v>
      </c>
      <c r="Z26" s="5">
        <f t="shared" si="5"/>
        <v>12231806.76</v>
      </c>
      <c r="AA26" s="5">
        <f t="shared" si="6"/>
        <v>5183.3454752066446</v>
      </c>
    </row>
    <row r="27" spans="1:27" x14ac:dyDescent="0.25">
      <c r="A27" s="1" t="s">
        <v>80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W27" s="5">
        <f t="shared" si="3"/>
        <v>-8.1386080839287445E-3</v>
      </c>
      <c r="X27" s="5">
        <f t="shared" si="4"/>
        <v>6.6236941543790315E-5</v>
      </c>
      <c r="Z27" s="5">
        <f t="shared" si="5"/>
        <v>10866252.960000001</v>
      </c>
      <c r="AA27" s="5">
        <f t="shared" si="6"/>
        <v>74526.518202479463</v>
      </c>
    </row>
    <row r="28" spans="1:27" x14ac:dyDescent="0.25">
      <c r="W28" s="5">
        <f t="shared" si="3"/>
        <v>-0.74724945368406992</v>
      </c>
      <c r="X28" s="5">
        <f t="shared" si="4"/>
        <v>0.55838174603114099</v>
      </c>
      <c r="Z28" s="5">
        <f t="shared" si="5"/>
        <v>13235771.609999999</v>
      </c>
      <c r="AA28" s="5">
        <f t="shared" si="6"/>
        <v>4720.3145661156459</v>
      </c>
    </row>
    <row r="29" spans="1:27" x14ac:dyDescent="0.25">
      <c r="A29" t="s">
        <v>81</v>
      </c>
      <c r="B29" t="s">
        <v>82</v>
      </c>
      <c r="C29" t="s">
        <v>106</v>
      </c>
      <c r="D29" t="s">
        <v>107</v>
      </c>
      <c r="E29" t="s">
        <v>108</v>
      </c>
      <c r="F29" t="s">
        <v>109</v>
      </c>
      <c r="G29" t="s">
        <v>110</v>
      </c>
      <c r="H29" t="s">
        <v>111</v>
      </c>
      <c r="I29" t="s">
        <v>112</v>
      </c>
      <c r="J29" s="2" t="s">
        <v>113</v>
      </c>
      <c r="K29" s="2" t="s">
        <v>114</v>
      </c>
      <c r="L29" s="2" t="s">
        <v>14</v>
      </c>
      <c r="W29" s="5">
        <f t="shared" si="3"/>
        <v>-0.27250416822534973</v>
      </c>
      <c r="X29" s="5">
        <f t="shared" si="4"/>
        <v>7.4258521700189706E-2</v>
      </c>
      <c r="Z29" s="5">
        <f t="shared" si="5"/>
        <v>15048968.490000002</v>
      </c>
      <c r="AA29" s="5">
        <f t="shared" si="6"/>
        <v>96040.827293388342</v>
      </c>
    </row>
    <row r="30" spans="1:27" x14ac:dyDescent="0.25">
      <c r="A30" t="s">
        <v>85</v>
      </c>
      <c r="B30">
        <f t="shared" ref="B30:B51" si="7">B4/100</f>
        <v>35.576999999999998</v>
      </c>
      <c r="C30">
        <v>9.85</v>
      </c>
      <c r="D30">
        <v>2.34</v>
      </c>
      <c r="E30">
        <v>1.4</v>
      </c>
      <c r="F30">
        <v>0.85</v>
      </c>
      <c r="G30">
        <v>11.78</v>
      </c>
      <c r="H30">
        <v>1.66</v>
      </c>
      <c r="I30">
        <v>1.73</v>
      </c>
      <c r="J30" s="2">
        <f t="shared" ref="J30:J51" si="8">SUM(C30:E30)</f>
        <v>13.59</v>
      </c>
      <c r="K30" s="2">
        <f t="shared" ref="K30:K51" si="9">SUM(F30:I30)</f>
        <v>16.02</v>
      </c>
      <c r="L30" s="2">
        <f t="shared" ref="L30:L51" si="10">K30+J30</f>
        <v>29.61</v>
      </c>
      <c r="W30" s="5">
        <f t="shared" si="3"/>
        <v>0.56558781920969636</v>
      </c>
      <c r="X30" s="5">
        <f t="shared" si="4"/>
        <v>0.31988958123838018</v>
      </c>
      <c r="Z30" s="5">
        <f t="shared" si="5"/>
        <v>20271605.759999998</v>
      </c>
      <c r="AA30" s="5">
        <f t="shared" si="6"/>
        <v>870497.48183884169</v>
      </c>
    </row>
    <row r="31" spans="1:27" x14ac:dyDescent="0.25">
      <c r="A31" t="s">
        <v>86</v>
      </c>
      <c r="B31">
        <f t="shared" si="7"/>
        <v>32.963999999999999</v>
      </c>
      <c r="C31">
        <v>7.11</v>
      </c>
      <c r="D31">
        <v>2.2000000000000002</v>
      </c>
      <c r="E31">
        <v>1.4</v>
      </c>
      <c r="F31">
        <v>0.89</v>
      </c>
      <c r="G31">
        <v>13.44</v>
      </c>
      <c r="H31">
        <v>1.66</v>
      </c>
      <c r="I31">
        <v>1.1299999999999999</v>
      </c>
      <c r="J31" s="2">
        <f t="shared" si="8"/>
        <v>10.71</v>
      </c>
      <c r="K31" s="2">
        <f t="shared" si="9"/>
        <v>17.12</v>
      </c>
      <c r="L31" s="2">
        <f t="shared" si="10"/>
        <v>27.830000000000002</v>
      </c>
      <c r="W31" s="5">
        <f t="shared" si="3"/>
        <v>-1.4419947391427961</v>
      </c>
      <c r="X31" s="5">
        <f t="shared" si="4"/>
        <v>2.0793488277155006</v>
      </c>
      <c r="Z31" s="5">
        <f t="shared" si="5"/>
        <v>11538929.610000001</v>
      </c>
      <c r="AA31" s="5">
        <f t="shared" si="6"/>
        <v>29754.681838843055</v>
      </c>
    </row>
    <row r="32" spans="1:27" x14ac:dyDescent="0.25">
      <c r="A32" t="s">
        <v>87</v>
      </c>
      <c r="B32">
        <f t="shared" si="7"/>
        <v>34.371000000000002</v>
      </c>
      <c r="C32">
        <v>7.7</v>
      </c>
      <c r="D32">
        <v>2.4</v>
      </c>
      <c r="E32">
        <v>1.4</v>
      </c>
      <c r="F32">
        <v>0.94</v>
      </c>
      <c r="G32">
        <v>12.43</v>
      </c>
      <c r="H32">
        <v>1.66</v>
      </c>
      <c r="I32">
        <v>1.86</v>
      </c>
      <c r="J32" s="2">
        <f t="shared" si="8"/>
        <v>11.5</v>
      </c>
      <c r="K32" s="2">
        <f t="shared" si="9"/>
        <v>16.89</v>
      </c>
      <c r="L32" s="2">
        <f t="shared" si="10"/>
        <v>28.39</v>
      </c>
      <c r="W32" s="5">
        <f t="shared" si="3"/>
        <v>-0.32830841777811415</v>
      </c>
      <c r="X32" s="5">
        <f t="shared" si="4"/>
        <v>0.10778641718396874</v>
      </c>
      <c r="Z32" s="5">
        <f t="shared" si="5"/>
        <v>11952231.839999998</v>
      </c>
      <c r="AA32" s="5">
        <f t="shared" si="6"/>
        <v>12587.820020661271</v>
      </c>
    </row>
    <row r="33" spans="1:27" x14ac:dyDescent="0.25">
      <c r="A33" t="s">
        <v>88</v>
      </c>
      <c r="B33">
        <f t="shared" si="7"/>
        <v>33.366</v>
      </c>
      <c r="C33">
        <v>9.66</v>
      </c>
      <c r="D33">
        <v>1.88</v>
      </c>
      <c r="E33">
        <v>1.4</v>
      </c>
      <c r="F33">
        <v>0.83</v>
      </c>
      <c r="G33">
        <v>11.72</v>
      </c>
      <c r="H33">
        <v>1.66</v>
      </c>
      <c r="I33">
        <v>2.02</v>
      </c>
      <c r="J33" s="2">
        <f t="shared" si="8"/>
        <v>12.94</v>
      </c>
      <c r="K33" s="2">
        <f t="shared" si="9"/>
        <v>16.23</v>
      </c>
      <c r="L33" s="2">
        <f t="shared" si="10"/>
        <v>29.17</v>
      </c>
      <c r="W33" s="5">
        <f t="shared" si="3"/>
        <v>-0.12893866532053622</v>
      </c>
      <c r="X33" s="5">
        <f t="shared" si="4"/>
        <v>1.6625179414641249E-2</v>
      </c>
      <c r="Z33" s="5">
        <f t="shared" si="5"/>
        <v>10278436</v>
      </c>
      <c r="AA33" s="5">
        <f t="shared" si="6"/>
        <v>132056.25638429777</v>
      </c>
    </row>
    <row r="34" spans="1:27" x14ac:dyDescent="0.25">
      <c r="A34" t="s">
        <v>84</v>
      </c>
      <c r="B34">
        <f t="shared" si="7"/>
        <v>36.18</v>
      </c>
      <c r="C34">
        <v>6.61</v>
      </c>
      <c r="D34">
        <v>2.64</v>
      </c>
      <c r="E34">
        <v>1.4</v>
      </c>
      <c r="F34">
        <v>0.72</v>
      </c>
      <c r="G34">
        <v>9.4600000000000009</v>
      </c>
      <c r="H34">
        <v>1.66</v>
      </c>
      <c r="I34">
        <v>7.68</v>
      </c>
      <c r="J34" s="2">
        <f t="shared" si="8"/>
        <v>10.65</v>
      </c>
      <c r="K34" s="2">
        <f t="shared" si="9"/>
        <v>19.520000000000003</v>
      </c>
      <c r="L34" s="2">
        <f t="shared" si="10"/>
        <v>30.17</v>
      </c>
      <c r="W34" s="5">
        <f t="shared" si="3"/>
        <v>0.43554771328075148</v>
      </c>
      <c r="X34" s="5">
        <f t="shared" si="4"/>
        <v>0.18970181054409169</v>
      </c>
      <c r="Z34" s="5">
        <f t="shared" si="5"/>
        <v>11267434.889999999</v>
      </c>
      <c r="AA34" s="5">
        <f t="shared" si="6"/>
        <v>45239.356384297738</v>
      </c>
    </row>
    <row r="35" spans="1:27" x14ac:dyDescent="0.25">
      <c r="A35" t="s">
        <v>89</v>
      </c>
      <c r="B35">
        <f t="shared" si="7"/>
        <v>33.768000000000001</v>
      </c>
      <c r="C35">
        <v>3.87</v>
      </c>
      <c r="D35">
        <v>1.54</v>
      </c>
      <c r="E35">
        <v>1.4</v>
      </c>
      <c r="F35">
        <v>0.64</v>
      </c>
      <c r="G35">
        <v>8.06</v>
      </c>
      <c r="H35">
        <v>1.66</v>
      </c>
      <c r="I35">
        <v>13.11</v>
      </c>
      <c r="J35" s="2">
        <f t="shared" si="8"/>
        <v>6.8100000000000005</v>
      </c>
      <c r="K35" s="2">
        <f t="shared" si="9"/>
        <v>23.47</v>
      </c>
      <c r="L35" s="2">
        <f t="shared" si="10"/>
        <v>30.28</v>
      </c>
      <c r="W35" s="5"/>
      <c r="X35" s="5"/>
    </row>
    <row r="36" spans="1:27" x14ac:dyDescent="0.25">
      <c r="A36" t="s">
        <v>90</v>
      </c>
      <c r="B36">
        <f t="shared" si="7"/>
        <v>31.959</v>
      </c>
      <c r="C36">
        <v>4.87</v>
      </c>
      <c r="D36">
        <v>1.94</v>
      </c>
      <c r="E36">
        <v>1.4</v>
      </c>
      <c r="F36">
        <v>0.67</v>
      </c>
      <c r="G36">
        <v>8.7200000000000006</v>
      </c>
      <c r="H36">
        <v>1.66</v>
      </c>
      <c r="I36">
        <v>8.8000000000000007</v>
      </c>
      <c r="J36" s="2">
        <f t="shared" si="8"/>
        <v>8.2100000000000009</v>
      </c>
      <c r="K36" s="2">
        <f t="shared" si="9"/>
        <v>19.850000000000001</v>
      </c>
      <c r="L36" s="2">
        <f t="shared" si="10"/>
        <v>28.060000000000002</v>
      </c>
      <c r="X36" s="5"/>
    </row>
    <row r="37" spans="1:27" x14ac:dyDescent="0.25">
      <c r="A37" t="s">
        <v>91</v>
      </c>
      <c r="B37">
        <f t="shared" si="7"/>
        <v>40.601999999999997</v>
      </c>
      <c r="C37">
        <v>5.31</v>
      </c>
      <c r="D37">
        <v>2.12</v>
      </c>
      <c r="E37">
        <v>1.4</v>
      </c>
      <c r="F37">
        <v>0.65</v>
      </c>
      <c r="G37">
        <v>8.92</v>
      </c>
      <c r="H37">
        <v>1.66</v>
      </c>
      <c r="I37">
        <v>13.21</v>
      </c>
      <c r="J37" s="2">
        <f t="shared" si="8"/>
        <v>8.83</v>
      </c>
      <c r="K37" s="2">
        <f t="shared" si="9"/>
        <v>24.44</v>
      </c>
      <c r="L37" s="2">
        <f t="shared" si="10"/>
        <v>33.270000000000003</v>
      </c>
    </row>
    <row r="38" spans="1:27" x14ac:dyDescent="0.25">
      <c r="A38" t="s">
        <v>92</v>
      </c>
      <c r="B38">
        <f t="shared" si="7"/>
        <v>38.591999999999999</v>
      </c>
      <c r="C38">
        <v>6.08</v>
      </c>
      <c r="D38">
        <v>2.44</v>
      </c>
      <c r="E38">
        <v>1.4</v>
      </c>
      <c r="F38">
        <v>0.69</v>
      </c>
      <c r="G38">
        <v>9.56</v>
      </c>
      <c r="H38">
        <v>1.66</v>
      </c>
      <c r="I38">
        <v>7.44</v>
      </c>
      <c r="J38" s="2">
        <f t="shared" si="8"/>
        <v>9.92</v>
      </c>
      <c r="K38" s="2">
        <f t="shared" si="9"/>
        <v>19.350000000000001</v>
      </c>
      <c r="L38" s="2">
        <f t="shared" si="10"/>
        <v>29.270000000000003</v>
      </c>
    </row>
    <row r="39" spans="1:27" x14ac:dyDescent="0.25">
      <c r="A39" t="s">
        <v>93</v>
      </c>
      <c r="B39">
        <f t="shared" si="7"/>
        <v>36.582000000000001</v>
      </c>
      <c r="C39">
        <v>8.0299999999999994</v>
      </c>
      <c r="D39">
        <v>3.22</v>
      </c>
      <c r="E39">
        <v>1.4</v>
      </c>
      <c r="F39">
        <v>0.69</v>
      </c>
      <c r="G39">
        <v>11.1</v>
      </c>
      <c r="H39">
        <v>1.66</v>
      </c>
      <c r="I39">
        <v>3.42</v>
      </c>
      <c r="J39" s="2">
        <f t="shared" si="8"/>
        <v>12.65</v>
      </c>
      <c r="K39" s="2">
        <f t="shared" si="9"/>
        <v>16.869999999999997</v>
      </c>
      <c r="L39" s="2">
        <f t="shared" si="10"/>
        <v>29.519999999999996</v>
      </c>
    </row>
    <row r="40" spans="1:27" x14ac:dyDescent="0.25">
      <c r="A40" t="s">
        <v>94</v>
      </c>
      <c r="B40">
        <f t="shared" si="7"/>
        <v>36.783000000000001</v>
      </c>
      <c r="C40">
        <v>8.9</v>
      </c>
      <c r="D40">
        <v>3.56</v>
      </c>
      <c r="E40">
        <v>1.4</v>
      </c>
      <c r="F40">
        <v>0.9</v>
      </c>
      <c r="G40">
        <v>11.92</v>
      </c>
      <c r="H40">
        <v>1.66</v>
      </c>
      <c r="I40">
        <v>2.93</v>
      </c>
      <c r="J40" s="2">
        <f t="shared" si="8"/>
        <v>13.860000000000001</v>
      </c>
      <c r="K40" s="2">
        <f t="shared" si="9"/>
        <v>17.41</v>
      </c>
      <c r="L40" s="2">
        <f t="shared" si="10"/>
        <v>31.270000000000003</v>
      </c>
    </row>
    <row r="41" spans="1:27" x14ac:dyDescent="0.25">
      <c r="A41" t="s">
        <v>95</v>
      </c>
      <c r="B41">
        <f t="shared" si="7"/>
        <v>38.25</v>
      </c>
      <c r="C41">
        <v>5.51</v>
      </c>
      <c r="D41">
        <v>2.21</v>
      </c>
      <c r="E41">
        <v>1.4</v>
      </c>
      <c r="F41">
        <v>0.69</v>
      </c>
      <c r="G41">
        <v>9.6999999999999993</v>
      </c>
      <c r="H41">
        <v>1.66</v>
      </c>
      <c r="I41">
        <v>9.89</v>
      </c>
      <c r="J41" s="2">
        <f t="shared" si="8"/>
        <v>9.1199999999999992</v>
      </c>
      <c r="K41" s="2">
        <f t="shared" si="9"/>
        <v>21.939999999999998</v>
      </c>
      <c r="L41" s="2">
        <f t="shared" si="10"/>
        <v>31.059999999999995</v>
      </c>
    </row>
    <row r="42" spans="1:27" x14ac:dyDescent="0.25">
      <c r="A42" t="s">
        <v>96</v>
      </c>
      <c r="B42">
        <f t="shared" si="7"/>
        <v>33.969000000000001</v>
      </c>
      <c r="C42">
        <v>7.71</v>
      </c>
      <c r="D42">
        <v>2.52</v>
      </c>
      <c r="E42">
        <v>1.4</v>
      </c>
      <c r="F42">
        <v>0.78</v>
      </c>
      <c r="G42">
        <v>9.67</v>
      </c>
      <c r="H42">
        <v>1.66</v>
      </c>
      <c r="I42">
        <v>6.09</v>
      </c>
      <c r="J42" s="2">
        <f t="shared" si="8"/>
        <v>11.63</v>
      </c>
      <c r="K42" s="2">
        <f t="shared" si="9"/>
        <v>18.2</v>
      </c>
      <c r="L42" s="2">
        <f t="shared" si="10"/>
        <v>29.83</v>
      </c>
    </row>
    <row r="43" spans="1:27" x14ac:dyDescent="0.25">
      <c r="A43" t="s">
        <v>97</v>
      </c>
      <c r="B43">
        <f t="shared" si="7"/>
        <v>34.974000000000004</v>
      </c>
      <c r="C43">
        <v>8.14</v>
      </c>
      <c r="D43">
        <v>3.78</v>
      </c>
      <c r="E43">
        <v>1.4</v>
      </c>
      <c r="F43">
        <v>0.73</v>
      </c>
      <c r="G43">
        <v>9.01</v>
      </c>
      <c r="H43">
        <v>1.66</v>
      </c>
      <c r="I43">
        <v>3.66</v>
      </c>
      <c r="J43" s="2">
        <f t="shared" si="8"/>
        <v>13.32</v>
      </c>
      <c r="K43" s="2">
        <f t="shared" si="9"/>
        <v>15.06</v>
      </c>
      <c r="L43" s="2">
        <f t="shared" si="10"/>
        <v>28.380000000000003</v>
      </c>
    </row>
    <row r="44" spans="1:27" x14ac:dyDescent="0.25">
      <c r="A44" t="s">
        <v>98</v>
      </c>
      <c r="B44">
        <f t="shared" si="7"/>
        <v>32.963999999999999</v>
      </c>
      <c r="C44">
        <v>3.81</v>
      </c>
      <c r="D44">
        <v>1.89</v>
      </c>
      <c r="E44">
        <v>1.4</v>
      </c>
      <c r="F44">
        <v>0.71</v>
      </c>
      <c r="G44">
        <v>9.26</v>
      </c>
      <c r="H44">
        <v>1.66</v>
      </c>
      <c r="I44">
        <v>9.44</v>
      </c>
      <c r="J44" s="2">
        <f t="shared" si="8"/>
        <v>7.1</v>
      </c>
      <c r="K44" s="2">
        <f t="shared" si="9"/>
        <v>21.07</v>
      </c>
      <c r="L44" s="2">
        <f t="shared" si="10"/>
        <v>28.17</v>
      </c>
    </row>
    <row r="45" spans="1:27" x14ac:dyDescent="0.25">
      <c r="A45" t="s">
        <v>99</v>
      </c>
      <c r="B45">
        <f t="shared" si="7"/>
        <v>36.381</v>
      </c>
      <c r="C45">
        <v>5.41</v>
      </c>
      <c r="D45">
        <v>2.56</v>
      </c>
      <c r="E45">
        <v>1.4</v>
      </c>
      <c r="F45">
        <v>0.81</v>
      </c>
      <c r="G45">
        <v>9.9700000000000006</v>
      </c>
      <c r="H45">
        <v>1.66</v>
      </c>
      <c r="I45">
        <v>7.46</v>
      </c>
      <c r="J45" s="2">
        <f t="shared" si="8"/>
        <v>9.370000000000001</v>
      </c>
      <c r="K45" s="2">
        <f t="shared" si="9"/>
        <v>19.900000000000002</v>
      </c>
      <c r="L45" s="2">
        <f t="shared" si="10"/>
        <v>29.270000000000003</v>
      </c>
    </row>
    <row r="46" spans="1:27" x14ac:dyDescent="0.25">
      <c r="A46" t="s">
        <v>100</v>
      </c>
      <c r="B46">
        <f t="shared" si="7"/>
        <v>38.792999999999999</v>
      </c>
      <c r="C46">
        <v>10.54</v>
      </c>
      <c r="D46">
        <v>3.59</v>
      </c>
      <c r="E46">
        <v>1.4</v>
      </c>
      <c r="F46">
        <v>0.9</v>
      </c>
      <c r="G46">
        <v>11.11</v>
      </c>
      <c r="H46">
        <v>1.66</v>
      </c>
      <c r="I46">
        <v>1.86</v>
      </c>
      <c r="J46" s="2">
        <f t="shared" si="8"/>
        <v>15.53</v>
      </c>
      <c r="K46" s="2">
        <f t="shared" si="9"/>
        <v>15.53</v>
      </c>
      <c r="L46" s="2">
        <f t="shared" si="10"/>
        <v>31.06</v>
      </c>
    </row>
    <row r="47" spans="1:27" x14ac:dyDescent="0.25">
      <c r="A47" t="s">
        <v>101</v>
      </c>
      <c r="B47">
        <f t="shared" si="7"/>
        <v>45.023999999999994</v>
      </c>
      <c r="C47">
        <v>10.99</v>
      </c>
      <c r="D47">
        <v>3.72</v>
      </c>
      <c r="E47">
        <v>1.4</v>
      </c>
      <c r="F47">
        <v>0.83</v>
      </c>
      <c r="G47">
        <v>12.01</v>
      </c>
      <c r="H47">
        <v>1.66</v>
      </c>
      <c r="I47">
        <v>4.66</v>
      </c>
      <c r="J47" s="2">
        <f t="shared" si="8"/>
        <v>16.11</v>
      </c>
      <c r="K47" s="2">
        <f t="shared" si="9"/>
        <v>19.16</v>
      </c>
      <c r="L47" s="2">
        <f t="shared" si="10"/>
        <v>35.269999999999996</v>
      </c>
    </row>
    <row r="48" spans="1:27" x14ac:dyDescent="0.25">
      <c r="A48" t="s">
        <v>102</v>
      </c>
      <c r="B48">
        <f t="shared" si="7"/>
        <v>33.969000000000001</v>
      </c>
      <c r="C48">
        <v>6.59</v>
      </c>
      <c r="D48">
        <v>3.01</v>
      </c>
      <c r="E48">
        <v>1.4</v>
      </c>
      <c r="F48">
        <v>0.76</v>
      </c>
      <c r="G48">
        <v>10.58</v>
      </c>
      <c r="H48">
        <v>1.66</v>
      </c>
      <c r="I48">
        <v>3.28</v>
      </c>
      <c r="J48" s="2">
        <f t="shared" si="8"/>
        <v>11</v>
      </c>
      <c r="K48" s="2">
        <f t="shared" si="9"/>
        <v>16.28</v>
      </c>
      <c r="L48" s="2">
        <f t="shared" si="10"/>
        <v>27.28</v>
      </c>
    </row>
    <row r="49" spans="1:12" x14ac:dyDescent="0.25">
      <c r="A49" t="s">
        <v>103</v>
      </c>
      <c r="B49">
        <f t="shared" si="7"/>
        <v>34.571999999999996</v>
      </c>
      <c r="C49">
        <v>5</v>
      </c>
      <c r="D49">
        <v>1.78</v>
      </c>
      <c r="E49">
        <v>1.4</v>
      </c>
      <c r="F49">
        <v>0.74</v>
      </c>
      <c r="G49">
        <v>9.64</v>
      </c>
      <c r="H49">
        <v>1.66</v>
      </c>
      <c r="I49">
        <v>8.51</v>
      </c>
      <c r="J49" s="2">
        <f t="shared" si="8"/>
        <v>8.18</v>
      </c>
      <c r="K49" s="2">
        <f t="shared" si="9"/>
        <v>20.55</v>
      </c>
      <c r="L49" s="2">
        <f t="shared" si="10"/>
        <v>28.73</v>
      </c>
    </row>
    <row r="50" spans="1:12" x14ac:dyDescent="0.25">
      <c r="A50" t="s">
        <v>104</v>
      </c>
      <c r="B50">
        <f t="shared" si="7"/>
        <v>32.06</v>
      </c>
      <c r="C50">
        <v>4.3600000000000003</v>
      </c>
      <c r="D50">
        <v>1.94</v>
      </c>
      <c r="E50">
        <v>1.4</v>
      </c>
      <c r="F50">
        <v>0.82</v>
      </c>
      <c r="G50">
        <v>9.27</v>
      </c>
      <c r="H50">
        <v>1.66</v>
      </c>
      <c r="I50">
        <v>8.11</v>
      </c>
      <c r="J50" s="2">
        <f t="shared" si="8"/>
        <v>7.7000000000000011</v>
      </c>
      <c r="K50" s="2">
        <f t="shared" si="9"/>
        <v>19.86</v>
      </c>
      <c r="L50" s="2">
        <f t="shared" si="10"/>
        <v>27.560000000000002</v>
      </c>
    </row>
    <row r="51" spans="1:12" x14ac:dyDescent="0.25">
      <c r="A51" t="s">
        <v>105</v>
      </c>
      <c r="B51">
        <f t="shared" si="7"/>
        <v>33.567</v>
      </c>
      <c r="C51">
        <v>5.13</v>
      </c>
      <c r="D51">
        <v>2.06</v>
      </c>
      <c r="E51">
        <v>1.4</v>
      </c>
      <c r="F51">
        <v>0.86</v>
      </c>
      <c r="G51">
        <v>8.58</v>
      </c>
      <c r="H51">
        <v>1.66</v>
      </c>
      <c r="I51">
        <v>9.26</v>
      </c>
      <c r="J51" s="2">
        <f t="shared" si="8"/>
        <v>8.59</v>
      </c>
      <c r="K51" s="2">
        <f t="shared" si="9"/>
        <v>20.36</v>
      </c>
      <c r="L51" s="2">
        <f t="shared" si="10"/>
        <v>28.95</v>
      </c>
    </row>
    <row r="53" spans="1:12" x14ac:dyDescent="0.25">
      <c r="A53" s="1" t="s">
        <v>115</v>
      </c>
    </row>
    <row r="55" spans="1:12" x14ac:dyDescent="0.25">
      <c r="A55" t="s">
        <v>116</v>
      </c>
      <c r="B55" t="s">
        <v>117</v>
      </c>
      <c r="C55" t="s">
        <v>118</v>
      </c>
      <c r="D55" t="s">
        <v>119</v>
      </c>
    </row>
    <row r="56" spans="1:12" x14ac:dyDescent="0.25">
      <c r="A56">
        <v>1</v>
      </c>
      <c r="B56">
        <v>139</v>
      </c>
      <c r="C56">
        <v>64</v>
      </c>
      <c r="D56">
        <v>67.5</v>
      </c>
    </row>
    <row r="57" spans="1:12" x14ac:dyDescent="0.25">
      <c r="A57">
        <v>2</v>
      </c>
      <c r="B57">
        <v>142</v>
      </c>
      <c r="C57">
        <v>11</v>
      </c>
      <c r="D57">
        <v>76.2</v>
      </c>
    </row>
    <row r="58" spans="1:12" x14ac:dyDescent="0.25">
      <c r="A58">
        <v>3</v>
      </c>
      <c r="B58">
        <v>155</v>
      </c>
      <c r="C58">
        <v>89</v>
      </c>
      <c r="D58">
        <v>82</v>
      </c>
    </row>
    <row r="59" spans="1:12" x14ac:dyDescent="0.25">
      <c r="A59">
        <v>4</v>
      </c>
      <c r="B59">
        <v>146</v>
      </c>
      <c r="C59">
        <v>38</v>
      </c>
      <c r="D59">
        <v>109.6</v>
      </c>
    </row>
    <row r="60" spans="1:12" x14ac:dyDescent="0.25">
      <c r="A60">
        <v>5</v>
      </c>
      <c r="B60">
        <v>151</v>
      </c>
      <c r="C60">
        <v>9</v>
      </c>
      <c r="D60">
        <v>160.19999999999999</v>
      </c>
    </row>
    <row r="61" spans="1:12" x14ac:dyDescent="0.25">
      <c r="A61">
        <v>6</v>
      </c>
      <c r="B61">
        <v>169</v>
      </c>
      <c r="C61">
        <v>71</v>
      </c>
      <c r="D61">
        <v>188.2</v>
      </c>
    </row>
    <row r="62" spans="1:12" x14ac:dyDescent="0.25">
      <c r="A62">
        <v>7</v>
      </c>
      <c r="B62">
        <v>156</v>
      </c>
      <c r="C62">
        <v>75</v>
      </c>
      <c r="D62">
        <v>191.6</v>
      </c>
    </row>
    <row r="63" spans="1:12" x14ac:dyDescent="0.25">
      <c r="A63">
        <v>8</v>
      </c>
      <c r="B63">
        <v>179</v>
      </c>
      <c r="C63">
        <v>83</v>
      </c>
      <c r="D63">
        <v>208.8</v>
      </c>
    </row>
    <row r="64" spans="1:12" x14ac:dyDescent="0.25">
      <c r="A64">
        <v>9</v>
      </c>
      <c r="B64">
        <v>144</v>
      </c>
      <c r="C64">
        <v>31</v>
      </c>
      <c r="D64">
        <v>211.4</v>
      </c>
    </row>
    <row r="65" spans="1:4" x14ac:dyDescent="0.25">
      <c r="A65">
        <v>10</v>
      </c>
      <c r="B65">
        <v>183</v>
      </c>
      <c r="C65">
        <v>152</v>
      </c>
      <c r="D65">
        <v>215.9</v>
      </c>
    </row>
    <row r="66" spans="1:4" x14ac:dyDescent="0.25">
      <c r="A66">
        <v>11</v>
      </c>
      <c r="B66">
        <v>190</v>
      </c>
      <c r="C66">
        <v>138</v>
      </c>
      <c r="D66">
        <v>229.5</v>
      </c>
    </row>
    <row r="67" spans="1:4" x14ac:dyDescent="0.25">
      <c r="A67">
        <v>12</v>
      </c>
      <c r="B67">
        <v>178</v>
      </c>
      <c r="C67">
        <v>98</v>
      </c>
      <c r="D67">
        <v>261.8</v>
      </c>
    </row>
    <row r="68" spans="1:4" x14ac:dyDescent="0.25">
      <c r="A68">
        <v>13</v>
      </c>
      <c r="B68">
        <v>199</v>
      </c>
      <c r="C68">
        <v>185</v>
      </c>
      <c r="D68">
        <v>273</v>
      </c>
    </row>
    <row r="69" spans="1:4" x14ac:dyDescent="0.25">
      <c r="A69">
        <v>14</v>
      </c>
      <c r="B69">
        <v>167</v>
      </c>
      <c r="C69">
        <v>136</v>
      </c>
      <c r="D69">
        <v>292.7</v>
      </c>
    </row>
    <row r="70" spans="1:4" x14ac:dyDescent="0.25">
      <c r="A70">
        <v>15</v>
      </c>
      <c r="B70">
        <v>186</v>
      </c>
      <c r="C70">
        <v>60</v>
      </c>
      <c r="D70">
        <v>305.60000000000002</v>
      </c>
    </row>
    <row r="71" spans="1:4" x14ac:dyDescent="0.25">
      <c r="A71">
        <v>16</v>
      </c>
      <c r="B71">
        <v>247</v>
      </c>
      <c r="C71">
        <v>140</v>
      </c>
      <c r="D71">
        <v>322.39999999999998</v>
      </c>
    </row>
    <row r="72" spans="1:4" x14ac:dyDescent="0.25">
      <c r="A72">
        <v>17</v>
      </c>
      <c r="B72">
        <v>201</v>
      </c>
      <c r="C72">
        <v>104</v>
      </c>
      <c r="D72">
        <v>335.4</v>
      </c>
    </row>
    <row r="73" spans="1:4" x14ac:dyDescent="0.25">
      <c r="A73">
        <v>18</v>
      </c>
      <c r="B73">
        <v>191</v>
      </c>
      <c r="C73">
        <v>148</v>
      </c>
      <c r="D73">
        <v>350.7</v>
      </c>
    </row>
    <row r="74" spans="1:4" x14ac:dyDescent="0.25">
      <c r="A74">
        <v>19</v>
      </c>
      <c r="B74">
        <v>196</v>
      </c>
      <c r="C74">
        <v>109</v>
      </c>
      <c r="D74">
        <v>351.9</v>
      </c>
    </row>
    <row r="75" spans="1:4" x14ac:dyDescent="0.25">
      <c r="A75">
        <v>20</v>
      </c>
      <c r="B75">
        <v>197</v>
      </c>
      <c r="C75">
        <v>121</v>
      </c>
      <c r="D75">
        <v>353.2</v>
      </c>
    </row>
    <row r="76" spans="1:4" x14ac:dyDescent="0.25">
      <c r="A76">
        <v>21</v>
      </c>
      <c r="B76">
        <v>180</v>
      </c>
      <c r="C76">
        <v>130</v>
      </c>
      <c r="D76">
        <v>363.6</v>
      </c>
    </row>
    <row r="77" spans="1:4" x14ac:dyDescent="0.25">
      <c r="A77">
        <v>22</v>
      </c>
      <c r="B77">
        <v>200</v>
      </c>
      <c r="C77">
        <v>94</v>
      </c>
      <c r="D77">
        <v>374.6</v>
      </c>
    </row>
    <row r="78" spans="1:4" x14ac:dyDescent="0.25">
      <c r="A78">
        <v>23</v>
      </c>
      <c r="B78">
        <v>251</v>
      </c>
      <c r="C78">
        <v>176</v>
      </c>
      <c r="D78">
        <v>375.4</v>
      </c>
    </row>
    <row r="79" spans="1:4" x14ac:dyDescent="0.25">
      <c r="A79">
        <v>24</v>
      </c>
      <c r="B79">
        <v>212</v>
      </c>
      <c r="C79">
        <v>178</v>
      </c>
      <c r="D79">
        <v>382.5</v>
      </c>
    </row>
    <row r="80" spans="1:4" x14ac:dyDescent="0.25">
      <c r="A80">
        <v>25</v>
      </c>
      <c r="B80">
        <v>238</v>
      </c>
      <c r="C80">
        <v>168</v>
      </c>
      <c r="D80">
        <v>384.2</v>
      </c>
    </row>
    <row r="81" spans="1:4" x14ac:dyDescent="0.25">
      <c r="A81">
        <v>26</v>
      </c>
      <c r="B81">
        <v>243</v>
      </c>
      <c r="C81">
        <v>62</v>
      </c>
      <c r="D81">
        <v>401.1</v>
      </c>
    </row>
    <row r="82" spans="1:4" x14ac:dyDescent="0.25">
      <c r="A82">
        <v>27</v>
      </c>
      <c r="B82">
        <v>256</v>
      </c>
      <c r="C82">
        <v>87</v>
      </c>
      <c r="D82">
        <v>411.3</v>
      </c>
    </row>
    <row r="83" spans="1:4" x14ac:dyDescent="0.25">
      <c r="A83">
        <v>28</v>
      </c>
      <c r="B83">
        <v>247</v>
      </c>
      <c r="C83">
        <v>163</v>
      </c>
      <c r="D83">
        <v>414.1</v>
      </c>
    </row>
    <row r="84" spans="1:4" x14ac:dyDescent="0.25">
      <c r="A84">
        <v>29</v>
      </c>
      <c r="B84">
        <v>173</v>
      </c>
      <c r="C84">
        <v>114</v>
      </c>
      <c r="D84">
        <v>422.6</v>
      </c>
    </row>
    <row r="85" spans="1:4" x14ac:dyDescent="0.25">
      <c r="A85">
        <v>30</v>
      </c>
      <c r="B85">
        <v>249</v>
      </c>
      <c r="C85">
        <v>188</v>
      </c>
      <c r="D85">
        <v>442.1</v>
      </c>
    </row>
    <row r="86" spans="1:4" x14ac:dyDescent="0.25">
      <c r="A86">
        <v>31</v>
      </c>
      <c r="B86">
        <v>245</v>
      </c>
      <c r="C86">
        <v>157</v>
      </c>
      <c r="D86">
        <v>463</v>
      </c>
    </row>
    <row r="87" spans="1:4" x14ac:dyDescent="0.25">
      <c r="A87">
        <v>32</v>
      </c>
      <c r="B87">
        <v>253</v>
      </c>
      <c r="C87">
        <v>150</v>
      </c>
      <c r="D87">
        <v>500</v>
      </c>
    </row>
    <row r="88" spans="1:4" x14ac:dyDescent="0.25">
      <c r="A88">
        <v>33</v>
      </c>
      <c r="B88">
        <v>255</v>
      </c>
      <c r="C88">
        <v>120</v>
      </c>
      <c r="D88">
        <v>501.5</v>
      </c>
    </row>
    <row r="89" spans="1:4" x14ac:dyDescent="0.25">
      <c r="A89">
        <v>34</v>
      </c>
      <c r="B89">
        <v>189</v>
      </c>
      <c r="C89">
        <v>191</v>
      </c>
      <c r="D89">
        <v>512</v>
      </c>
    </row>
  </sheetData>
  <pageMargins left="0.7" right="0.7" top="0.75" bottom="0.75" header="0.3" footer="0.3"/>
  <pageSetup paperSize="9" orientation="portrait" verticalDpi="0" r:id="rId1"/>
  <headerFooter>
    <oddFooter xml:space="preserve">&amp;C&amp;"arial,Regular"&amp;8&amp;K990000Internal&amp;8&amp;K000000
</oddFooter>
    <evenFooter xml:space="preserve">&amp;C&amp;"arial,Regular"&amp;8&amp;K990000Internal&amp;8&amp;K000000
</evenFooter>
    <firstFooter xml:space="preserve">&amp;C&amp;"arial,Regular"&amp;8&amp;K990000Internal&amp;8&amp;K000000
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98"/>
  <sheetViews>
    <sheetView tabSelected="1" workbookViewId="0">
      <selection activeCell="V27" sqref="V27"/>
    </sheetView>
  </sheetViews>
  <sheetFormatPr defaultRowHeight="15" x14ac:dyDescent="0.25"/>
  <cols>
    <col min="5" max="9" width="9.140625" style="5"/>
    <col min="12" max="12" width="9.140625" style="5"/>
    <col min="14" max="14" width="9.140625" style="5"/>
    <col min="22" max="22" width="9.140625" style="14"/>
    <col min="32" max="32" width="9.7109375" bestFit="1" customWidth="1"/>
  </cols>
  <sheetData>
    <row r="1" spans="1:33" x14ac:dyDescent="0.25">
      <c r="A1" s="1" t="s">
        <v>233</v>
      </c>
      <c r="E1" s="5" t="s">
        <v>246</v>
      </c>
      <c r="F1" s="5" t="s">
        <v>250</v>
      </c>
      <c r="H1" s="5" t="s">
        <v>252</v>
      </c>
      <c r="J1" s="5" t="s">
        <v>253</v>
      </c>
      <c r="L1" s="5" t="s">
        <v>255</v>
      </c>
      <c r="N1" s="7" t="s">
        <v>254</v>
      </c>
      <c r="P1" t="s">
        <v>266</v>
      </c>
      <c r="R1" s="14" t="s">
        <v>252</v>
      </c>
      <c r="S1" s="14"/>
      <c r="T1" s="14" t="s">
        <v>253</v>
      </c>
      <c r="V1" s="14" t="s">
        <v>255</v>
      </c>
      <c r="X1" t="s">
        <v>256</v>
      </c>
    </row>
    <row r="2" spans="1:33" x14ac:dyDescent="0.25">
      <c r="A2" t="s">
        <v>247</v>
      </c>
      <c r="B2" t="s">
        <v>248</v>
      </c>
      <c r="C2" t="s">
        <v>249</v>
      </c>
      <c r="D2" s="12"/>
      <c r="J2" s="12"/>
      <c r="K2" s="12"/>
      <c r="M2" s="12"/>
      <c r="R2" s="14"/>
      <c r="S2" s="14"/>
      <c r="T2" s="14"/>
      <c r="X2" t="s">
        <v>257</v>
      </c>
      <c r="Y2" t="s">
        <v>261</v>
      </c>
      <c r="Z2" t="s">
        <v>262</v>
      </c>
      <c r="AA2" s="13" t="s">
        <v>263</v>
      </c>
    </row>
    <row r="3" spans="1:33" x14ac:dyDescent="0.25">
      <c r="A3">
        <v>2004</v>
      </c>
      <c r="B3" s="12" t="s">
        <v>234</v>
      </c>
      <c r="C3">
        <v>594</v>
      </c>
      <c r="H3" s="5" t="s">
        <v>234</v>
      </c>
      <c r="I3" s="5">
        <f>AVERAGE(F15,F27,F39,F51,F63,F75,F87)</f>
        <v>-641.42261904761915</v>
      </c>
      <c r="J3" s="5">
        <f>I3-$I$16</f>
        <v>-643.81721230158735</v>
      </c>
      <c r="L3" s="5">
        <f>C3-J3</f>
        <v>1237.8172123015875</v>
      </c>
      <c r="R3" s="14" t="s">
        <v>234</v>
      </c>
      <c r="S3" s="14">
        <f>AVERAGE(P15,P27,P39,P51,P63,P75,P87)</f>
        <v>0.6871736271069796</v>
      </c>
      <c r="T3" s="14">
        <f>S3/$S$16</f>
        <v>0.71123981726251084</v>
      </c>
      <c r="V3" s="14">
        <f>C3/T3</f>
        <v>835.16134162207777</v>
      </c>
      <c r="X3">
        <v>1</v>
      </c>
      <c r="Y3">
        <f>X3^2</f>
        <v>1</v>
      </c>
      <c r="Z3">
        <f>X3*C3</f>
        <v>594</v>
      </c>
      <c r="AA3" s="13">
        <f>$AG$5+$AG$6*X3</f>
        <v>1033.2712628865982</v>
      </c>
      <c r="AC3" t="s">
        <v>259</v>
      </c>
      <c r="AD3">
        <f>AVERAGE(Z3:Z98)-AVERAGE(X3:X98)*AVERAGE(C3:C98)</f>
        <v>17040.333333333328</v>
      </c>
      <c r="AF3" t="s">
        <v>258</v>
      </c>
    </row>
    <row r="4" spans="1:33" x14ac:dyDescent="0.25">
      <c r="A4">
        <v>2004</v>
      </c>
      <c r="B4" s="12" t="s">
        <v>235</v>
      </c>
      <c r="C4">
        <v>924</v>
      </c>
      <c r="H4" s="5" t="s">
        <v>235</v>
      </c>
      <c r="I4" s="5">
        <f t="shared" ref="I4:I14" si="0">AVERAGE(F16,F28,F40,F52,F64,F76,F88)</f>
        <v>-293.97023809523802</v>
      </c>
      <c r="J4" s="5">
        <f t="shared" ref="J4:J14" si="1">I4-$I$16</f>
        <v>-296.36483134920621</v>
      </c>
      <c r="L4" s="5">
        <f t="shared" ref="L4:L14" si="2">C4-J4</f>
        <v>1220.3648313492063</v>
      </c>
      <c r="R4" s="14" t="s">
        <v>235</v>
      </c>
      <c r="S4" s="14">
        <f t="shared" ref="S4:S14" si="3">AVERAGE(P16,P28,P40,P52,P64,P76,P88)</f>
        <v>0.87814839054581328</v>
      </c>
      <c r="T4" s="14">
        <f t="shared" ref="T4:T14" si="4">S4/$S$16</f>
        <v>0.90890289758448228</v>
      </c>
      <c r="V4" s="14">
        <f t="shared" ref="V4:V14" si="5">C4/T4</f>
        <v>1016.6102478665654</v>
      </c>
      <c r="X4">
        <v>2</v>
      </c>
      <c r="Y4">
        <f t="shared" ref="Y4:Y67" si="6">X4^2</f>
        <v>4</v>
      </c>
      <c r="Z4">
        <f t="shared" ref="Z4:Z67" si="7">X4*C4</f>
        <v>1848</v>
      </c>
      <c r="AA4" s="13">
        <f t="shared" ref="AA4:AA67" si="8">$AG$5+$AG$6*X4</f>
        <v>1055.4616047205645</v>
      </c>
      <c r="AC4" t="s">
        <v>260</v>
      </c>
      <c r="AD4">
        <f>AVERAGE(Y3:Y98)-(AVERAGE(X3:X98))^2</f>
        <v>767.91666666666652</v>
      </c>
    </row>
    <row r="5" spans="1:33" x14ac:dyDescent="0.25">
      <c r="A5">
        <v>2004</v>
      </c>
      <c r="B5" s="12" t="s">
        <v>236</v>
      </c>
      <c r="C5">
        <v>1166</v>
      </c>
      <c r="H5" s="5" t="s">
        <v>236</v>
      </c>
      <c r="I5" s="5">
        <f t="shared" si="0"/>
        <v>-134.98214285714286</v>
      </c>
      <c r="J5" s="5">
        <f t="shared" si="1"/>
        <v>-137.37673611111109</v>
      </c>
      <c r="L5" s="5">
        <f t="shared" si="2"/>
        <v>1303.3767361111111</v>
      </c>
      <c r="R5" s="14" t="s">
        <v>236</v>
      </c>
      <c r="S5" s="14">
        <f t="shared" si="3"/>
        <v>0.93259856731414259</v>
      </c>
      <c r="T5" s="14">
        <f t="shared" si="4"/>
        <v>0.96526002807806688</v>
      </c>
      <c r="V5" s="14">
        <f t="shared" si="5"/>
        <v>1207.9646583124625</v>
      </c>
      <c r="X5">
        <v>3</v>
      </c>
      <c r="Y5">
        <f t="shared" si="6"/>
        <v>9</v>
      </c>
      <c r="Z5">
        <f t="shared" si="7"/>
        <v>3498</v>
      </c>
      <c r="AA5" s="13">
        <f t="shared" si="8"/>
        <v>1077.6519465545309</v>
      </c>
      <c r="AF5" t="s">
        <v>221</v>
      </c>
      <c r="AG5">
        <f>AVERAGE(C3:C98)-$AG$6*AVERAGE(X3:X98)</f>
        <v>1011.0809210526318</v>
      </c>
    </row>
    <row r="6" spans="1:33" x14ac:dyDescent="0.25">
      <c r="A6">
        <v>2004</v>
      </c>
      <c r="B6" s="12" t="s">
        <v>237</v>
      </c>
      <c r="C6">
        <v>1254</v>
      </c>
      <c r="H6" s="5" t="s">
        <v>237</v>
      </c>
      <c r="I6" s="5">
        <f t="shared" si="0"/>
        <v>-212.41666666666671</v>
      </c>
      <c r="J6" s="5">
        <f t="shared" si="1"/>
        <v>-214.81125992063494</v>
      </c>
      <c r="L6" s="5">
        <f t="shared" si="2"/>
        <v>1468.8112599206349</v>
      </c>
      <c r="R6" s="14" t="s">
        <v>237</v>
      </c>
      <c r="S6" s="14">
        <f t="shared" si="3"/>
        <v>0.91449400923062707</v>
      </c>
      <c r="T6" s="14">
        <f t="shared" si="4"/>
        <v>0.94652141228288678</v>
      </c>
      <c r="V6" s="14">
        <f t="shared" si="5"/>
        <v>1324.8511694791086</v>
      </c>
      <c r="X6">
        <v>4</v>
      </c>
      <c r="Y6">
        <f t="shared" si="6"/>
        <v>16</v>
      </c>
      <c r="Z6">
        <f t="shared" si="7"/>
        <v>5016</v>
      </c>
      <c r="AA6" s="13">
        <f t="shared" si="8"/>
        <v>1099.8422883884973</v>
      </c>
      <c r="AF6" t="s">
        <v>222</v>
      </c>
      <c r="AG6">
        <f>AD3/AD4</f>
        <v>22.190341833966357</v>
      </c>
    </row>
    <row r="7" spans="1:33" x14ac:dyDescent="0.25">
      <c r="A7">
        <v>2004</v>
      </c>
      <c r="B7" s="12" t="s">
        <v>238</v>
      </c>
      <c r="C7">
        <v>1361</v>
      </c>
      <c r="H7" s="5" t="s">
        <v>238</v>
      </c>
      <c r="I7" s="5">
        <f t="shared" si="0"/>
        <v>604.11904761904759</v>
      </c>
      <c r="J7" s="5">
        <f t="shared" si="1"/>
        <v>601.7244543650794</v>
      </c>
      <c r="L7" s="5">
        <f t="shared" si="2"/>
        <v>759.2755456349206</v>
      </c>
      <c r="R7" s="14" t="s">
        <v>238</v>
      </c>
      <c r="S7" s="14">
        <f t="shared" si="3"/>
        <v>1.2893885546884269</v>
      </c>
      <c r="T7" s="14">
        <f t="shared" si="4"/>
        <v>1.3345455119950356</v>
      </c>
      <c r="V7" s="14">
        <f t="shared" si="5"/>
        <v>1019.8228443819927</v>
      </c>
      <c r="X7">
        <v>5</v>
      </c>
      <c r="Y7">
        <f t="shared" si="6"/>
        <v>25</v>
      </c>
      <c r="Z7">
        <f t="shared" si="7"/>
        <v>6805</v>
      </c>
      <c r="AA7" s="13">
        <f t="shared" si="8"/>
        <v>1122.0326302224635</v>
      </c>
    </row>
    <row r="8" spans="1:33" x14ac:dyDescent="0.25">
      <c r="A8">
        <v>2004</v>
      </c>
      <c r="B8" s="12" t="s">
        <v>239</v>
      </c>
      <c r="C8">
        <v>1436</v>
      </c>
      <c r="H8" s="5" t="s">
        <v>239</v>
      </c>
      <c r="I8" s="5">
        <f t="shared" si="0"/>
        <v>480.72023809523807</v>
      </c>
      <c r="J8" s="5">
        <f t="shared" si="1"/>
        <v>478.32564484126988</v>
      </c>
      <c r="L8" s="5">
        <f t="shared" si="2"/>
        <v>957.67435515873012</v>
      </c>
      <c r="R8" s="14" t="s">
        <v>239</v>
      </c>
      <c r="S8" s="14">
        <f t="shared" si="3"/>
        <v>1.2152552588106631</v>
      </c>
      <c r="T8" s="14">
        <f t="shared" si="4"/>
        <v>1.257815920326699</v>
      </c>
      <c r="V8" s="14">
        <f t="shared" si="5"/>
        <v>1141.6614917920742</v>
      </c>
      <c r="X8">
        <v>6</v>
      </c>
      <c r="Y8">
        <f t="shared" si="6"/>
        <v>36</v>
      </c>
      <c r="Z8">
        <f t="shared" si="7"/>
        <v>8616</v>
      </c>
      <c r="AA8" s="13">
        <f t="shared" si="8"/>
        <v>1144.2229720564299</v>
      </c>
    </row>
    <row r="9" spans="1:33" x14ac:dyDescent="0.25">
      <c r="A9">
        <v>2004</v>
      </c>
      <c r="B9" s="12" t="s">
        <v>240</v>
      </c>
      <c r="C9">
        <v>1731</v>
      </c>
      <c r="E9" s="5">
        <f>(0.5*C3+C4+C5+C6+C7+C8+C9+C10+C11+C12+C13+C14+0.5*C15)/12</f>
        <v>1182.4166666666667</v>
      </c>
      <c r="F9" s="5">
        <f>C9-E9</f>
        <v>548.58333333333326</v>
      </c>
      <c r="H9" s="5" t="s">
        <v>240</v>
      </c>
      <c r="I9" s="5">
        <f t="shared" si="0"/>
        <v>607.66666666666674</v>
      </c>
      <c r="J9" s="5">
        <f t="shared" si="1"/>
        <v>605.27207341269855</v>
      </c>
      <c r="L9" s="5">
        <f t="shared" si="2"/>
        <v>1125.7279265873015</v>
      </c>
      <c r="N9" s="5">
        <f>(0.5*C3+C4+C5+C6+C7+C8+C9+C10+C11+C12+C13+C14+0.5*C15)/12</f>
        <v>1182.4166666666667</v>
      </c>
      <c r="P9" s="14">
        <f>C9/E9</f>
        <v>1.4639509479174007</v>
      </c>
      <c r="R9" s="14" t="s">
        <v>240</v>
      </c>
      <c r="S9" s="14">
        <f t="shared" si="3"/>
        <v>1.2322874716452115</v>
      </c>
      <c r="T9" s="14">
        <f t="shared" si="4"/>
        <v>1.2754446352048012</v>
      </c>
      <c r="V9" s="14">
        <f t="shared" si="5"/>
        <v>1357.1737668738942</v>
      </c>
      <c r="X9">
        <v>7</v>
      </c>
      <c r="Y9">
        <f t="shared" si="6"/>
        <v>49</v>
      </c>
      <c r="Z9">
        <f t="shared" si="7"/>
        <v>12117</v>
      </c>
      <c r="AA9" s="13">
        <f t="shared" si="8"/>
        <v>1166.4133138903962</v>
      </c>
    </row>
    <row r="10" spans="1:33" x14ac:dyDescent="0.25">
      <c r="A10">
        <v>2004</v>
      </c>
      <c r="B10" s="12" t="s">
        <v>241</v>
      </c>
      <c r="C10">
        <v>1689</v>
      </c>
      <c r="E10" s="5">
        <f t="shared" ref="E10:E73" si="9">(0.5*C4+C5+C6+C7+C8+C9+C10+C11+C12+C13+C14+C15+0.5*C16)/12</f>
        <v>1201.0833333333333</v>
      </c>
      <c r="F10" s="5">
        <f t="shared" ref="F10:F73" si="10">C10-E10</f>
        <v>487.91666666666674</v>
      </c>
      <c r="H10" s="5" t="s">
        <v>241</v>
      </c>
      <c r="I10" s="5">
        <f t="shared" si="0"/>
        <v>794.7638888888888</v>
      </c>
      <c r="J10" s="5">
        <f t="shared" si="1"/>
        <v>792.3692956349206</v>
      </c>
      <c r="L10" s="5">
        <f t="shared" si="2"/>
        <v>896.6307043650794</v>
      </c>
      <c r="N10" s="5">
        <f t="shared" ref="N10:N73" si="11">(0.5*C4+C5+C6+C7+C8+C9+C10+C11+C12+C13+C14+C15+0.5*C16)/12</f>
        <v>1201.0833333333333</v>
      </c>
      <c r="P10" s="14">
        <f t="shared" ref="P10:P73" si="12">C10/E10</f>
        <v>1.4062304863664747</v>
      </c>
      <c r="R10" s="14" t="s">
        <v>241</v>
      </c>
      <c r="S10" s="14">
        <f t="shared" si="3"/>
        <v>1.3653584315164442</v>
      </c>
      <c r="T10" s="14">
        <f t="shared" si="4"/>
        <v>1.4131760053393365</v>
      </c>
      <c r="V10" s="14">
        <f t="shared" si="5"/>
        <v>1195.1802136595375</v>
      </c>
      <c r="X10">
        <v>8</v>
      </c>
      <c r="Y10">
        <f t="shared" si="6"/>
        <v>64</v>
      </c>
      <c r="Z10">
        <f t="shared" si="7"/>
        <v>13512</v>
      </c>
      <c r="AA10" s="13">
        <f t="shared" si="8"/>
        <v>1188.6036557243626</v>
      </c>
    </row>
    <row r="11" spans="1:33" x14ac:dyDescent="0.25">
      <c r="A11">
        <v>2004</v>
      </c>
      <c r="B11" s="12" t="s">
        <v>242</v>
      </c>
      <c r="C11">
        <v>1306</v>
      </c>
      <c r="E11" s="5">
        <f t="shared" si="9"/>
        <v>1217.1666666666667</v>
      </c>
      <c r="F11" s="5">
        <f t="shared" si="10"/>
        <v>88.833333333333258</v>
      </c>
      <c r="H11" s="5" t="s">
        <v>242</v>
      </c>
      <c r="I11" s="5">
        <f t="shared" si="0"/>
        <v>172.56944444444434</v>
      </c>
      <c r="J11" s="5">
        <f t="shared" si="1"/>
        <v>170.17485119047612</v>
      </c>
      <c r="L11" s="5">
        <f t="shared" si="2"/>
        <v>1135.8251488095239</v>
      </c>
      <c r="N11" s="5">
        <f t="shared" si="11"/>
        <v>1217.1666666666667</v>
      </c>
      <c r="P11" s="14">
        <f t="shared" si="12"/>
        <v>1.0729837053265781</v>
      </c>
      <c r="R11" s="14" t="s">
        <v>242</v>
      </c>
      <c r="S11" s="14">
        <f t="shared" si="3"/>
        <v>1.0762085341100969</v>
      </c>
      <c r="T11" s="14">
        <f t="shared" si="4"/>
        <v>1.1138995021670928</v>
      </c>
      <c r="V11" s="14">
        <f t="shared" si="5"/>
        <v>1172.4576566011347</v>
      </c>
      <c r="X11">
        <v>9</v>
      </c>
      <c r="Y11">
        <f t="shared" si="6"/>
        <v>81</v>
      </c>
      <c r="Z11">
        <f t="shared" si="7"/>
        <v>11754</v>
      </c>
      <c r="AA11" s="13">
        <f t="shared" si="8"/>
        <v>1210.793997558329</v>
      </c>
    </row>
    <row r="12" spans="1:33" x14ac:dyDescent="0.25">
      <c r="A12">
        <v>2004</v>
      </c>
      <c r="B12" s="12" t="s">
        <v>243</v>
      </c>
      <c r="C12">
        <v>1049</v>
      </c>
      <c r="E12" s="5">
        <f t="shared" si="9"/>
        <v>1234.9166666666667</v>
      </c>
      <c r="F12" s="5">
        <f t="shared" si="10"/>
        <v>-185.91666666666674</v>
      </c>
      <c r="H12" s="5" t="s">
        <v>243</v>
      </c>
      <c r="I12" s="5">
        <f t="shared" si="0"/>
        <v>-289.47916666666669</v>
      </c>
      <c r="J12" s="5">
        <f t="shared" si="1"/>
        <v>-291.87375992063488</v>
      </c>
      <c r="L12" s="5">
        <f t="shared" si="2"/>
        <v>1340.8737599206349</v>
      </c>
      <c r="N12" s="5">
        <f t="shared" si="11"/>
        <v>1234.9166666666667</v>
      </c>
      <c r="P12" s="14">
        <f t="shared" si="12"/>
        <v>0.84945003036642142</v>
      </c>
      <c r="R12" s="14" t="s">
        <v>243</v>
      </c>
      <c r="S12" s="14">
        <f t="shared" si="3"/>
        <v>0.85419129472753974</v>
      </c>
      <c r="T12" s="14">
        <f t="shared" si="4"/>
        <v>0.88410677651728553</v>
      </c>
      <c r="V12" s="14">
        <f t="shared" si="5"/>
        <v>1186.5082678500323</v>
      </c>
      <c r="X12">
        <v>10</v>
      </c>
      <c r="Y12">
        <f t="shared" si="6"/>
        <v>100</v>
      </c>
      <c r="Z12">
        <f t="shared" si="7"/>
        <v>10490</v>
      </c>
      <c r="AA12" s="13">
        <f t="shared" si="8"/>
        <v>1232.9843393922954</v>
      </c>
    </row>
    <row r="13" spans="1:33" x14ac:dyDescent="0.25">
      <c r="A13">
        <v>2004</v>
      </c>
      <c r="B13" s="12" t="s">
        <v>244</v>
      </c>
      <c r="C13">
        <v>804</v>
      </c>
      <c r="E13" s="5">
        <f t="shared" si="9"/>
        <v>1261.875</v>
      </c>
      <c r="F13" s="5">
        <f t="shared" si="10"/>
        <v>-457.875</v>
      </c>
      <c r="H13" s="5" t="s">
        <v>244</v>
      </c>
      <c r="I13" s="5">
        <f t="shared" si="0"/>
        <v>-26.555555555555543</v>
      </c>
      <c r="J13" s="5">
        <f t="shared" si="1"/>
        <v>-28.950148809523757</v>
      </c>
      <c r="L13" s="5">
        <f t="shared" si="2"/>
        <v>832.95014880952374</v>
      </c>
      <c r="N13" s="5">
        <f t="shared" si="11"/>
        <v>1261.875</v>
      </c>
      <c r="P13" s="14">
        <f t="shared" si="12"/>
        <v>0.63714710252600293</v>
      </c>
      <c r="R13" s="14" t="s">
        <v>244</v>
      </c>
      <c r="S13" s="14">
        <f t="shared" si="3"/>
        <v>0.99388386438536902</v>
      </c>
      <c r="T13" s="14">
        <f t="shared" si="4"/>
        <v>1.0286916584119126</v>
      </c>
      <c r="V13" s="14">
        <f t="shared" si="5"/>
        <v>781.57530823299362</v>
      </c>
      <c r="X13">
        <v>11</v>
      </c>
      <c r="Y13">
        <f t="shared" si="6"/>
        <v>121</v>
      </c>
      <c r="Z13">
        <f t="shared" si="7"/>
        <v>8844</v>
      </c>
      <c r="AA13" s="13">
        <f t="shared" si="8"/>
        <v>1255.1746812262618</v>
      </c>
    </row>
    <row r="14" spans="1:33" x14ac:dyDescent="0.25">
      <c r="A14">
        <v>2004</v>
      </c>
      <c r="B14" s="12" t="s">
        <v>245</v>
      </c>
      <c r="C14">
        <v>805</v>
      </c>
      <c r="E14" s="5">
        <f t="shared" si="9"/>
        <v>1286.1666666666667</v>
      </c>
      <c r="F14" s="5">
        <f t="shared" si="10"/>
        <v>-481.16666666666674</v>
      </c>
      <c r="H14" s="5" t="s">
        <v>245</v>
      </c>
      <c r="I14" s="5">
        <f t="shared" si="0"/>
        <v>-1032.2777777777781</v>
      </c>
      <c r="J14" s="5">
        <f t="shared" si="1"/>
        <v>-1034.6723710317463</v>
      </c>
      <c r="L14" s="5">
        <f t="shared" si="2"/>
        <v>1839.6723710317463</v>
      </c>
      <c r="N14" s="5">
        <f t="shared" si="11"/>
        <v>1286.1666666666667</v>
      </c>
      <c r="P14" s="14">
        <f t="shared" si="12"/>
        <v>0.62589089024232214</v>
      </c>
      <c r="R14" s="14" t="s">
        <v>245</v>
      </c>
      <c r="S14" s="14">
        <f t="shared" si="3"/>
        <v>0.53370075444276044</v>
      </c>
      <c r="T14" s="14">
        <f t="shared" si="4"/>
        <v>0.55239201868211163</v>
      </c>
      <c r="V14" s="14">
        <f t="shared" si="5"/>
        <v>1457.2983909516952</v>
      </c>
      <c r="X14">
        <v>12</v>
      </c>
      <c r="Y14">
        <f t="shared" si="6"/>
        <v>144</v>
      </c>
      <c r="Z14">
        <f t="shared" si="7"/>
        <v>9660</v>
      </c>
      <c r="AA14" s="13">
        <f t="shared" si="8"/>
        <v>1277.3650230602279</v>
      </c>
    </row>
    <row r="15" spans="1:33" x14ac:dyDescent="0.25">
      <c r="A15">
        <v>2005</v>
      </c>
      <c r="B15" s="12" t="s">
        <v>234</v>
      </c>
      <c r="C15">
        <v>734</v>
      </c>
      <c r="E15" s="5">
        <f t="shared" si="9"/>
        <v>1302.375</v>
      </c>
      <c r="F15" s="5">
        <f t="shared" si="10"/>
        <v>-568.375</v>
      </c>
      <c r="L15" s="5">
        <f>C15-J3</f>
        <v>1377.8172123015875</v>
      </c>
      <c r="N15" s="5">
        <f t="shared" si="11"/>
        <v>1302.375</v>
      </c>
      <c r="P15" s="14">
        <f t="shared" si="12"/>
        <v>0.56358575679047895</v>
      </c>
      <c r="R15" s="14"/>
      <c r="S15" s="14"/>
      <c r="T15" s="14"/>
      <c r="V15" s="14">
        <f>C15/T3</f>
        <v>1032.0007150683587</v>
      </c>
      <c r="X15">
        <v>13</v>
      </c>
      <c r="Y15">
        <f t="shared" si="6"/>
        <v>169</v>
      </c>
      <c r="Z15">
        <f t="shared" si="7"/>
        <v>9542</v>
      </c>
      <c r="AA15" s="13">
        <f t="shared" si="8"/>
        <v>1299.5553648941946</v>
      </c>
    </row>
    <row r="16" spans="1:33" x14ac:dyDescent="0.25">
      <c r="A16">
        <v>2005</v>
      </c>
      <c r="B16" s="12" t="s">
        <v>235</v>
      </c>
      <c r="C16">
        <v>1232</v>
      </c>
      <c r="E16" s="5">
        <f t="shared" si="9"/>
        <v>1317.7083333333333</v>
      </c>
      <c r="F16" s="5">
        <f t="shared" si="10"/>
        <v>-85.708333333333258</v>
      </c>
      <c r="H16" s="5" t="s">
        <v>251</v>
      </c>
      <c r="I16" s="5">
        <f>AVERAGE(I3:I14)</f>
        <v>2.3945932539682153</v>
      </c>
      <c r="J16" s="5">
        <f>AVERAGE(J3:J14)</f>
        <v>0</v>
      </c>
      <c r="L16" s="5">
        <f t="shared" ref="L16:L26" si="13">C16-J4</f>
        <v>1528.3648313492063</v>
      </c>
      <c r="N16" s="5">
        <f t="shared" si="11"/>
        <v>1317.7083333333333</v>
      </c>
      <c r="P16" s="14">
        <f t="shared" si="12"/>
        <v>0.93495652173913046</v>
      </c>
      <c r="R16" s="14" t="s">
        <v>251</v>
      </c>
      <c r="S16" s="14">
        <f>GEOMEAN(S3:S14)</f>
        <v>0.96616304434675837</v>
      </c>
      <c r="T16" s="14">
        <f>GEOMEAN(T3:T14)</f>
        <v>1</v>
      </c>
      <c r="V16" s="14">
        <f t="shared" ref="V16:V26" si="14">C16/T4</f>
        <v>1355.4803304887539</v>
      </c>
      <c r="X16">
        <v>14</v>
      </c>
      <c r="Y16">
        <f t="shared" si="6"/>
        <v>196</v>
      </c>
      <c r="Z16">
        <f t="shared" si="7"/>
        <v>17248</v>
      </c>
      <c r="AA16" s="13">
        <f t="shared" si="8"/>
        <v>1321.7457067281607</v>
      </c>
    </row>
    <row r="17" spans="1:27" x14ac:dyDescent="0.25">
      <c r="A17">
        <v>2005</v>
      </c>
      <c r="B17" s="12" t="s">
        <v>236</v>
      </c>
      <c r="C17">
        <v>1244</v>
      </c>
      <c r="E17" s="5">
        <f t="shared" si="9"/>
        <v>1340.25</v>
      </c>
      <c r="F17" s="5">
        <f t="shared" si="10"/>
        <v>-96.25</v>
      </c>
      <c r="L17" s="5">
        <f t="shared" si="13"/>
        <v>1381.3767361111111</v>
      </c>
      <c r="N17" s="5">
        <f t="shared" si="11"/>
        <v>1340.25</v>
      </c>
      <c r="P17" s="14">
        <f t="shared" si="12"/>
        <v>0.92818504010445813</v>
      </c>
      <c r="V17" s="14">
        <f t="shared" si="14"/>
        <v>1288.7718996060921</v>
      </c>
      <c r="X17">
        <v>15</v>
      </c>
      <c r="Y17">
        <f t="shared" si="6"/>
        <v>225</v>
      </c>
      <c r="Z17">
        <f t="shared" si="7"/>
        <v>18660</v>
      </c>
      <c r="AA17" s="13">
        <f t="shared" si="8"/>
        <v>1343.9360485621271</v>
      </c>
    </row>
    <row r="18" spans="1:27" x14ac:dyDescent="0.25">
      <c r="A18">
        <v>2005</v>
      </c>
      <c r="B18" s="12" t="s">
        <v>237</v>
      </c>
      <c r="C18">
        <v>1602</v>
      </c>
      <c r="E18" s="5">
        <f t="shared" si="9"/>
        <v>1362.3333333333333</v>
      </c>
      <c r="F18" s="5">
        <f t="shared" si="10"/>
        <v>239.66666666666674</v>
      </c>
      <c r="L18" s="5">
        <f t="shared" si="13"/>
        <v>1816.8112599206349</v>
      </c>
      <c r="N18" s="5">
        <f t="shared" si="11"/>
        <v>1362.3333333333333</v>
      </c>
      <c r="P18" s="14">
        <f t="shared" si="12"/>
        <v>1.1759236603865917</v>
      </c>
      <c r="V18" s="14">
        <f t="shared" si="14"/>
        <v>1692.5132165115883</v>
      </c>
      <c r="X18">
        <v>16</v>
      </c>
      <c r="Y18">
        <f t="shared" si="6"/>
        <v>256</v>
      </c>
      <c r="Z18">
        <f t="shared" si="7"/>
        <v>25632</v>
      </c>
      <c r="AA18" s="13">
        <f t="shared" si="8"/>
        <v>1366.1263903960935</v>
      </c>
    </row>
    <row r="19" spans="1:27" x14ac:dyDescent="0.25">
      <c r="A19">
        <v>2005</v>
      </c>
      <c r="B19" s="12" t="s">
        <v>238</v>
      </c>
      <c r="C19">
        <v>1660</v>
      </c>
      <c r="E19" s="5">
        <f t="shared" si="9"/>
        <v>1407.9583333333333</v>
      </c>
      <c r="F19" s="5">
        <f t="shared" si="10"/>
        <v>252.04166666666674</v>
      </c>
      <c r="L19" s="5">
        <f t="shared" si="13"/>
        <v>1058.2755456349205</v>
      </c>
      <c r="N19" s="5">
        <f t="shared" si="11"/>
        <v>1407.9583333333333</v>
      </c>
      <c r="P19" s="14">
        <f t="shared" si="12"/>
        <v>1.1790121630019827</v>
      </c>
      <c r="V19" s="14">
        <f t="shared" si="14"/>
        <v>1243.8691562631211</v>
      </c>
      <c r="X19">
        <v>17</v>
      </c>
      <c r="Y19">
        <f t="shared" si="6"/>
        <v>289</v>
      </c>
      <c r="Z19">
        <f t="shared" si="7"/>
        <v>28220</v>
      </c>
      <c r="AA19" s="13">
        <f t="shared" si="8"/>
        <v>1388.3167322300599</v>
      </c>
    </row>
    <row r="20" spans="1:27" x14ac:dyDescent="0.25">
      <c r="A20">
        <v>2005</v>
      </c>
      <c r="B20" s="12" t="s">
        <v>239</v>
      </c>
      <c r="C20">
        <v>1720</v>
      </c>
      <c r="E20" s="5">
        <f t="shared" si="9"/>
        <v>1450.7083333333333</v>
      </c>
      <c r="F20" s="5">
        <f t="shared" si="10"/>
        <v>269.29166666666674</v>
      </c>
      <c r="L20" s="5">
        <f t="shared" si="13"/>
        <v>1241.6743551587301</v>
      </c>
      <c r="N20" s="5">
        <f t="shared" si="11"/>
        <v>1450.7083333333333</v>
      </c>
      <c r="P20" s="14">
        <f t="shared" si="12"/>
        <v>1.1856277106011432</v>
      </c>
      <c r="V20" s="14">
        <f t="shared" si="14"/>
        <v>1367.4496976896712</v>
      </c>
      <c r="X20">
        <v>18</v>
      </c>
      <c r="Y20">
        <f t="shared" si="6"/>
        <v>324</v>
      </c>
      <c r="Z20">
        <f t="shared" si="7"/>
        <v>30960</v>
      </c>
      <c r="AA20" s="13">
        <f t="shared" si="8"/>
        <v>1410.5070740640263</v>
      </c>
    </row>
    <row r="21" spans="1:27" x14ac:dyDescent="0.25">
      <c r="A21">
        <v>2005</v>
      </c>
      <c r="B21" s="12" t="s">
        <v>240</v>
      </c>
      <c r="C21">
        <v>1836</v>
      </c>
      <c r="E21" s="5">
        <f t="shared" si="9"/>
        <v>1476.875</v>
      </c>
      <c r="F21" s="5">
        <f t="shared" si="10"/>
        <v>359.125</v>
      </c>
      <c r="L21" s="5">
        <f t="shared" si="13"/>
        <v>1230.7279265873015</v>
      </c>
      <c r="N21" s="5">
        <f t="shared" si="11"/>
        <v>1476.875</v>
      </c>
      <c r="P21" s="14">
        <f t="shared" si="12"/>
        <v>1.2431654676258992</v>
      </c>
      <c r="V21" s="14">
        <f t="shared" si="14"/>
        <v>1439.4979988333159</v>
      </c>
      <c r="X21">
        <v>19</v>
      </c>
      <c r="Y21">
        <f t="shared" si="6"/>
        <v>361</v>
      </c>
      <c r="Z21">
        <f t="shared" si="7"/>
        <v>34884</v>
      </c>
      <c r="AA21" s="13">
        <f t="shared" si="8"/>
        <v>1432.6974158979924</v>
      </c>
    </row>
    <row r="22" spans="1:27" x14ac:dyDescent="0.25">
      <c r="A22">
        <v>2005</v>
      </c>
      <c r="B22" s="12" t="s">
        <v>241</v>
      </c>
      <c r="C22">
        <v>1952</v>
      </c>
      <c r="E22" s="5">
        <f t="shared" si="9"/>
        <v>1509</v>
      </c>
      <c r="F22" s="5">
        <f t="shared" si="10"/>
        <v>443</v>
      </c>
      <c r="L22" s="5">
        <f t="shared" si="13"/>
        <v>1159.6307043650795</v>
      </c>
      <c r="N22" s="5">
        <f t="shared" si="11"/>
        <v>1509</v>
      </c>
      <c r="P22" s="14">
        <f t="shared" si="12"/>
        <v>1.2935719019218026</v>
      </c>
      <c r="V22" s="14">
        <f t="shared" si="14"/>
        <v>1381.285836035179</v>
      </c>
      <c r="X22">
        <v>20</v>
      </c>
      <c r="Y22">
        <f t="shared" si="6"/>
        <v>400</v>
      </c>
      <c r="Z22">
        <f t="shared" si="7"/>
        <v>39040</v>
      </c>
      <c r="AA22" s="13">
        <f t="shared" si="8"/>
        <v>1454.887757731959</v>
      </c>
    </row>
    <row r="23" spans="1:27" x14ac:dyDescent="0.25">
      <c r="A23">
        <v>2005</v>
      </c>
      <c r="B23" s="12" t="s">
        <v>242</v>
      </c>
      <c r="C23">
        <v>1584</v>
      </c>
      <c r="E23" s="5">
        <f t="shared" si="9"/>
        <v>1535.625</v>
      </c>
      <c r="F23" s="5">
        <f t="shared" si="10"/>
        <v>48.375</v>
      </c>
      <c r="L23" s="5">
        <f t="shared" si="13"/>
        <v>1413.8251488095239</v>
      </c>
      <c r="N23" s="5">
        <f t="shared" si="11"/>
        <v>1535.625</v>
      </c>
      <c r="P23" s="14">
        <f t="shared" si="12"/>
        <v>1.0315018315018316</v>
      </c>
      <c r="V23" s="14">
        <f t="shared" si="14"/>
        <v>1422.0313384810086</v>
      </c>
      <c r="X23">
        <v>21</v>
      </c>
      <c r="Y23">
        <f t="shared" si="6"/>
        <v>441</v>
      </c>
      <c r="Z23">
        <f t="shared" si="7"/>
        <v>33264</v>
      </c>
      <c r="AA23" s="13">
        <f t="shared" si="8"/>
        <v>1477.0780995659252</v>
      </c>
    </row>
    <row r="24" spans="1:27" x14ac:dyDescent="0.25">
      <c r="A24">
        <v>2005</v>
      </c>
      <c r="B24" s="12" t="s">
        <v>243</v>
      </c>
      <c r="C24">
        <v>1301</v>
      </c>
      <c r="E24" s="5">
        <f t="shared" si="9"/>
        <v>1539.0833333333333</v>
      </c>
      <c r="F24" s="5">
        <f t="shared" si="10"/>
        <v>-238.08333333333326</v>
      </c>
      <c r="L24" s="5">
        <f t="shared" si="13"/>
        <v>1592.8737599206349</v>
      </c>
      <c r="N24" s="5">
        <f t="shared" si="11"/>
        <v>1539.0833333333333</v>
      </c>
      <c r="P24" s="14">
        <f t="shared" si="12"/>
        <v>0.84530835454004016</v>
      </c>
      <c r="V24" s="14">
        <f t="shared" si="14"/>
        <v>1471.5417125575709</v>
      </c>
      <c r="X24">
        <v>22</v>
      </c>
      <c r="Y24">
        <f t="shared" si="6"/>
        <v>484</v>
      </c>
      <c r="Z24">
        <f t="shared" si="7"/>
        <v>28622</v>
      </c>
      <c r="AA24" s="13">
        <f t="shared" si="8"/>
        <v>1499.2684413998916</v>
      </c>
    </row>
    <row r="25" spans="1:27" x14ac:dyDescent="0.25">
      <c r="A25">
        <v>2005</v>
      </c>
      <c r="B25" s="12" t="s">
        <v>244</v>
      </c>
      <c r="C25">
        <v>1647</v>
      </c>
      <c r="E25" s="5">
        <f t="shared" si="9"/>
        <v>1556.9166666666667</v>
      </c>
      <c r="F25" s="5">
        <f t="shared" si="10"/>
        <v>90.083333333333258</v>
      </c>
      <c r="L25" s="5">
        <f t="shared" si="13"/>
        <v>1675.9501488095239</v>
      </c>
      <c r="N25" s="5">
        <f t="shared" si="11"/>
        <v>1556.9166666666667</v>
      </c>
      <c r="P25" s="14">
        <f t="shared" si="12"/>
        <v>1.0578600867098431</v>
      </c>
      <c r="V25" s="14">
        <f t="shared" si="14"/>
        <v>1601.0628515668416</v>
      </c>
      <c r="X25">
        <v>23</v>
      </c>
      <c r="Y25">
        <f t="shared" si="6"/>
        <v>529</v>
      </c>
      <c r="Z25">
        <f t="shared" si="7"/>
        <v>37881</v>
      </c>
      <c r="AA25" s="13">
        <f t="shared" si="8"/>
        <v>1521.458783233858</v>
      </c>
    </row>
    <row r="26" spans="1:27" x14ac:dyDescent="0.25">
      <c r="A26">
        <v>2005</v>
      </c>
      <c r="B26" s="12" t="s">
        <v>245</v>
      </c>
      <c r="C26">
        <v>988</v>
      </c>
      <c r="E26" s="5">
        <f t="shared" si="9"/>
        <v>1590.6666666666667</v>
      </c>
      <c r="F26" s="5">
        <f t="shared" si="10"/>
        <v>-602.66666666666674</v>
      </c>
      <c r="L26" s="5">
        <f t="shared" si="13"/>
        <v>2022.6723710317463</v>
      </c>
      <c r="N26" s="5">
        <f t="shared" si="11"/>
        <v>1590.6666666666667</v>
      </c>
      <c r="P26" s="14">
        <f t="shared" si="12"/>
        <v>0.62112321877619447</v>
      </c>
      <c r="V26" s="14">
        <f t="shared" si="14"/>
        <v>1788.58485746618</v>
      </c>
      <c r="X26">
        <v>24</v>
      </c>
      <c r="Y26">
        <f t="shared" si="6"/>
        <v>576</v>
      </c>
      <c r="Z26">
        <f t="shared" si="7"/>
        <v>23712</v>
      </c>
      <c r="AA26" s="13">
        <f t="shared" si="8"/>
        <v>1543.6491250678243</v>
      </c>
    </row>
    <row r="27" spans="1:27" x14ac:dyDescent="0.25">
      <c r="A27">
        <v>2006</v>
      </c>
      <c r="B27" s="12" t="s">
        <v>234</v>
      </c>
      <c r="C27">
        <v>1179</v>
      </c>
      <c r="E27" s="5">
        <f t="shared" si="9"/>
        <v>1603.5416666666667</v>
      </c>
      <c r="F27" s="5">
        <f t="shared" si="10"/>
        <v>-424.54166666666674</v>
      </c>
      <c r="L27" s="5">
        <f>C27-J3</f>
        <v>1822.8172123015875</v>
      </c>
      <c r="N27" s="5">
        <f t="shared" si="11"/>
        <v>1603.5416666666667</v>
      </c>
      <c r="P27" s="14">
        <f t="shared" si="12"/>
        <v>0.73524749902559439</v>
      </c>
      <c r="X27">
        <v>25</v>
      </c>
      <c r="Y27">
        <f t="shared" si="6"/>
        <v>625</v>
      </c>
      <c r="Z27">
        <f t="shared" si="7"/>
        <v>29475</v>
      </c>
      <c r="AA27" s="13">
        <f t="shared" si="8"/>
        <v>1565.8394669017907</v>
      </c>
    </row>
    <row r="28" spans="1:27" x14ac:dyDescent="0.25">
      <c r="A28">
        <v>2006</v>
      </c>
      <c r="B28" s="12" t="s">
        <v>235</v>
      </c>
      <c r="C28">
        <v>1558</v>
      </c>
      <c r="E28" s="5">
        <f t="shared" si="9"/>
        <v>1620.5</v>
      </c>
      <c r="F28" s="5">
        <f t="shared" si="10"/>
        <v>-62.5</v>
      </c>
      <c r="L28" s="5">
        <f t="shared" ref="L28:L38" si="15">C28-J4</f>
        <v>1854.3648313492063</v>
      </c>
      <c r="N28" s="5">
        <f t="shared" si="11"/>
        <v>1620.5</v>
      </c>
      <c r="P28" s="14">
        <f t="shared" si="12"/>
        <v>0.96143165689601973</v>
      </c>
      <c r="X28">
        <v>26</v>
      </c>
      <c r="Y28">
        <f t="shared" si="6"/>
        <v>676</v>
      </c>
      <c r="Z28">
        <f t="shared" si="7"/>
        <v>40508</v>
      </c>
      <c r="AA28" s="13">
        <f t="shared" si="8"/>
        <v>1588.0298087357571</v>
      </c>
    </row>
    <row r="29" spans="1:27" x14ac:dyDescent="0.25">
      <c r="A29">
        <v>2006</v>
      </c>
      <c r="B29" s="12" t="s">
        <v>236</v>
      </c>
      <c r="C29">
        <v>1557</v>
      </c>
      <c r="E29" s="5">
        <f t="shared" si="9"/>
        <v>1644.4166666666667</v>
      </c>
      <c r="F29" s="5">
        <f t="shared" si="10"/>
        <v>-87.416666666666742</v>
      </c>
      <c r="L29" s="5">
        <f t="shared" si="15"/>
        <v>1694.3767361111111</v>
      </c>
      <c r="N29" s="5">
        <f t="shared" si="11"/>
        <v>1644.4166666666667</v>
      </c>
      <c r="P29" s="14">
        <f t="shared" si="12"/>
        <v>0.94684031824861903</v>
      </c>
      <c r="X29">
        <v>27</v>
      </c>
      <c r="Y29">
        <f t="shared" si="6"/>
        <v>729</v>
      </c>
      <c r="Z29">
        <f t="shared" si="7"/>
        <v>42039</v>
      </c>
      <c r="AA29" s="13">
        <f t="shared" si="8"/>
        <v>1610.2201505697235</v>
      </c>
    </row>
    <row r="30" spans="1:27" x14ac:dyDescent="0.25">
      <c r="A30">
        <v>2006</v>
      </c>
      <c r="B30" s="12" t="s">
        <v>237</v>
      </c>
      <c r="C30">
        <v>1372</v>
      </c>
      <c r="E30" s="5">
        <f t="shared" si="9"/>
        <v>1656.0833333333333</v>
      </c>
      <c r="F30" s="5">
        <f t="shared" si="10"/>
        <v>-284.08333333333326</v>
      </c>
      <c r="L30" s="5">
        <f t="shared" si="15"/>
        <v>1586.8112599206349</v>
      </c>
      <c r="N30" s="5">
        <f t="shared" si="11"/>
        <v>1656.0833333333333</v>
      </c>
      <c r="P30" s="14">
        <f t="shared" si="12"/>
        <v>0.82846072560760831</v>
      </c>
      <c r="X30">
        <v>28</v>
      </c>
      <c r="Y30">
        <f t="shared" si="6"/>
        <v>784</v>
      </c>
      <c r="Z30">
        <f t="shared" si="7"/>
        <v>38416</v>
      </c>
      <c r="AA30" s="13">
        <f t="shared" si="8"/>
        <v>1632.4104924036897</v>
      </c>
    </row>
    <row r="31" spans="1:27" x14ac:dyDescent="0.25">
      <c r="A31">
        <v>2006</v>
      </c>
      <c r="B31" s="12" t="s">
        <v>238</v>
      </c>
      <c r="C31">
        <v>2318</v>
      </c>
      <c r="E31" s="5">
        <f t="shared" si="9"/>
        <v>1661.625</v>
      </c>
      <c r="F31" s="5">
        <f t="shared" si="10"/>
        <v>656.375</v>
      </c>
      <c r="L31" s="5">
        <f t="shared" si="15"/>
        <v>1716.2755456349205</v>
      </c>
      <c r="N31" s="5">
        <f t="shared" si="11"/>
        <v>1661.625</v>
      </c>
      <c r="P31" s="14">
        <f t="shared" si="12"/>
        <v>1.3950199353042956</v>
      </c>
      <c r="X31">
        <v>29</v>
      </c>
      <c r="Y31">
        <f t="shared" si="6"/>
        <v>841</v>
      </c>
      <c r="Z31">
        <f t="shared" si="7"/>
        <v>67222</v>
      </c>
      <c r="AA31" s="13">
        <f t="shared" si="8"/>
        <v>1654.6008342376563</v>
      </c>
    </row>
    <row r="32" spans="1:27" x14ac:dyDescent="0.25">
      <c r="A32">
        <v>2006</v>
      </c>
      <c r="B32" s="12" t="s">
        <v>239</v>
      </c>
      <c r="C32">
        <v>1872</v>
      </c>
      <c r="E32" s="5">
        <f t="shared" si="9"/>
        <v>1669.8333333333333</v>
      </c>
      <c r="F32" s="5">
        <f t="shared" si="10"/>
        <v>202.16666666666674</v>
      </c>
      <c r="L32" s="5">
        <f t="shared" si="15"/>
        <v>1393.6743551587301</v>
      </c>
      <c r="N32" s="5">
        <f t="shared" si="11"/>
        <v>1669.8333333333333</v>
      </c>
      <c r="P32" s="14">
        <f t="shared" si="12"/>
        <v>1.1210699670625812</v>
      </c>
      <c r="X32">
        <v>30</v>
      </c>
      <c r="Y32">
        <f t="shared" si="6"/>
        <v>900</v>
      </c>
      <c r="Z32">
        <f t="shared" si="7"/>
        <v>56160</v>
      </c>
      <c r="AA32" s="13">
        <f t="shared" si="8"/>
        <v>1676.7911760716224</v>
      </c>
    </row>
    <row r="33" spans="1:27" x14ac:dyDescent="0.25">
      <c r="A33">
        <v>2006</v>
      </c>
      <c r="B33" s="12" t="s">
        <v>240</v>
      </c>
      <c r="C33">
        <v>1993</v>
      </c>
      <c r="E33" s="5">
        <f t="shared" si="9"/>
        <v>1676.25</v>
      </c>
      <c r="F33" s="5">
        <f t="shared" si="10"/>
        <v>316.75</v>
      </c>
      <c r="L33" s="5">
        <f t="shared" si="15"/>
        <v>1387.7279265873015</v>
      </c>
      <c r="N33" s="5">
        <f t="shared" si="11"/>
        <v>1676.25</v>
      </c>
      <c r="P33" s="14">
        <f t="shared" si="12"/>
        <v>1.1889634601043997</v>
      </c>
      <c r="X33">
        <v>31</v>
      </c>
      <c r="Y33">
        <f t="shared" si="6"/>
        <v>961</v>
      </c>
      <c r="Z33">
        <f t="shared" si="7"/>
        <v>61783</v>
      </c>
      <c r="AA33" s="13">
        <f t="shared" si="8"/>
        <v>1698.9815179055888</v>
      </c>
    </row>
    <row r="34" spans="1:27" x14ac:dyDescent="0.25">
      <c r="A34">
        <v>2006</v>
      </c>
      <c r="B34" s="12" t="s">
        <v>241</v>
      </c>
      <c r="C34">
        <v>2202</v>
      </c>
      <c r="E34" s="5">
        <f t="shared" si="9"/>
        <v>1688.0416666666667</v>
      </c>
      <c r="F34" s="5">
        <f t="shared" si="10"/>
        <v>513.95833333333326</v>
      </c>
      <c r="L34" s="5">
        <f t="shared" si="15"/>
        <v>1409.6307043650795</v>
      </c>
      <c r="N34" s="5">
        <f t="shared" si="11"/>
        <v>1688.0416666666667</v>
      </c>
      <c r="P34" s="14">
        <f t="shared" si="12"/>
        <v>1.3044701700688668</v>
      </c>
      <c r="X34">
        <v>32</v>
      </c>
      <c r="Y34">
        <f t="shared" si="6"/>
        <v>1024</v>
      </c>
      <c r="Z34">
        <f t="shared" si="7"/>
        <v>70464</v>
      </c>
      <c r="AA34" s="13">
        <f t="shared" si="8"/>
        <v>1721.1718597395552</v>
      </c>
    </row>
    <row r="35" spans="1:27" x14ac:dyDescent="0.25">
      <c r="A35">
        <v>2006</v>
      </c>
      <c r="B35" s="12" t="s">
        <v>242</v>
      </c>
      <c r="C35">
        <v>1908</v>
      </c>
      <c r="E35" s="5">
        <f t="shared" si="9"/>
        <v>1704.5416666666667</v>
      </c>
      <c r="F35" s="5">
        <f t="shared" si="10"/>
        <v>203.45833333333326</v>
      </c>
      <c r="L35" s="5">
        <f t="shared" si="15"/>
        <v>1737.8251488095239</v>
      </c>
      <c r="N35" s="5">
        <f t="shared" si="11"/>
        <v>1704.5416666666667</v>
      </c>
      <c r="P35" s="14">
        <f t="shared" si="12"/>
        <v>1.1193624874721944</v>
      </c>
      <c r="X35">
        <v>33</v>
      </c>
      <c r="Y35">
        <f t="shared" si="6"/>
        <v>1089</v>
      </c>
      <c r="Z35">
        <f t="shared" si="7"/>
        <v>62964</v>
      </c>
      <c r="AA35" s="13">
        <f t="shared" si="8"/>
        <v>1743.3622015735216</v>
      </c>
    </row>
    <row r="36" spans="1:27" x14ac:dyDescent="0.25">
      <c r="A36">
        <v>2006</v>
      </c>
      <c r="B36" s="12" t="s">
        <v>243</v>
      </c>
      <c r="C36">
        <v>1257</v>
      </c>
      <c r="E36" s="5">
        <f t="shared" si="9"/>
        <v>1724.75</v>
      </c>
      <c r="F36" s="5">
        <f t="shared" si="10"/>
        <v>-467.75</v>
      </c>
      <c r="L36" s="5">
        <f t="shared" si="15"/>
        <v>1548.8737599206349</v>
      </c>
      <c r="N36" s="5">
        <f t="shared" si="11"/>
        <v>1724.75</v>
      </c>
      <c r="P36" s="14">
        <f t="shared" si="12"/>
        <v>0.72880127554718077</v>
      </c>
      <c r="X36">
        <v>34</v>
      </c>
      <c r="Y36">
        <f t="shared" si="6"/>
        <v>1156</v>
      </c>
      <c r="Z36">
        <f t="shared" si="7"/>
        <v>42738</v>
      </c>
      <c r="AA36" s="13">
        <f t="shared" si="8"/>
        <v>1765.552543407488</v>
      </c>
    </row>
    <row r="37" spans="1:27" x14ac:dyDescent="0.25">
      <c r="A37">
        <v>2006</v>
      </c>
      <c r="B37" s="12" t="s">
        <v>244</v>
      </c>
      <c r="C37">
        <v>1824</v>
      </c>
      <c r="E37" s="5">
        <f t="shared" si="9"/>
        <v>1756.8333333333333</v>
      </c>
      <c r="F37" s="5">
        <f t="shared" si="10"/>
        <v>67.166666666666742</v>
      </c>
      <c r="L37" s="5">
        <f t="shared" si="15"/>
        <v>1852.9501488095239</v>
      </c>
      <c r="N37" s="5">
        <f t="shared" si="11"/>
        <v>1756.8333333333333</v>
      </c>
      <c r="P37" s="14">
        <f t="shared" si="12"/>
        <v>1.0382316668247795</v>
      </c>
      <c r="X37">
        <v>35</v>
      </c>
      <c r="Y37">
        <f t="shared" si="6"/>
        <v>1225</v>
      </c>
      <c r="Z37">
        <f t="shared" si="7"/>
        <v>63840</v>
      </c>
      <c r="AA37" s="13">
        <f t="shared" si="8"/>
        <v>1787.7428852414541</v>
      </c>
    </row>
    <row r="38" spans="1:27" x14ac:dyDescent="0.25">
      <c r="A38">
        <v>2006</v>
      </c>
      <c r="B38" s="12" t="s">
        <v>245</v>
      </c>
      <c r="C38">
        <v>1008</v>
      </c>
      <c r="E38" s="5">
        <f t="shared" si="9"/>
        <v>1820.625</v>
      </c>
      <c r="F38" s="5">
        <f t="shared" si="10"/>
        <v>-812.625</v>
      </c>
      <c r="L38" s="5">
        <f t="shared" si="15"/>
        <v>2042.6723710317463</v>
      </c>
      <c r="N38" s="5">
        <f t="shared" si="11"/>
        <v>1820.625</v>
      </c>
      <c r="P38" s="14">
        <f t="shared" si="12"/>
        <v>0.55365602471678677</v>
      </c>
      <c r="X38">
        <v>36</v>
      </c>
      <c r="Y38">
        <f t="shared" si="6"/>
        <v>1296</v>
      </c>
      <c r="Z38">
        <f t="shared" si="7"/>
        <v>36288</v>
      </c>
      <c r="AA38" s="13">
        <f t="shared" si="8"/>
        <v>1809.9332270754207</v>
      </c>
    </row>
    <row r="39" spans="1:27" x14ac:dyDescent="0.25">
      <c r="A39">
        <v>2007</v>
      </c>
      <c r="B39" s="12" t="s">
        <v>234</v>
      </c>
      <c r="C39">
        <v>1313</v>
      </c>
      <c r="E39" s="5">
        <f t="shared" si="9"/>
        <v>1869.25</v>
      </c>
      <c r="F39" s="5">
        <f t="shared" si="10"/>
        <v>-556.25</v>
      </c>
      <c r="L39" s="5">
        <f>C39-J3</f>
        <v>1956.8172123015875</v>
      </c>
      <c r="N39" s="5">
        <f t="shared" si="11"/>
        <v>1869.25</v>
      </c>
      <c r="P39" s="14">
        <f t="shared" si="12"/>
        <v>0.70242075698809681</v>
      </c>
      <c r="X39">
        <v>37</v>
      </c>
      <c r="Y39">
        <f t="shared" si="6"/>
        <v>1369</v>
      </c>
      <c r="Z39">
        <f t="shared" si="7"/>
        <v>48581</v>
      </c>
      <c r="AA39" s="13">
        <f t="shared" si="8"/>
        <v>1832.1235689093869</v>
      </c>
    </row>
    <row r="40" spans="1:27" x14ac:dyDescent="0.25">
      <c r="A40">
        <v>2007</v>
      </c>
      <c r="B40" s="12" t="s">
        <v>235</v>
      </c>
      <c r="C40">
        <v>1707</v>
      </c>
      <c r="E40" s="5">
        <f t="shared" si="9"/>
        <v>1879.5833333333333</v>
      </c>
      <c r="F40" s="5">
        <f t="shared" si="10"/>
        <v>-172.58333333333326</v>
      </c>
      <c r="L40" s="5">
        <f t="shared" ref="L40:L50" si="16">C40-J4</f>
        <v>2003.3648313492063</v>
      </c>
      <c r="N40" s="5">
        <f t="shared" si="11"/>
        <v>1879.5833333333333</v>
      </c>
      <c r="P40" s="14">
        <f t="shared" si="12"/>
        <v>0.9081800044336068</v>
      </c>
      <c r="X40">
        <v>38</v>
      </c>
      <c r="Y40">
        <f t="shared" si="6"/>
        <v>1444</v>
      </c>
      <c r="Z40">
        <f t="shared" si="7"/>
        <v>64866</v>
      </c>
      <c r="AA40" s="13">
        <f t="shared" si="8"/>
        <v>1854.3139107433533</v>
      </c>
    </row>
    <row r="41" spans="1:27" x14ac:dyDescent="0.25">
      <c r="A41">
        <v>2007</v>
      </c>
      <c r="B41" s="12" t="s">
        <v>236</v>
      </c>
      <c r="C41">
        <v>1804</v>
      </c>
      <c r="E41" s="5">
        <f t="shared" si="9"/>
        <v>1880.5416666666667</v>
      </c>
      <c r="F41" s="5">
        <f t="shared" si="10"/>
        <v>-76.541666666666742</v>
      </c>
      <c r="L41" s="5">
        <f t="shared" si="16"/>
        <v>1941.3767361111111</v>
      </c>
      <c r="N41" s="5">
        <f t="shared" si="11"/>
        <v>1880.5416666666667</v>
      </c>
      <c r="P41" s="14">
        <f t="shared" si="12"/>
        <v>0.95929807457957583</v>
      </c>
      <c r="X41">
        <v>39</v>
      </c>
      <c r="Y41">
        <f t="shared" si="6"/>
        <v>1521</v>
      </c>
      <c r="Z41">
        <f t="shared" si="7"/>
        <v>70356</v>
      </c>
      <c r="AA41" s="13">
        <f t="shared" si="8"/>
        <v>1876.5042525773197</v>
      </c>
    </row>
    <row r="42" spans="1:27" x14ac:dyDescent="0.25">
      <c r="A42">
        <v>2007</v>
      </c>
      <c r="B42" s="12" t="s">
        <v>237</v>
      </c>
      <c r="C42">
        <v>1610</v>
      </c>
      <c r="E42" s="5">
        <f t="shared" si="9"/>
        <v>1892.625</v>
      </c>
      <c r="F42" s="5">
        <f t="shared" si="10"/>
        <v>-282.625</v>
      </c>
      <c r="L42" s="5">
        <f t="shared" si="16"/>
        <v>1824.8112599206349</v>
      </c>
      <c r="N42" s="5">
        <f t="shared" si="11"/>
        <v>1892.625</v>
      </c>
      <c r="P42" s="14">
        <f t="shared" si="12"/>
        <v>0.85067036523347206</v>
      </c>
      <c r="X42">
        <v>40</v>
      </c>
      <c r="Y42">
        <f t="shared" si="6"/>
        <v>1600</v>
      </c>
      <c r="Z42">
        <f t="shared" si="7"/>
        <v>64400</v>
      </c>
      <c r="AA42" s="13">
        <f t="shared" si="8"/>
        <v>1898.6945944112861</v>
      </c>
    </row>
    <row r="43" spans="1:27" x14ac:dyDescent="0.25">
      <c r="A43">
        <v>2007</v>
      </c>
      <c r="B43" s="12" t="s">
        <v>238</v>
      </c>
      <c r="C43">
        <v>2850</v>
      </c>
      <c r="E43" s="5">
        <f t="shared" si="9"/>
        <v>1905.375</v>
      </c>
      <c r="F43" s="5">
        <f t="shared" si="10"/>
        <v>944.625</v>
      </c>
      <c r="L43" s="5">
        <f t="shared" si="16"/>
        <v>2248.2755456349205</v>
      </c>
      <c r="N43" s="5">
        <f t="shared" si="11"/>
        <v>1905.375</v>
      </c>
      <c r="P43" s="14">
        <f t="shared" si="12"/>
        <v>1.4957685494981303</v>
      </c>
      <c r="X43">
        <v>41</v>
      </c>
      <c r="Y43">
        <f t="shared" si="6"/>
        <v>1681</v>
      </c>
      <c r="Z43">
        <f t="shared" si="7"/>
        <v>116850</v>
      </c>
      <c r="AA43" s="13">
        <f t="shared" si="8"/>
        <v>1920.8849362452524</v>
      </c>
    </row>
    <row r="44" spans="1:27" x14ac:dyDescent="0.25">
      <c r="A44">
        <v>2007</v>
      </c>
      <c r="B44" s="12" t="s">
        <v>239</v>
      </c>
      <c r="C44">
        <v>2871</v>
      </c>
      <c r="E44" s="5">
        <f t="shared" si="9"/>
        <v>1903.6666666666667</v>
      </c>
      <c r="F44" s="5">
        <f t="shared" si="10"/>
        <v>967.33333333333326</v>
      </c>
      <c r="L44" s="5">
        <f t="shared" si="16"/>
        <v>2392.6743551587301</v>
      </c>
      <c r="N44" s="5">
        <f t="shared" si="11"/>
        <v>1903.6666666666667</v>
      </c>
      <c r="P44" s="14">
        <f t="shared" si="12"/>
        <v>1.5081421817545089</v>
      </c>
      <c r="X44">
        <v>42</v>
      </c>
      <c r="Y44">
        <f t="shared" si="6"/>
        <v>1764</v>
      </c>
      <c r="Z44">
        <f t="shared" si="7"/>
        <v>120582</v>
      </c>
      <c r="AA44" s="13">
        <f t="shared" si="8"/>
        <v>1943.0752780792188</v>
      </c>
    </row>
    <row r="45" spans="1:27" x14ac:dyDescent="0.25">
      <c r="A45">
        <v>2007</v>
      </c>
      <c r="B45" s="12" t="s">
        <v>240</v>
      </c>
      <c r="C45">
        <v>2161</v>
      </c>
      <c r="E45" s="5">
        <f t="shared" si="9"/>
        <v>1913.9583333333333</v>
      </c>
      <c r="F45" s="5">
        <f t="shared" si="10"/>
        <v>247.04166666666674</v>
      </c>
      <c r="L45" s="5">
        <f t="shared" si="16"/>
        <v>1555.7279265873015</v>
      </c>
      <c r="N45" s="5">
        <f t="shared" si="11"/>
        <v>1913.9583333333333</v>
      </c>
      <c r="P45" s="14">
        <f t="shared" si="12"/>
        <v>1.1290736910852293</v>
      </c>
      <c r="X45">
        <v>43</v>
      </c>
      <c r="Y45">
        <f t="shared" si="6"/>
        <v>1849</v>
      </c>
      <c r="Z45">
        <f t="shared" si="7"/>
        <v>92923</v>
      </c>
      <c r="AA45" s="13">
        <f t="shared" si="8"/>
        <v>1965.2656199131852</v>
      </c>
    </row>
    <row r="46" spans="1:27" x14ac:dyDescent="0.25">
      <c r="A46">
        <v>2007</v>
      </c>
      <c r="B46" s="12" t="s">
        <v>241</v>
      </c>
      <c r="C46">
        <v>2282</v>
      </c>
      <c r="E46" s="5">
        <f t="shared" si="9"/>
        <v>1934.4166666666667</v>
      </c>
      <c r="F46" s="5">
        <f t="shared" si="10"/>
        <v>347.58333333333326</v>
      </c>
      <c r="L46" s="5">
        <f t="shared" si="16"/>
        <v>1489.6307043650795</v>
      </c>
      <c r="N46" s="5">
        <f t="shared" si="11"/>
        <v>1934.4166666666667</v>
      </c>
      <c r="P46" s="14">
        <f t="shared" si="12"/>
        <v>1.1796837978718822</v>
      </c>
      <c r="X46">
        <v>44</v>
      </c>
      <c r="Y46">
        <f t="shared" si="6"/>
        <v>1936</v>
      </c>
      <c r="Z46">
        <f t="shared" si="7"/>
        <v>100408</v>
      </c>
      <c r="AA46" s="13">
        <f t="shared" si="8"/>
        <v>1987.4559617471514</v>
      </c>
    </row>
    <row r="47" spans="1:27" x14ac:dyDescent="0.25">
      <c r="A47">
        <v>2007</v>
      </c>
      <c r="B47" s="12" t="s">
        <v>242</v>
      </c>
      <c r="C47">
        <v>1851</v>
      </c>
      <c r="E47" s="5">
        <f t="shared" si="9"/>
        <v>1941.4166666666667</v>
      </c>
      <c r="F47" s="5">
        <f t="shared" si="10"/>
        <v>-90.416666666666742</v>
      </c>
      <c r="L47" s="5">
        <f t="shared" si="16"/>
        <v>1680.8251488095239</v>
      </c>
      <c r="N47" s="5">
        <f t="shared" si="11"/>
        <v>1941.4166666666667</v>
      </c>
      <c r="P47" s="14">
        <f t="shared" si="12"/>
        <v>0.95342747993303856</v>
      </c>
      <c r="X47">
        <v>45</v>
      </c>
      <c r="Y47">
        <f t="shared" si="6"/>
        <v>2025</v>
      </c>
      <c r="Z47">
        <f t="shared" si="7"/>
        <v>83295</v>
      </c>
      <c r="AA47" s="13">
        <f t="shared" si="8"/>
        <v>2009.646303581118</v>
      </c>
    </row>
    <row r="48" spans="1:27" x14ac:dyDescent="0.25">
      <c r="A48">
        <v>2007</v>
      </c>
      <c r="B48" s="12" t="s">
        <v>243</v>
      </c>
      <c r="C48">
        <v>1604</v>
      </c>
      <c r="E48" s="5">
        <f t="shared" si="9"/>
        <v>1941.3333333333333</v>
      </c>
      <c r="F48" s="5">
        <f t="shared" si="10"/>
        <v>-337.33333333333326</v>
      </c>
      <c r="L48" s="5">
        <f t="shared" si="16"/>
        <v>1895.8737599206349</v>
      </c>
      <c r="N48" s="5">
        <f t="shared" si="11"/>
        <v>1941.3333333333333</v>
      </c>
      <c r="P48" s="14">
        <f t="shared" si="12"/>
        <v>0.8262362637362638</v>
      </c>
      <c r="X48">
        <v>46</v>
      </c>
      <c r="Y48">
        <f t="shared" si="6"/>
        <v>2116</v>
      </c>
      <c r="Z48">
        <f t="shared" si="7"/>
        <v>73784</v>
      </c>
      <c r="AA48" s="13">
        <f t="shared" si="8"/>
        <v>2031.8366454150841</v>
      </c>
    </row>
    <row r="49" spans="1:27" x14ac:dyDescent="0.25">
      <c r="A49">
        <v>2007</v>
      </c>
      <c r="B49" s="12" t="s">
        <v>244</v>
      </c>
      <c r="C49">
        <v>1783</v>
      </c>
      <c r="E49" s="5">
        <f t="shared" si="9"/>
        <v>1950.6666666666667</v>
      </c>
      <c r="F49" s="5">
        <f t="shared" si="10"/>
        <v>-167.66666666666674</v>
      </c>
      <c r="L49" s="5">
        <f t="shared" si="16"/>
        <v>1811.9501488095239</v>
      </c>
      <c r="N49" s="5">
        <f t="shared" si="11"/>
        <v>1950.6666666666667</v>
      </c>
      <c r="P49" s="14">
        <f t="shared" si="12"/>
        <v>0.91404647983595344</v>
      </c>
      <c r="X49">
        <v>47</v>
      </c>
      <c r="Y49">
        <f t="shared" si="6"/>
        <v>2209</v>
      </c>
      <c r="Z49">
        <f t="shared" si="7"/>
        <v>83801</v>
      </c>
      <c r="AA49" s="13">
        <f t="shared" si="8"/>
        <v>2054.0269872490508</v>
      </c>
    </row>
    <row r="50" spans="1:27" x14ac:dyDescent="0.25">
      <c r="A50">
        <v>2007</v>
      </c>
      <c r="B50" s="12" t="s">
        <v>245</v>
      </c>
      <c r="C50">
        <v>1008</v>
      </c>
      <c r="E50" s="5">
        <f t="shared" si="9"/>
        <v>1944.75</v>
      </c>
      <c r="F50" s="5">
        <f t="shared" si="10"/>
        <v>-936.75</v>
      </c>
      <c r="L50" s="5">
        <f t="shared" si="16"/>
        <v>2042.6723710317463</v>
      </c>
      <c r="N50" s="5">
        <f t="shared" si="11"/>
        <v>1944.75</v>
      </c>
      <c r="P50" s="14">
        <f t="shared" si="12"/>
        <v>0.51831854994215198</v>
      </c>
      <c r="X50">
        <v>48</v>
      </c>
      <c r="Y50">
        <f t="shared" si="6"/>
        <v>2304</v>
      </c>
      <c r="Z50">
        <f t="shared" si="7"/>
        <v>48384</v>
      </c>
      <c r="AA50" s="13">
        <f t="shared" si="8"/>
        <v>2076.2173290830169</v>
      </c>
    </row>
    <row r="51" spans="1:27" x14ac:dyDescent="0.25">
      <c r="A51">
        <v>2008</v>
      </c>
      <c r="B51" s="12" t="s">
        <v>234</v>
      </c>
      <c r="C51">
        <v>1560</v>
      </c>
      <c r="E51" s="5">
        <f t="shared" si="9"/>
        <v>1961.1666666666667</v>
      </c>
      <c r="F51" s="5">
        <f t="shared" si="10"/>
        <v>-401.16666666666674</v>
      </c>
      <c r="L51" s="5">
        <f>C51-J3</f>
        <v>2203.8172123015875</v>
      </c>
      <c r="N51" s="5">
        <f t="shared" si="11"/>
        <v>1961.1666666666667</v>
      </c>
      <c r="P51" s="14">
        <f t="shared" si="12"/>
        <v>0.79544488824679183</v>
      </c>
      <c r="X51">
        <v>49</v>
      </c>
      <c r="Y51">
        <f t="shared" si="6"/>
        <v>2401</v>
      </c>
      <c r="Z51">
        <f t="shared" si="7"/>
        <v>76440</v>
      </c>
      <c r="AA51" s="13">
        <f t="shared" si="8"/>
        <v>2098.4076709169831</v>
      </c>
    </row>
    <row r="52" spans="1:27" x14ac:dyDescent="0.25">
      <c r="A52">
        <v>2008</v>
      </c>
      <c r="B52" s="12" t="s">
        <v>235</v>
      </c>
      <c r="C52">
        <v>1951</v>
      </c>
      <c r="E52" s="5">
        <f t="shared" si="9"/>
        <v>2039.2083333333333</v>
      </c>
      <c r="F52" s="5">
        <f t="shared" si="10"/>
        <v>-88.208333333333258</v>
      </c>
      <c r="L52" s="5">
        <f t="shared" ref="L52:L62" si="17">C52-J4</f>
        <v>2247.3648313492063</v>
      </c>
      <c r="N52" s="5">
        <f t="shared" si="11"/>
        <v>2039.2083333333333</v>
      </c>
      <c r="P52" s="14">
        <f t="shared" si="12"/>
        <v>0.95674383441286448</v>
      </c>
      <c r="X52">
        <v>50</v>
      </c>
      <c r="Y52">
        <f t="shared" si="6"/>
        <v>2500</v>
      </c>
      <c r="Z52">
        <f t="shared" si="7"/>
        <v>97550</v>
      </c>
      <c r="AA52" s="13">
        <f t="shared" si="8"/>
        <v>2120.5980127509497</v>
      </c>
    </row>
    <row r="53" spans="1:27" x14ac:dyDescent="0.25">
      <c r="A53">
        <v>2008</v>
      </c>
      <c r="B53" s="12" t="s">
        <v>236</v>
      </c>
      <c r="C53">
        <v>1728</v>
      </c>
      <c r="E53" s="5">
        <f t="shared" si="9"/>
        <v>2117.2916666666665</v>
      </c>
      <c r="F53" s="5">
        <f t="shared" si="10"/>
        <v>-389.29166666666652</v>
      </c>
      <c r="L53" s="5">
        <f t="shared" si="17"/>
        <v>1865.3767361111111</v>
      </c>
      <c r="N53" s="5">
        <f t="shared" si="11"/>
        <v>2117.2916666666665</v>
      </c>
      <c r="P53" s="14">
        <f t="shared" si="12"/>
        <v>0.81613696743087671</v>
      </c>
      <c r="X53">
        <v>51</v>
      </c>
      <c r="Y53">
        <f t="shared" si="6"/>
        <v>2601</v>
      </c>
      <c r="Z53">
        <f t="shared" si="7"/>
        <v>88128</v>
      </c>
      <c r="AA53" s="13">
        <f t="shared" si="8"/>
        <v>2142.7883545849163</v>
      </c>
    </row>
    <row r="54" spans="1:27" x14ac:dyDescent="0.25">
      <c r="A54">
        <v>2008</v>
      </c>
      <c r="B54" s="12" t="s">
        <v>237</v>
      </c>
      <c r="C54">
        <v>1684</v>
      </c>
      <c r="E54" s="5">
        <f t="shared" si="9"/>
        <v>2169.625</v>
      </c>
      <c r="F54" s="5">
        <f t="shared" si="10"/>
        <v>-485.625</v>
      </c>
      <c r="L54" s="5">
        <f t="shared" si="17"/>
        <v>1898.8112599206349</v>
      </c>
      <c r="N54" s="5">
        <f t="shared" si="11"/>
        <v>2169.625</v>
      </c>
      <c r="P54" s="14">
        <f t="shared" si="12"/>
        <v>0.77617099729215877</v>
      </c>
      <c r="X54">
        <v>52</v>
      </c>
      <c r="Y54">
        <f t="shared" si="6"/>
        <v>2704</v>
      </c>
      <c r="Z54">
        <f t="shared" si="7"/>
        <v>87568</v>
      </c>
      <c r="AA54" s="13">
        <f t="shared" si="8"/>
        <v>2164.9786964188825</v>
      </c>
    </row>
    <row r="55" spans="1:27" x14ac:dyDescent="0.25">
      <c r="A55">
        <v>2008</v>
      </c>
      <c r="B55" s="12" t="s">
        <v>238</v>
      </c>
      <c r="C55">
        <v>3000</v>
      </c>
      <c r="E55" s="5">
        <f t="shared" si="9"/>
        <v>2210.4583333333335</v>
      </c>
      <c r="F55" s="5">
        <f t="shared" si="10"/>
        <v>789.54166666666652</v>
      </c>
      <c r="L55" s="5">
        <f t="shared" si="17"/>
        <v>2398.2755456349205</v>
      </c>
      <c r="N55" s="5">
        <f t="shared" si="11"/>
        <v>2210.4583333333335</v>
      </c>
      <c r="P55" s="14">
        <f t="shared" si="12"/>
        <v>1.3571845959548359</v>
      </c>
      <c r="X55">
        <v>53</v>
      </c>
      <c r="Y55">
        <f t="shared" si="6"/>
        <v>2809</v>
      </c>
      <c r="Z55">
        <f t="shared" si="7"/>
        <v>159000</v>
      </c>
      <c r="AA55" s="13">
        <f t="shared" si="8"/>
        <v>2187.1690382528486</v>
      </c>
    </row>
    <row r="56" spans="1:27" x14ac:dyDescent="0.25">
      <c r="A56">
        <v>2008</v>
      </c>
      <c r="B56" s="12" t="s">
        <v>239</v>
      </c>
      <c r="C56">
        <v>2579</v>
      </c>
      <c r="E56" s="5">
        <f t="shared" si="9"/>
        <v>2241.125</v>
      </c>
      <c r="F56" s="5">
        <f t="shared" si="10"/>
        <v>337.875</v>
      </c>
      <c r="L56" s="5">
        <f t="shared" si="17"/>
        <v>2100.6743551587301</v>
      </c>
      <c r="N56" s="5">
        <f t="shared" si="11"/>
        <v>2241.125</v>
      </c>
      <c r="P56" s="14">
        <f t="shared" si="12"/>
        <v>1.1507613363823972</v>
      </c>
      <c r="X56">
        <v>54</v>
      </c>
      <c r="Y56">
        <f t="shared" si="6"/>
        <v>2916</v>
      </c>
      <c r="Z56">
        <f t="shared" si="7"/>
        <v>139266</v>
      </c>
      <c r="AA56" s="13">
        <f t="shared" si="8"/>
        <v>2209.3593800868148</v>
      </c>
    </row>
    <row r="57" spans="1:27" x14ac:dyDescent="0.25">
      <c r="A57">
        <v>2008</v>
      </c>
      <c r="B57" s="12" t="s">
        <v>240</v>
      </c>
      <c r="C57">
        <v>2847</v>
      </c>
      <c r="E57" s="5">
        <f t="shared" si="9"/>
        <v>2252.7916666666665</v>
      </c>
      <c r="F57" s="5">
        <f t="shared" si="10"/>
        <v>594.20833333333348</v>
      </c>
      <c r="L57" s="5">
        <f t="shared" si="17"/>
        <v>2241.7279265873012</v>
      </c>
      <c r="N57" s="5">
        <f t="shared" si="11"/>
        <v>2252.7916666666665</v>
      </c>
      <c r="P57" s="14">
        <f t="shared" si="12"/>
        <v>1.2637653282038952</v>
      </c>
      <c r="X57">
        <v>55</v>
      </c>
      <c r="Y57">
        <f t="shared" si="6"/>
        <v>3025</v>
      </c>
      <c r="Z57">
        <f t="shared" si="7"/>
        <v>156585</v>
      </c>
      <c r="AA57" s="13">
        <f t="shared" si="8"/>
        <v>2231.5497219207814</v>
      </c>
    </row>
    <row r="58" spans="1:27" x14ac:dyDescent="0.25">
      <c r="A58">
        <v>2008</v>
      </c>
      <c r="B58" s="12" t="s">
        <v>241</v>
      </c>
      <c r="C58">
        <v>3469</v>
      </c>
      <c r="E58" s="5">
        <f t="shared" si="9"/>
        <v>2257.3333333333335</v>
      </c>
      <c r="F58" s="5">
        <f t="shared" si="10"/>
        <v>1211.6666666666665</v>
      </c>
      <c r="L58" s="5">
        <f t="shared" si="17"/>
        <v>2676.6307043650795</v>
      </c>
      <c r="N58" s="5">
        <f t="shared" si="11"/>
        <v>2257.3333333333335</v>
      </c>
      <c r="P58" s="14">
        <f t="shared" si="12"/>
        <v>1.5367690490253987</v>
      </c>
      <c r="X58">
        <v>56</v>
      </c>
      <c r="Y58">
        <f t="shared" si="6"/>
        <v>3136</v>
      </c>
      <c r="Z58">
        <f t="shared" si="7"/>
        <v>194264</v>
      </c>
      <c r="AA58" s="13">
        <f t="shared" si="8"/>
        <v>2253.740063754748</v>
      </c>
    </row>
    <row r="59" spans="1:27" x14ac:dyDescent="0.25">
      <c r="A59">
        <v>2008</v>
      </c>
      <c r="B59" s="12" t="s">
        <v>242</v>
      </c>
      <c r="C59">
        <v>2538</v>
      </c>
      <c r="E59" s="5">
        <f t="shared" si="9"/>
        <v>2278.8333333333335</v>
      </c>
      <c r="F59" s="5">
        <f t="shared" si="10"/>
        <v>259.16666666666652</v>
      </c>
      <c r="L59" s="5">
        <f t="shared" si="17"/>
        <v>2367.8251488095239</v>
      </c>
      <c r="N59" s="5">
        <f t="shared" si="11"/>
        <v>2278.8333333333335</v>
      </c>
      <c r="P59" s="14">
        <f t="shared" si="12"/>
        <v>1.1137277846851459</v>
      </c>
      <c r="X59">
        <v>57</v>
      </c>
      <c r="Y59">
        <f t="shared" si="6"/>
        <v>3249</v>
      </c>
      <c r="Z59">
        <f t="shared" si="7"/>
        <v>144666</v>
      </c>
      <c r="AA59" s="13">
        <f t="shared" si="8"/>
        <v>2275.9304055887142</v>
      </c>
    </row>
    <row r="60" spans="1:27" x14ac:dyDescent="0.25">
      <c r="A60">
        <v>2008</v>
      </c>
      <c r="B60" s="12" t="s">
        <v>243</v>
      </c>
      <c r="C60">
        <v>2173</v>
      </c>
      <c r="E60" s="5">
        <f t="shared" si="9"/>
        <v>2325.7083333333335</v>
      </c>
      <c r="F60" s="5">
        <f t="shared" si="10"/>
        <v>-152.70833333333348</v>
      </c>
      <c r="L60" s="5">
        <f t="shared" si="17"/>
        <v>2464.8737599206347</v>
      </c>
      <c r="N60" s="5">
        <f t="shared" si="11"/>
        <v>2325.7083333333335</v>
      </c>
      <c r="P60" s="14">
        <f t="shared" si="12"/>
        <v>0.93433900066288045</v>
      </c>
      <c r="X60">
        <v>58</v>
      </c>
      <c r="Y60">
        <f t="shared" si="6"/>
        <v>3364</v>
      </c>
      <c r="Z60">
        <f t="shared" si="7"/>
        <v>126034</v>
      </c>
      <c r="AA60" s="13">
        <f t="shared" si="8"/>
        <v>2298.1207474226803</v>
      </c>
    </row>
    <row r="61" spans="1:27" x14ac:dyDescent="0.25">
      <c r="A61">
        <v>2008</v>
      </c>
      <c r="B61" s="12" t="s">
        <v>244</v>
      </c>
      <c r="C61">
        <v>2194</v>
      </c>
      <c r="E61" s="5">
        <f t="shared" si="9"/>
        <v>2361.4583333333335</v>
      </c>
      <c r="F61" s="5">
        <f t="shared" si="10"/>
        <v>-167.45833333333348</v>
      </c>
      <c r="L61" s="5">
        <f t="shared" si="17"/>
        <v>2222.9501488095239</v>
      </c>
      <c r="N61" s="5">
        <f t="shared" si="11"/>
        <v>2361.4583333333335</v>
      </c>
      <c r="P61" s="14">
        <f t="shared" si="12"/>
        <v>0.92908689898544328</v>
      </c>
      <c r="X61">
        <v>59</v>
      </c>
      <c r="Y61">
        <f t="shared" si="6"/>
        <v>3481</v>
      </c>
      <c r="Z61">
        <f t="shared" si="7"/>
        <v>129446</v>
      </c>
      <c r="AA61" s="13">
        <f t="shared" si="8"/>
        <v>2320.3110892566469</v>
      </c>
    </row>
    <row r="62" spans="1:27" x14ac:dyDescent="0.25">
      <c r="A62">
        <v>2008</v>
      </c>
      <c r="B62" s="12" t="s">
        <v>245</v>
      </c>
      <c r="C62">
        <v>1333</v>
      </c>
      <c r="E62" s="5">
        <f t="shared" si="9"/>
        <v>2350.5416666666665</v>
      </c>
      <c r="F62" s="5">
        <f t="shared" si="10"/>
        <v>-1017.5416666666665</v>
      </c>
      <c r="L62" s="5">
        <f t="shared" si="17"/>
        <v>2367.6723710317465</v>
      </c>
      <c r="N62" s="5">
        <f t="shared" si="11"/>
        <v>2350.5416666666665</v>
      </c>
      <c r="P62" s="14">
        <f t="shared" si="12"/>
        <v>0.56710332724726575</v>
      </c>
      <c r="X62">
        <v>60</v>
      </c>
      <c r="Y62">
        <f t="shared" si="6"/>
        <v>3600</v>
      </c>
      <c r="Z62">
        <f t="shared" si="7"/>
        <v>79980</v>
      </c>
      <c r="AA62" s="13">
        <f t="shared" si="8"/>
        <v>2342.5014310906131</v>
      </c>
    </row>
    <row r="63" spans="1:27" x14ac:dyDescent="0.25">
      <c r="A63">
        <v>2009</v>
      </c>
      <c r="B63" s="12" t="s">
        <v>234</v>
      </c>
      <c r="C63">
        <v>1515</v>
      </c>
      <c r="E63" s="5">
        <f t="shared" si="9"/>
        <v>2351.0833333333335</v>
      </c>
      <c r="F63" s="5">
        <f t="shared" si="10"/>
        <v>-836.08333333333348</v>
      </c>
      <c r="L63" s="5">
        <f>C63-J3</f>
        <v>2158.8172123015875</v>
      </c>
      <c r="N63" s="5">
        <f t="shared" si="11"/>
        <v>2351.0833333333335</v>
      </c>
      <c r="P63" s="14">
        <f t="shared" si="12"/>
        <v>0.64438379470456875</v>
      </c>
      <c r="X63">
        <v>61</v>
      </c>
      <c r="Y63">
        <f t="shared" si="6"/>
        <v>3721</v>
      </c>
      <c r="Z63">
        <f t="shared" si="7"/>
        <v>92415</v>
      </c>
      <c r="AA63" s="13">
        <f t="shared" si="8"/>
        <v>2364.6917729245797</v>
      </c>
    </row>
    <row r="64" spans="1:27" x14ac:dyDescent="0.25">
      <c r="A64">
        <v>2009</v>
      </c>
      <c r="B64" s="12" t="s">
        <v>235</v>
      </c>
      <c r="C64">
        <v>2105</v>
      </c>
      <c r="E64" s="5">
        <f t="shared" si="9"/>
        <v>2365.4583333333335</v>
      </c>
      <c r="F64" s="5">
        <f t="shared" si="10"/>
        <v>-260.45833333333348</v>
      </c>
      <c r="L64" s="5">
        <f t="shared" ref="L64:L74" si="18">C64-J4</f>
        <v>2401.3648313492063</v>
      </c>
      <c r="N64" s="5">
        <f t="shared" si="11"/>
        <v>2365.4583333333335</v>
      </c>
      <c r="P64" s="14">
        <f t="shared" si="12"/>
        <v>0.88989096545771607</v>
      </c>
      <c r="X64">
        <v>62</v>
      </c>
      <c r="Y64">
        <f t="shared" si="6"/>
        <v>3844</v>
      </c>
      <c r="Z64">
        <f t="shared" si="7"/>
        <v>130510</v>
      </c>
      <c r="AA64" s="13">
        <f t="shared" si="8"/>
        <v>2386.8821147585459</v>
      </c>
    </row>
    <row r="65" spans="1:27" x14ac:dyDescent="0.25">
      <c r="A65">
        <v>2009</v>
      </c>
      <c r="B65" s="12" t="s">
        <v>236</v>
      </c>
      <c r="C65">
        <v>2090</v>
      </c>
      <c r="E65" s="5">
        <f t="shared" si="9"/>
        <v>2374.5416666666665</v>
      </c>
      <c r="F65" s="5">
        <f t="shared" si="10"/>
        <v>-284.54166666666652</v>
      </c>
      <c r="L65" s="5">
        <f t="shared" si="18"/>
        <v>2227.3767361111113</v>
      </c>
      <c r="N65" s="5">
        <f t="shared" si="11"/>
        <v>2374.5416666666665</v>
      </c>
      <c r="P65" s="14">
        <f t="shared" si="12"/>
        <v>0.88016985734089037</v>
      </c>
      <c r="X65">
        <v>63</v>
      </c>
      <c r="Y65">
        <f t="shared" si="6"/>
        <v>3969</v>
      </c>
      <c r="Z65">
        <f t="shared" si="7"/>
        <v>131670</v>
      </c>
      <c r="AA65" s="13">
        <f t="shared" si="8"/>
        <v>2409.072456592512</v>
      </c>
    </row>
    <row r="66" spans="1:27" x14ac:dyDescent="0.25">
      <c r="A66">
        <v>2009</v>
      </c>
      <c r="B66" s="12" t="s">
        <v>237</v>
      </c>
      <c r="C66">
        <v>2447</v>
      </c>
      <c r="E66" s="5">
        <f t="shared" si="9"/>
        <v>2385.2083333333335</v>
      </c>
      <c r="F66" s="5">
        <f t="shared" si="10"/>
        <v>61.791666666666515</v>
      </c>
      <c r="L66" s="5">
        <f t="shared" si="18"/>
        <v>2661.8112599206352</v>
      </c>
      <c r="N66" s="5">
        <f t="shared" si="11"/>
        <v>2385.2083333333335</v>
      </c>
      <c r="P66" s="14">
        <f t="shared" si="12"/>
        <v>1.0259061926805835</v>
      </c>
      <c r="X66">
        <v>64</v>
      </c>
      <c r="Y66">
        <f t="shared" si="6"/>
        <v>4096</v>
      </c>
      <c r="Z66">
        <f t="shared" si="7"/>
        <v>156608</v>
      </c>
      <c r="AA66" s="13">
        <f t="shared" si="8"/>
        <v>2431.2627984264786</v>
      </c>
    </row>
    <row r="67" spans="1:27" x14ac:dyDescent="0.25">
      <c r="A67">
        <v>2009</v>
      </c>
      <c r="B67" s="12" t="s">
        <v>238</v>
      </c>
      <c r="C67">
        <v>3095</v>
      </c>
      <c r="E67" s="5">
        <f t="shared" si="9"/>
        <v>2417</v>
      </c>
      <c r="F67" s="5">
        <f t="shared" si="10"/>
        <v>678</v>
      </c>
      <c r="L67" s="5">
        <f t="shared" si="18"/>
        <v>2493.2755456349205</v>
      </c>
      <c r="N67" s="5">
        <f t="shared" si="11"/>
        <v>2417</v>
      </c>
      <c r="P67" s="14">
        <f t="shared" si="12"/>
        <v>1.2805130326851468</v>
      </c>
      <c r="X67">
        <v>65</v>
      </c>
      <c r="Y67">
        <f t="shared" si="6"/>
        <v>4225</v>
      </c>
      <c r="Z67">
        <f t="shared" si="7"/>
        <v>201175</v>
      </c>
      <c r="AA67" s="13">
        <f t="shared" si="8"/>
        <v>2453.4531402604453</v>
      </c>
    </row>
    <row r="68" spans="1:27" x14ac:dyDescent="0.25">
      <c r="A68">
        <v>2009</v>
      </c>
      <c r="B68" s="12" t="s">
        <v>239</v>
      </c>
      <c r="C68">
        <v>2222</v>
      </c>
      <c r="E68" s="5">
        <f t="shared" si="9"/>
        <v>2447.2083333333335</v>
      </c>
      <c r="F68" s="5">
        <f t="shared" si="10"/>
        <v>-225.20833333333348</v>
      </c>
      <c r="L68" s="5">
        <f t="shared" si="18"/>
        <v>1743.6743551587301</v>
      </c>
      <c r="N68" s="5">
        <f t="shared" si="11"/>
        <v>2447.2083333333335</v>
      </c>
      <c r="P68" s="14">
        <f t="shared" si="12"/>
        <v>0.90797337101799669</v>
      </c>
      <c r="X68">
        <v>66</v>
      </c>
      <c r="Y68">
        <f t="shared" ref="Y68:Y98" si="19">X68^2</f>
        <v>4356</v>
      </c>
      <c r="Z68">
        <f t="shared" ref="Z68:Z98" si="20">X68*C68</f>
        <v>146652</v>
      </c>
      <c r="AA68" s="13">
        <f t="shared" ref="AA68:AA98" si="21">$AG$5+$AG$6*X68</f>
        <v>2475.6434820944114</v>
      </c>
    </row>
    <row r="69" spans="1:27" x14ac:dyDescent="0.25">
      <c r="A69">
        <v>2009</v>
      </c>
      <c r="B69" s="12" t="s">
        <v>240</v>
      </c>
      <c r="C69">
        <v>3217</v>
      </c>
      <c r="E69" s="5">
        <f t="shared" si="9"/>
        <v>2451.2916666666665</v>
      </c>
      <c r="F69" s="5">
        <f t="shared" si="10"/>
        <v>765.70833333333348</v>
      </c>
      <c r="L69" s="5">
        <f t="shared" si="18"/>
        <v>2611.7279265873012</v>
      </c>
      <c r="N69" s="5">
        <f t="shared" si="11"/>
        <v>2451.2916666666665</v>
      </c>
      <c r="P69" s="14">
        <f t="shared" si="12"/>
        <v>1.312369329095205</v>
      </c>
      <c r="X69">
        <v>67</v>
      </c>
      <c r="Y69">
        <f t="shared" si="19"/>
        <v>4489</v>
      </c>
      <c r="Z69">
        <f t="shared" si="20"/>
        <v>215539</v>
      </c>
      <c r="AA69" s="13">
        <f t="shared" si="21"/>
        <v>2497.8338239283776</v>
      </c>
    </row>
    <row r="70" spans="1:27" x14ac:dyDescent="0.25">
      <c r="A70">
        <v>2009</v>
      </c>
      <c r="B70" s="12" t="s">
        <v>241</v>
      </c>
      <c r="C70">
        <v>3444</v>
      </c>
      <c r="E70" s="5">
        <f t="shared" si="9"/>
        <v>2448.0833333333335</v>
      </c>
      <c r="F70" s="5">
        <f t="shared" si="10"/>
        <v>995.91666666666652</v>
      </c>
      <c r="L70" s="5">
        <f t="shared" si="18"/>
        <v>2651.6307043650795</v>
      </c>
      <c r="N70" s="5">
        <f t="shared" si="11"/>
        <v>2448.0833333333335</v>
      </c>
      <c r="P70" s="14">
        <f t="shared" si="12"/>
        <v>1.4068148551587976</v>
      </c>
      <c r="X70">
        <v>68</v>
      </c>
      <c r="Y70">
        <f t="shared" si="19"/>
        <v>4624</v>
      </c>
      <c r="Z70">
        <f t="shared" si="20"/>
        <v>234192</v>
      </c>
      <c r="AA70" s="13">
        <f t="shared" si="21"/>
        <v>2520.0241657623442</v>
      </c>
    </row>
    <row r="71" spans="1:27" x14ac:dyDescent="0.25">
      <c r="A71">
        <v>2009</v>
      </c>
      <c r="B71" s="12" t="s">
        <v>242</v>
      </c>
      <c r="C71">
        <v>2781</v>
      </c>
      <c r="E71" s="5">
        <f t="shared" si="9"/>
        <v>2464.2083333333335</v>
      </c>
      <c r="F71" s="5">
        <f t="shared" si="10"/>
        <v>316.79166666666652</v>
      </c>
      <c r="L71" s="5">
        <f t="shared" si="18"/>
        <v>2610.8251488095239</v>
      </c>
      <c r="N71" s="5">
        <f t="shared" si="11"/>
        <v>2464.2083333333335</v>
      </c>
      <c r="P71" s="14">
        <f t="shared" si="12"/>
        <v>1.1285571769161833</v>
      </c>
      <c r="X71">
        <v>69</v>
      </c>
      <c r="Y71">
        <f t="shared" si="19"/>
        <v>4761</v>
      </c>
      <c r="Z71">
        <f t="shared" si="20"/>
        <v>191889</v>
      </c>
      <c r="AA71" s="13">
        <f t="shared" si="21"/>
        <v>2542.2145075963103</v>
      </c>
    </row>
    <row r="72" spans="1:27" x14ac:dyDescent="0.25">
      <c r="A72">
        <v>2009</v>
      </c>
      <c r="B72" s="12" t="s">
        <v>243</v>
      </c>
      <c r="C72">
        <v>2186</v>
      </c>
      <c r="E72" s="5">
        <f t="shared" si="9"/>
        <v>2485.8333333333335</v>
      </c>
      <c r="F72" s="5">
        <f t="shared" si="10"/>
        <v>-299.83333333333348</v>
      </c>
      <c r="L72" s="5">
        <f t="shared" si="18"/>
        <v>2477.8737599206347</v>
      </c>
      <c r="N72" s="5">
        <f t="shared" si="11"/>
        <v>2485.8333333333335</v>
      </c>
      <c r="P72" s="14">
        <f t="shared" si="12"/>
        <v>0.8793831713040563</v>
      </c>
      <c r="X72">
        <v>70</v>
      </c>
      <c r="Y72">
        <f t="shared" si="19"/>
        <v>4900</v>
      </c>
      <c r="Z72">
        <f t="shared" si="20"/>
        <v>153020</v>
      </c>
      <c r="AA72" s="13">
        <f t="shared" si="21"/>
        <v>2564.404849430277</v>
      </c>
    </row>
    <row r="73" spans="1:27" x14ac:dyDescent="0.25">
      <c r="A73">
        <v>2009</v>
      </c>
      <c r="B73" s="12" t="s">
        <v>244</v>
      </c>
      <c r="C73">
        <v>2944</v>
      </c>
      <c r="E73" s="5">
        <f t="shared" si="9"/>
        <v>2483.4166666666665</v>
      </c>
      <c r="F73" s="5">
        <f t="shared" si="10"/>
        <v>460.58333333333348</v>
      </c>
      <c r="L73" s="5">
        <f t="shared" si="18"/>
        <v>2972.9501488095239</v>
      </c>
      <c r="N73" s="5">
        <f t="shared" si="11"/>
        <v>2483.4166666666665</v>
      </c>
      <c r="P73" s="14">
        <f t="shared" si="12"/>
        <v>1.1854635750478173</v>
      </c>
      <c r="X73">
        <v>71</v>
      </c>
      <c r="Y73">
        <f t="shared" si="19"/>
        <v>5041</v>
      </c>
      <c r="Z73">
        <f t="shared" si="20"/>
        <v>209024</v>
      </c>
      <c r="AA73" s="13">
        <f t="shared" si="21"/>
        <v>2586.5951912642431</v>
      </c>
    </row>
    <row r="74" spans="1:27" x14ac:dyDescent="0.25">
      <c r="A74">
        <v>2009</v>
      </c>
      <c r="B74" s="12" t="s">
        <v>245</v>
      </c>
      <c r="C74">
        <v>1308</v>
      </c>
      <c r="E74" s="5">
        <f t="shared" ref="E74:E93" si="22">(0.5*C68+C69+C70+C71+C72+C73+C74+C75+C76+C77+C78+C79+0.5*C80)/12</f>
        <v>2537.375</v>
      </c>
      <c r="F74" s="5">
        <f t="shared" ref="F74:F93" si="23">C74-E74</f>
        <v>-1229.375</v>
      </c>
      <c r="L74" s="5">
        <f t="shared" si="18"/>
        <v>2342.6723710317465</v>
      </c>
      <c r="N74" s="5">
        <f t="shared" ref="N74:N92" si="24">(0.5*C68+C69+C70+C71+C72+C73+C74+C75+C76+C77+C78+C79+0.5*C80)/12</f>
        <v>2537.375</v>
      </c>
      <c r="P74" s="14">
        <f t="shared" ref="P74:P92" si="25">C74/E74</f>
        <v>0.51549337405783535</v>
      </c>
      <c r="X74">
        <v>72</v>
      </c>
      <c r="Y74">
        <f t="shared" si="19"/>
        <v>5184</v>
      </c>
      <c r="Z74">
        <f t="shared" si="20"/>
        <v>94176</v>
      </c>
      <c r="AA74" s="13">
        <f t="shared" si="21"/>
        <v>2608.7855330982093</v>
      </c>
    </row>
    <row r="75" spans="1:27" x14ac:dyDescent="0.25">
      <c r="A75">
        <v>2010</v>
      </c>
      <c r="B75" s="12" t="s">
        <v>234</v>
      </c>
      <c r="C75">
        <v>1638</v>
      </c>
      <c r="E75" s="5">
        <f t="shared" si="22"/>
        <v>2594.8333333333335</v>
      </c>
      <c r="F75" s="5">
        <f t="shared" si="23"/>
        <v>-956.83333333333348</v>
      </c>
      <c r="L75" s="5">
        <f>C75-J3</f>
        <v>2281.8172123015875</v>
      </c>
      <c r="N75" s="5">
        <f t="shared" si="24"/>
        <v>2594.8333333333335</v>
      </c>
      <c r="P75" s="14">
        <f t="shared" si="25"/>
        <v>0.63125441582632147</v>
      </c>
      <c r="X75">
        <v>73</v>
      </c>
      <c r="Y75">
        <f t="shared" si="19"/>
        <v>5329</v>
      </c>
      <c r="Z75">
        <f t="shared" si="20"/>
        <v>119574</v>
      </c>
      <c r="AA75" s="13">
        <f t="shared" si="21"/>
        <v>2630.9758749321759</v>
      </c>
    </row>
    <row r="76" spans="1:27" x14ac:dyDescent="0.25">
      <c r="A76">
        <v>2010</v>
      </c>
      <c r="B76" s="12" t="s">
        <v>235</v>
      </c>
      <c r="C76">
        <v>1905</v>
      </c>
      <c r="E76" s="5">
        <f t="shared" si="22"/>
        <v>2618.7916666666665</v>
      </c>
      <c r="F76" s="5">
        <f t="shared" si="23"/>
        <v>-713.79166666666652</v>
      </c>
      <c r="L76" s="5">
        <f t="shared" ref="L76:L86" si="26">C76-J4</f>
        <v>2201.3648313492063</v>
      </c>
      <c r="N76" s="5">
        <f t="shared" si="24"/>
        <v>2618.7916666666665</v>
      </c>
      <c r="P76" s="14">
        <f t="shared" si="25"/>
        <v>0.72743472657555175</v>
      </c>
      <c r="X76">
        <v>74</v>
      </c>
      <c r="Y76">
        <f t="shared" si="19"/>
        <v>5476</v>
      </c>
      <c r="Z76">
        <f t="shared" si="20"/>
        <v>140970</v>
      </c>
      <c r="AA76" s="13">
        <f t="shared" si="21"/>
        <v>2653.1662167661425</v>
      </c>
    </row>
    <row r="77" spans="1:27" x14ac:dyDescent="0.25">
      <c r="A77">
        <v>2010</v>
      </c>
      <c r="B77" s="12" t="s">
        <v>236</v>
      </c>
      <c r="C77">
        <v>2677</v>
      </c>
      <c r="E77" s="5">
        <f t="shared" si="22"/>
        <v>2647.5833333333335</v>
      </c>
      <c r="F77" s="5">
        <f t="shared" si="23"/>
        <v>29.416666666666515</v>
      </c>
      <c r="L77" s="5">
        <f t="shared" si="26"/>
        <v>2814.3767361111113</v>
      </c>
      <c r="N77" s="5">
        <f t="shared" si="24"/>
        <v>2647.5833333333335</v>
      </c>
      <c r="P77" s="14">
        <f t="shared" si="25"/>
        <v>1.0111107613861696</v>
      </c>
      <c r="X77">
        <v>75</v>
      </c>
      <c r="Y77">
        <f t="shared" si="19"/>
        <v>5625</v>
      </c>
      <c r="Z77">
        <f t="shared" si="20"/>
        <v>200775</v>
      </c>
      <c r="AA77" s="13">
        <f t="shared" si="21"/>
        <v>2675.3565586001087</v>
      </c>
    </row>
    <row r="78" spans="1:27" x14ac:dyDescent="0.25">
      <c r="A78">
        <v>2010</v>
      </c>
      <c r="B78" s="12" t="s">
        <v>237</v>
      </c>
      <c r="C78">
        <v>2379</v>
      </c>
      <c r="E78" s="5">
        <f t="shared" si="22"/>
        <v>2668.2083333333335</v>
      </c>
      <c r="F78" s="5">
        <f t="shared" si="23"/>
        <v>-289.20833333333348</v>
      </c>
      <c r="L78" s="5">
        <f t="shared" si="26"/>
        <v>2593.8112599206352</v>
      </c>
      <c r="N78" s="5">
        <f t="shared" si="24"/>
        <v>2668.2083333333335</v>
      </c>
      <c r="P78" s="14">
        <f t="shared" si="25"/>
        <v>0.89160953823570743</v>
      </c>
      <c r="X78">
        <v>76</v>
      </c>
      <c r="Y78">
        <f t="shared" si="19"/>
        <v>5776</v>
      </c>
      <c r="Z78">
        <f t="shared" si="20"/>
        <v>180804</v>
      </c>
      <c r="AA78" s="13">
        <f t="shared" si="21"/>
        <v>2697.5469004340748</v>
      </c>
    </row>
    <row r="79" spans="1:27" x14ac:dyDescent="0.25">
      <c r="A79">
        <v>2010</v>
      </c>
      <c r="B79" s="12" t="s">
        <v>238</v>
      </c>
      <c r="C79">
        <v>3105</v>
      </c>
      <c r="E79" s="5">
        <f t="shared" si="22"/>
        <v>2653.125</v>
      </c>
      <c r="F79" s="5">
        <f t="shared" si="23"/>
        <v>451.875</v>
      </c>
      <c r="L79" s="5">
        <f t="shared" si="26"/>
        <v>2503.2755456349205</v>
      </c>
      <c r="N79" s="5">
        <f t="shared" si="24"/>
        <v>2653.125</v>
      </c>
      <c r="P79" s="14">
        <f t="shared" si="25"/>
        <v>1.1703180212014135</v>
      </c>
      <c r="X79">
        <v>77</v>
      </c>
      <c r="Y79">
        <f t="shared" si="19"/>
        <v>5929</v>
      </c>
      <c r="Z79">
        <f t="shared" si="20"/>
        <v>239085</v>
      </c>
      <c r="AA79" s="13">
        <f t="shared" si="21"/>
        <v>2719.737242268041</v>
      </c>
    </row>
    <row r="80" spans="1:27" x14ac:dyDescent="0.25">
      <c r="A80">
        <v>2010</v>
      </c>
      <c r="B80" s="12" t="s">
        <v>239</v>
      </c>
      <c r="C80">
        <v>3507</v>
      </c>
      <c r="E80" s="5">
        <f t="shared" si="22"/>
        <v>2621.0833333333335</v>
      </c>
      <c r="F80" s="5">
        <f t="shared" si="23"/>
        <v>885.91666666666652</v>
      </c>
      <c r="L80" s="5">
        <f t="shared" si="26"/>
        <v>3028.6743551587301</v>
      </c>
      <c r="N80" s="5">
        <f t="shared" si="24"/>
        <v>2621.0833333333335</v>
      </c>
      <c r="P80" s="14">
        <f t="shared" si="25"/>
        <v>1.337996375544463</v>
      </c>
      <c r="X80">
        <v>78</v>
      </c>
      <c r="Y80">
        <f t="shared" si="19"/>
        <v>6084</v>
      </c>
      <c r="Z80">
        <f t="shared" si="20"/>
        <v>273546</v>
      </c>
      <c r="AA80" s="13">
        <f t="shared" si="21"/>
        <v>2741.9275841020076</v>
      </c>
    </row>
    <row r="81" spans="1:27" x14ac:dyDescent="0.25">
      <c r="A81">
        <v>2010</v>
      </c>
      <c r="B81" s="12" t="s">
        <v>240</v>
      </c>
      <c r="C81">
        <v>3311</v>
      </c>
      <c r="E81" s="5">
        <f t="shared" si="22"/>
        <v>2635.3333333333335</v>
      </c>
      <c r="F81" s="5">
        <f t="shared" si="23"/>
        <v>675.66666666666652</v>
      </c>
      <c r="L81" s="5">
        <f t="shared" si="26"/>
        <v>2705.7279265873012</v>
      </c>
      <c r="N81" s="5">
        <f t="shared" si="24"/>
        <v>2635.3333333333335</v>
      </c>
      <c r="P81" s="14">
        <f t="shared" si="25"/>
        <v>1.2563875537566405</v>
      </c>
      <c r="X81">
        <v>79</v>
      </c>
      <c r="Y81">
        <f t="shared" si="19"/>
        <v>6241</v>
      </c>
      <c r="Z81">
        <f t="shared" si="20"/>
        <v>261569</v>
      </c>
      <c r="AA81" s="13">
        <f t="shared" si="21"/>
        <v>2764.1179259359742</v>
      </c>
    </row>
    <row r="82" spans="1:27" x14ac:dyDescent="0.25">
      <c r="A82">
        <v>2010</v>
      </c>
      <c r="B82" s="12" t="s">
        <v>241</v>
      </c>
      <c r="C82">
        <v>3925</v>
      </c>
      <c r="E82" s="5">
        <f t="shared" si="22"/>
        <v>2668.5416666666665</v>
      </c>
      <c r="F82" s="5">
        <f t="shared" si="23"/>
        <v>1256.4583333333335</v>
      </c>
      <c r="L82" s="5">
        <f t="shared" si="26"/>
        <v>3132.6307043650795</v>
      </c>
      <c r="N82" s="5">
        <f t="shared" si="24"/>
        <v>2668.5416666666665</v>
      </c>
      <c r="P82" s="14">
        <f t="shared" si="25"/>
        <v>1.4708408150519168</v>
      </c>
      <c r="X82">
        <v>80</v>
      </c>
      <c r="Y82">
        <f t="shared" si="19"/>
        <v>6400</v>
      </c>
      <c r="Z82">
        <f t="shared" si="20"/>
        <v>314000</v>
      </c>
      <c r="AA82" s="13">
        <f t="shared" si="21"/>
        <v>2786.3082677699404</v>
      </c>
    </row>
    <row r="83" spans="1:27" x14ac:dyDescent="0.25">
      <c r="A83">
        <v>2010</v>
      </c>
      <c r="B83" s="12" t="s">
        <v>242</v>
      </c>
      <c r="C83">
        <v>2991</v>
      </c>
      <c r="E83" s="5">
        <f t="shared" si="22"/>
        <v>2692.9583333333335</v>
      </c>
      <c r="F83" s="5">
        <f t="shared" si="23"/>
        <v>298.04166666666652</v>
      </c>
      <c r="L83" s="5">
        <f t="shared" si="26"/>
        <v>2820.8251488095239</v>
      </c>
      <c r="N83" s="5">
        <f t="shared" si="24"/>
        <v>2692.9583333333335</v>
      </c>
      <c r="P83" s="14">
        <f t="shared" si="25"/>
        <v>1.110674444152187</v>
      </c>
      <c r="X83">
        <v>81</v>
      </c>
      <c r="Y83">
        <f t="shared" si="19"/>
        <v>6561</v>
      </c>
      <c r="Z83">
        <f t="shared" si="20"/>
        <v>242271</v>
      </c>
      <c r="AA83" s="13">
        <f t="shared" si="21"/>
        <v>2808.4986096039065</v>
      </c>
    </row>
    <row r="84" spans="1:27" x14ac:dyDescent="0.25">
      <c r="A84">
        <v>2010</v>
      </c>
      <c r="B84" s="12" t="s">
        <v>243</v>
      </c>
      <c r="C84">
        <v>2471</v>
      </c>
      <c r="E84" s="5">
        <f t="shared" si="22"/>
        <v>2712.1666666666665</v>
      </c>
      <c r="F84" s="5">
        <f t="shared" si="23"/>
        <v>-241.16666666666652</v>
      </c>
      <c r="L84" s="5">
        <f t="shared" si="26"/>
        <v>2762.8737599206347</v>
      </c>
      <c r="N84" s="5">
        <f t="shared" si="24"/>
        <v>2712.1666666666665</v>
      </c>
      <c r="P84" s="14">
        <f t="shared" si="25"/>
        <v>0.91107970257481719</v>
      </c>
      <c r="X84">
        <v>82</v>
      </c>
      <c r="Y84">
        <f t="shared" si="19"/>
        <v>6724</v>
      </c>
      <c r="Z84">
        <f t="shared" si="20"/>
        <v>202622</v>
      </c>
      <c r="AA84" s="13">
        <f t="shared" si="21"/>
        <v>2830.6889514378731</v>
      </c>
    </row>
    <row r="85" spans="1:27" x14ac:dyDescent="0.25">
      <c r="A85">
        <v>2010</v>
      </c>
      <c r="B85" s="12" t="s">
        <v>244</v>
      </c>
      <c r="C85">
        <v>2297</v>
      </c>
      <c r="E85" s="5">
        <f t="shared" si="22"/>
        <v>2739.0416666666665</v>
      </c>
      <c r="F85" s="5">
        <f t="shared" si="23"/>
        <v>-442.04166666666652</v>
      </c>
      <c r="L85" s="5">
        <f t="shared" si="26"/>
        <v>2325.9501488095239</v>
      </c>
      <c r="N85" s="5">
        <f t="shared" si="24"/>
        <v>2739.0416666666665</v>
      </c>
      <c r="P85" s="14">
        <f t="shared" si="25"/>
        <v>0.83861447890837737</v>
      </c>
      <c r="X85">
        <v>83</v>
      </c>
      <c r="Y85">
        <f t="shared" si="19"/>
        <v>6889</v>
      </c>
      <c r="Z85">
        <f t="shared" si="20"/>
        <v>190651</v>
      </c>
      <c r="AA85" s="13">
        <f t="shared" si="21"/>
        <v>2852.8792932718397</v>
      </c>
    </row>
    <row r="86" spans="1:27" x14ac:dyDescent="0.25">
      <c r="A86">
        <v>2010</v>
      </c>
      <c r="B86" s="12" t="s">
        <v>245</v>
      </c>
      <c r="C86">
        <v>1186</v>
      </c>
      <c r="E86" s="5">
        <f t="shared" si="22"/>
        <v>2780.7083333333335</v>
      </c>
      <c r="F86" s="5">
        <f t="shared" si="23"/>
        <v>-1594.7083333333335</v>
      </c>
      <c r="L86" s="5">
        <f t="shared" si="26"/>
        <v>2220.6723710317465</v>
      </c>
      <c r="N86" s="5">
        <f t="shared" si="24"/>
        <v>2780.7083333333335</v>
      </c>
      <c r="P86" s="14">
        <f t="shared" si="25"/>
        <v>0.42651003191632825</v>
      </c>
      <c r="X86">
        <v>84</v>
      </c>
      <c r="Y86">
        <f t="shared" si="19"/>
        <v>7056</v>
      </c>
      <c r="Z86">
        <f t="shared" si="20"/>
        <v>99624</v>
      </c>
      <c r="AA86" s="13">
        <f t="shared" si="21"/>
        <v>2875.0696351058059</v>
      </c>
    </row>
    <row r="87" spans="1:27" x14ac:dyDescent="0.25">
      <c r="A87">
        <v>2011</v>
      </c>
      <c r="B87" s="12" t="s">
        <v>234</v>
      </c>
      <c r="C87">
        <v>2102</v>
      </c>
      <c r="E87" s="5">
        <f t="shared" si="22"/>
        <v>2848.7083333333335</v>
      </c>
      <c r="F87" s="5">
        <f t="shared" si="23"/>
        <v>-746.70833333333348</v>
      </c>
      <c r="L87" s="5">
        <f>C87-J3</f>
        <v>2745.8172123015875</v>
      </c>
      <c r="N87" s="5">
        <f t="shared" si="24"/>
        <v>2848.7083333333335</v>
      </c>
      <c r="P87" s="14">
        <f t="shared" si="25"/>
        <v>0.73787827816700546</v>
      </c>
      <c r="X87">
        <v>85</v>
      </c>
      <c r="Y87">
        <f t="shared" si="19"/>
        <v>7225</v>
      </c>
      <c r="Z87">
        <f t="shared" si="20"/>
        <v>178670</v>
      </c>
      <c r="AA87" s="13">
        <f t="shared" si="21"/>
        <v>2897.2599769397721</v>
      </c>
    </row>
    <row r="88" spans="1:27" x14ac:dyDescent="0.25">
      <c r="A88">
        <v>2011</v>
      </c>
      <c r="B88" s="12" t="s">
        <v>235</v>
      </c>
      <c r="C88">
        <v>2238</v>
      </c>
      <c r="E88" s="5">
        <f t="shared" si="22"/>
        <v>2912.5416666666665</v>
      </c>
      <c r="F88" s="5">
        <f t="shared" si="23"/>
        <v>-674.54166666666652</v>
      </c>
      <c r="L88" s="5">
        <f t="shared" ref="L88:L98" si="27">C88-J4</f>
        <v>2534.3648313492063</v>
      </c>
      <c r="N88" s="5">
        <f t="shared" si="24"/>
        <v>2912.5416666666665</v>
      </c>
      <c r="P88" s="14">
        <f t="shared" si="25"/>
        <v>0.76840102430580393</v>
      </c>
      <c r="X88">
        <v>86</v>
      </c>
      <c r="Y88">
        <f t="shared" si="19"/>
        <v>7396</v>
      </c>
      <c r="Z88">
        <f t="shared" si="20"/>
        <v>192468</v>
      </c>
      <c r="AA88" s="13">
        <f t="shared" si="21"/>
        <v>2919.4503187737382</v>
      </c>
    </row>
    <row r="89" spans="1:27" x14ac:dyDescent="0.25">
      <c r="A89">
        <v>2011</v>
      </c>
      <c r="B89" s="12" t="s">
        <v>236</v>
      </c>
      <c r="C89">
        <v>2930</v>
      </c>
      <c r="E89" s="5">
        <f t="shared" si="22"/>
        <v>2970.25</v>
      </c>
      <c r="F89" s="5">
        <f t="shared" si="23"/>
        <v>-40.25</v>
      </c>
      <c r="L89" s="5">
        <f t="shared" si="27"/>
        <v>3067.3767361111113</v>
      </c>
      <c r="N89" s="5">
        <f t="shared" si="24"/>
        <v>2970.25</v>
      </c>
      <c r="P89" s="14">
        <f t="shared" si="25"/>
        <v>0.98644895210840833</v>
      </c>
      <c r="X89">
        <v>87</v>
      </c>
      <c r="Y89">
        <f t="shared" si="19"/>
        <v>7569</v>
      </c>
      <c r="Z89">
        <f t="shared" si="20"/>
        <v>254910</v>
      </c>
      <c r="AA89" s="13">
        <f t="shared" si="21"/>
        <v>2941.6406606077048</v>
      </c>
    </row>
    <row r="90" spans="1:27" x14ac:dyDescent="0.25">
      <c r="A90">
        <v>2011</v>
      </c>
      <c r="B90" s="12" t="s">
        <v>237</v>
      </c>
      <c r="C90">
        <v>2587</v>
      </c>
      <c r="E90" s="5">
        <f t="shared" si="22"/>
        <v>3033.8333333333335</v>
      </c>
      <c r="F90" s="5">
        <f t="shared" si="23"/>
        <v>-446.83333333333348</v>
      </c>
      <c r="L90" s="5">
        <f t="shared" si="27"/>
        <v>2801.8112599206352</v>
      </c>
      <c r="N90" s="5">
        <f t="shared" si="24"/>
        <v>3033.8333333333335</v>
      </c>
      <c r="P90" s="14">
        <f t="shared" si="25"/>
        <v>0.85271658517826732</v>
      </c>
      <c r="X90">
        <v>88</v>
      </c>
      <c r="Y90">
        <f t="shared" si="19"/>
        <v>7744</v>
      </c>
      <c r="Z90">
        <f t="shared" si="20"/>
        <v>227656</v>
      </c>
      <c r="AA90" s="13">
        <f t="shared" si="21"/>
        <v>2963.8310024416714</v>
      </c>
    </row>
    <row r="91" spans="1:27" x14ac:dyDescent="0.25">
      <c r="A91">
        <v>2011</v>
      </c>
      <c r="B91" s="12" t="s">
        <v>238</v>
      </c>
      <c r="C91">
        <v>3542</v>
      </c>
      <c r="E91" s="5">
        <f t="shared" si="22"/>
        <v>3085.625</v>
      </c>
      <c r="F91" s="5">
        <f t="shared" si="23"/>
        <v>456.375</v>
      </c>
      <c r="L91" s="5">
        <f t="shared" si="27"/>
        <v>2940.2755456349205</v>
      </c>
      <c r="N91" s="5">
        <f t="shared" si="24"/>
        <v>3085.625</v>
      </c>
      <c r="P91" s="14">
        <f t="shared" si="25"/>
        <v>1.147903585173182</v>
      </c>
      <c r="X91">
        <v>89</v>
      </c>
      <c r="Y91">
        <f t="shared" si="19"/>
        <v>7921</v>
      </c>
      <c r="Z91">
        <f t="shared" si="20"/>
        <v>315238</v>
      </c>
      <c r="AA91" s="13">
        <f t="shared" si="21"/>
        <v>2986.0213442756376</v>
      </c>
    </row>
    <row r="92" spans="1:27" x14ac:dyDescent="0.25">
      <c r="A92">
        <v>2011</v>
      </c>
      <c r="B92" s="12" t="s">
        <v>239</v>
      </c>
      <c r="C92">
        <v>4070</v>
      </c>
      <c r="E92" s="5">
        <f t="shared" si="22"/>
        <v>3142.3333333333335</v>
      </c>
      <c r="F92" s="5">
        <f t="shared" si="23"/>
        <v>927.66666666666652</v>
      </c>
      <c r="L92" s="5">
        <f t="shared" si="27"/>
        <v>3591.6743551587301</v>
      </c>
      <c r="N92" s="5">
        <f t="shared" si="24"/>
        <v>3142.3333333333335</v>
      </c>
      <c r="P92" s="14">
        <f t="shared" si="25"/>
        <v>1.2952158693115519</v>
      </c>
      <c r="X92">
        <v>90</v>
      </c>
      <c r="Y92">
        <f t="shared" si="19"/>
        <v>8100</v>
      </c>
      <c r="Z92">
        <f t="shared" si="20"/>
        <v>366300</v>
      </c>
      <c r="AA92" s="13">
        <f t="shared" si="21"/>
        <v>3008.2116861096038</v>
      </c>
    </row>
    <row r="93" spans="1:27" x14ac:dyDescent="0.25">
      <c r="A93">
        <v>2011</v>
      </c>
      <c r="B93" s="12" t="s">
        <v>240</v>
      </c>
      <c r="C93">
        <v>4380</v>
      </c>
      <c r="E93" s="5">
        <f t="shared" si="22"/>
        <v>3084.8333333333335</v>
      </c>
      <c r="F93" s="5">
        <f t="shared" si="23"/>
        <v>1295.1666666666665</v>
      </c>
      <c r="L93" s="5">
        <f t="shared" si="27"/>
        <v>3774.7279265873012</v>
      </c>
      <c r="X93">
        <v>91</v>
      </c>
      <c r="Y93">
        <f t="shared" si="19"/>
        <v>8281</v>
      </c>
      <c r="Z93">
        <f t="shared" si="20"/>
        <v>398580</v>
      </c>
      <c r="AA93" s="13">
        <f t="shared" si="21"/>
        <v>3030.4020279435704</v>
      </c>
    </row>
    <row r="94" spans="1:27" x14ac:dyDescent="0.25">
      <c r="A94">
        <v>2011</v>
      </c>
      <c r="B94" s="12" t="s">
        <v>241</v>
      </c>
      <c r="C94">
        <v>4388</v>
      </c>
      <c r="L94" s="5">
        <f t="shared" si="27"/>
        <v>3595.6307043650795</v>
      </c>
      <c r="X94">
        <v>92</v>
      </c>
      <c r="Y94">
        <f t="shared" si="19"/>
        <v>8464</v>
      </c>
      <c r="Z94">
        <f t="shared" si="20"/>
        <v>403696</v>
      </c>
      <c r="AA94" s="13">
        <f t="shared" si="21"/>
        <v>3052.5923697775365</v>
      </c>
    </row>
    <row r="95" spans="1:27" x14ac:dyDescent="0.25">
      <c r="A95">
        <v>2011</v>
      </c>
      <c r="B95" s="12" t="s">
        <v>242</v>
      </c>
      <c r="C95">
        <v>3913</v>
      </c>
      <c r="L95" s="5">
        <f t="shared" si="27"/>
        <v>3742.8251488095239</v>
      </c>
      <c r="X95">
        <v>93</v>
      </c>
      <c r="Y95">
        <f t="shared" si="19"/>
        <v>8649</v>
      </c>
      <c r="Z95">
        <f t="shared" si="20"/>
        <v>363909</v>
      </c>
      <c r="AA95" s="13">
        <f t="shared" si="21"/>
        <v>3074.7827116115031</v>
      </c>
    </row>
    <row r="96" spans="1:27" x14ac:dyDescent="0.25">
      <c r="A96">
        <v>2011</v>
      </c>
      <c r="B96" s="12" t="s">
        <v>243</v>
      </c>
      <c r="C96">
        <v>3075</v>
      </c>
      <c r="L96" s="5">
        <f t="shared" si="27"/>
        <v>3366.8737599206347</v>
      </c>
      <c r="X96">
        <v>94</v>
      </c>
      <c r="Y96">
        <f t="shared" si="19"/>
        <v>8836</v>
      </c>
      <c r="Z96">
        <f t="shared" si="20"/>
        <v>289050</v>
      </c>
      <c r="AA96" s="13">
        <f t="shared" si="21"/>
        <v>3096.9730534454693</v>
      </c>
    </row>
    <row r="97" spans="1:27" x14ac:dyDescent="0.25">
      <c r="A97">
        <v>2011</v>
      </c>
      <c r="B97" s="12" t="s">
        <v>244</v>
      </c>
      <c r="C97">
        <v>2936</v>
      </c>
      <c r="L97" s="5">
        <f t="shared" si="27"/>
        <v>2964.9501488095239</v>
      </c>
      <c r="X97">
        <v>95</v>
      </c>
      <c r="Y97">
        <f t="shared" si="19"/>
        <v>9025</v>
      </c>
      <c r="Z97">
        <f t="shared" si="20"/>
        <v>278920</v>
      </c>
      <c r="AA97" s="13">
        <f t="shared" si="21"/>
        <v>3119.1633952794359</v>
      </c>
    </row>
    <row r="98" spans="1:27" x14ac:dyDescent="0.25">
      <c r="A98">
        <v>2011</v>
      </c>
      <c r="B98" s="12" t="s">
        <v>245</v>
      </c>
      <c r="C98">
        <v>1908</v>
      </c>
      <c r="L98" s="5">
        <f t="shared" si="27"/>
        <v>2942.6723710317465</v>
      </c>
      <c r="X98">
        <v>96</v>
      </c>
      <c r="Y98">
        <f t="shared" si="19"/>
        <v>9216</v>
      </c>
      <c r="Z98">
        <f t="shared" si="20"/>
        <v>183168</v>
      </c>
      <c r="AA98" s="13">
        <f t="shared" si="21"/>
        <v>3141.3537371134021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Dati</vt:lpstr>
      <vt:lpstr>Cap2</vt:lpstr>
      <vt:lpstr>Cap3</vt:lpstr>
      <vt:lpstr>Cap6</vt:lpstr>
      <vt:lpstr>Cap7</vt:lpstr>
      <vt:lpstr>Cap8</vt:lpstr>
    </vt:vector>
  </TitlesOfParts>
  <Company>Generali Business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Millo Giovanni</dc:creator>
  <cp:keywords>Internal</cp:keywords>
  <cp:lastModifiedBy>MILLO GIOVANNI</cp:lastModifiedBy>
  <dcterms:created xsi:type="dcterms:W3CDTF">2019-03-13T11:42:04Z</dcterms:created>
  <dcterms:modified xsi:type="dcterms:W3CDTF">2025-10-28T16:00:54Z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455004df-6181-44ec-8997-857ce836e5f6</vt:lpwstr>
  </property>
  <property fmtid="{D5CDD505-2E9C-101B-9397-08002B2CF9AE}" pid="3" name="Classification">
    <vt:lpwstr>Internal</vt:lpwstr>
  </property>
</Properties>
</file>