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rober\Desktop\"/>
    </mc:Choice>
  </mc:AlternateContent>
  <xr:revisionPtr revIDLastSave="0" documentId="13_ncr:1_{D66E0A0B-20FE-414A-82F1-7C7FD4C863C1}" xr6:coauthVersionLast="47" xr6:coauthVersionMax="47" xr10:uidLastSave="{00000000-0000-0000-0000-000000000000}"/>
  <bookViews>
    <workbookView xWindow="-110" yWindow="-110" windowWidth="19420" windowHeight="11500" firstSheet="6" activeTab="7" xr2:uid="{00000000-000D-0000-FFFF-FFFF00000000}"/>
  </bookViews>
  <sheets>
    <sheet name="Pearson_esempio" sheetId="8" r:id="rId1"/>
    <sheet name="Pearson_pag.235" sheetId="2" r:id="rId2"/>
    <sheet name="Equazione Retta" sheetId="9" r:id="rId3"/>
    <sheet name="Regressione_esempio1" sheetId="10" r:id="rId4"/>
    <sheet name="Regressione_esempio2" sheetId="11" r:id="rId5"/>
    <sheet name="Analisi residui esempio2" sheetId="17" r:id="rId6"/>
    <sheet name="Esempio 6.2" sheetId="18" r:id="rId7"/>
    <sheet name="Regressione_elasticità_domanda" sheetId="20" r:id="rId8"/>
    <sheet name="Regressione_economie_di_scala" sheetId="1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9" l="1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D9" i="19"/>
  <c r="D10" i="19" s="1"/>
  <c r="C10" i="19" s="1"/>
  <c r="H7" i="20"/>
  <c r="F7" i="20"/>
  <c r="E7" i="20"/>
  <c r="H6" i="20"/>
  <c r="F6" i="20"/>
  <c r="E6" i="20"/>
  <c r="H5" i="20"/>
  <c r="F5" i="20"/>
  <c r="E5" i="20"/>
  <c r="F4" i="20"/>
  <c r="E4" i="20"/>
  <c r="F3" i="20"/>
  <c r="E3" i="20"/>
  <c r="L4" i="18"/>
  <c r="K4" i="18"/>
  <c r="K5" i="18"/>
  <c r="K6" i="18" s="1"/>
  <c r="K7" i="18" s="1"/>
  <c r="K8" i="18" s="1"/>
  <c r="K9" i="18" s="1"/>
  <c r="K10" i="18" s="1"/>
  <c r="K11" i="18" s="1"/>
  <c r="K12" i="18" s="1"/>
  <c r="K13" i="18" s="1"/>
  <c r="K14" i="18" s="1"/>
  <c r="K15" i="18" s="1"/>
  <c r="K16" i="18" s="1"/>
  <c r="K17" i="18" s="1"/>
  <c r="K18" i="18" s="1"/>
  <c r="K19" i="18" s="1"/>
  <c r="K20" i="18" s="1"/>
  <c r="K21" i="18" s="1"/>
  <c r="K22" i="18" s="1"/>
  <c r="K23" i="18" s="1"/>
  <c r="K24" i="18" s="1"/>
  <c r="K25" i="18" s="1"/>
  <c r="L5" i="18"/>
  <c r="L6" i="18" s="1"/>
  <c r="L7" i="18" s="1"/>
  <c r="L8" i="18" s="1"/>
  <c r="L9" i="18" s="1"/>
  <c r="L10" i="18" s="1"/>
  <c r="L11" i="18" s="1"/>
  <c r="L12" i="18" s="1"/>
  <c r="L13" i="18" s="1"/>
  <c r="L14" i="18" s="1"/>
  <c r="L15" i="18" s="1"/>
  <c r="L16" i="18" s="1"/>
  <c r="L17" i="18" s="1"/>
  <c r="L18" i="18" s="1"/>
  <c r="L19" i="18" s="1"/>
  <c r="L20" i="18" s="1"/>
  <c r="L21" i="18" s="1"/>
  <c r="L22" i="18" s="1"/>
  <c r="L23" i="18" s="1"/>
  <c r="L24" i="18" s="1"/>
  <c r="L25" i="18" s="1"/>
  <c r="D47" i="18"/>
  <c r="E47" i="18" s="1"/>
  <c r="D48" i="18"/>
  <c r="E48" i="18" s="1"/>
  <c r="D49" i="18"/>
  <c r="E49" i="18" s="1"/>
  <c r="D50" i="18"/>
  <c r="E50" i="18" s="1"/>
  <c r="D51" i="18"/>
  <c r="E51" i="18" s="1"/>
  <c r="D36" i="18"/>
  <c r="E36" i="18" s="1"/>
  <c r="D37" i="18"/>
  <c r="E37" i="18" s="1"/>
  <c r="D38" i="18"/>
  <c r="E38" i="18" s="1"/>
  <c r="D39" i="18"/>
  <c r="E39" i="18" s="1"/>
  <c r="D40" i="18"/>
  <c r="E40" i="18" s="1"/>
  <c r="D41" i="18"/>
  <c r="E41" i="18" s="1"/>
  <c r="D42" i="18"/>
  <c r="E42" i="18" s="1"/>
  <c r="D43" i="18"/>
  <c r="E43" i="18" s="1"/>
  <c r="D44" i="18"/>
  <c r="E44" i="18" s="1"/>
  <c r="D45" i="18"/>
  <c r="E45" i="18" s="1"/>
  <c r="D46" i="18"/>
  <c r="E46" i="18" s="1"/>
  <c r="D31" i="18"/>
  <c r="E31" i="18" s="1"/>
  <c r="D32" i="18"/>
  <c r="E32" i="18" s="1"/>
  <c r="D33" i="18"/>
  <c r="E33" i="18" s="1"/>
  <c r="D34" i="18"/>
  <c r="E34" i="18" s="1"/>
  <c r="D35" i="18"/>
  <c r="E35" i="18" s="1"/>
  <c r="D30" i="18"/>
  <c r="E30" i="18" s="1"/>
  <c r="F25" i="17"/>
  <c r="I15" i="18"/>
  <c r="I9" i="18"/>
  <c r="O7" i="18"/>
  <c r="C26" i="18"/>
  <c r="O10" i="18" s="1"/>
  <c r="I14" i="18" s="1"/>
  <c r="B26" i="18"/>
  <c r="O9" i="18" s="1"/>
  <c r="D5" i="18"/>
  <c r="E5" i="18"/>
  <c r="D6" i="18"/>
  <c r="E6" i="18"/>
  <c r="D7" i="18"/>
  <c r="E7" i="18"/>
  <c r="D8" i="18"/>
  <c r="E8" i="18"/>
  <c r="D9" i="18"/>
  <c r="E9" i="18"/>
  <c r="D10" i="18"/>
  <c r="E10" i="18"/>
  <c r="D11" i="18"/>
  <c r="E11" i="18"/>
  <c r="D12" i="18"/>
  <c r="E12" i="18"/>
  <c r="D13" i="18"/>
  <c r="E13" i="18"/>
  <c r="D14" i="18"/>
  <c r="E14" i="18"/>
  <c r="D15" i="18"/>
  <c r="E15" i="18"/>
  <c r="D16" i="18"/>
  <c r="E16" i="18"/>
  <c r="D17" i="18"/>
  <c r="E17" i="18"/>
  <c r="D18" i="18"/>
  <c r="E18" i="18"/>
  <c r="D19" i="18"/>
  <c r="E19" i="18"/>
  <c r="D20" i="18"/>
  <c r="E20" i="18"/>
  <c r="D21" i="18"/>
  <c r="E21" i="18"/>
  <c r="D22" i="18"/>
  <c r="E22" i="18"/>
  <c r="D23" i="18"/>
  <c r="E23" i="18"/>
  <c r="D24" i="18"/>
  <c r="E24" i="18"/>
  <c r="D25" i="18"/>
  <c r="E25" i="18"/>
  <c r="E4" i="18"/>
  <c r="D4" i="18"/>
  <c r="C9" i="19" l="1"/>
  <c r="H9" i="19" s="1"/>
  <c r="D11" i="19"/>
  <c r="C11" i="19" s="1"/>
  <c r="H10" i="19"/>
  <c r="I17" i="18"/>
  <c r="I25" i="18"/>
  <c r="C52" i="18"/>
  <c r="I16" i="18"/>
  <c r="I18" i="18"/>
  <c r="I19" i="18"/>
  <c r="I20" i="18"/>
  <c r="I5" i="18"/>
  <c r="I21" i="18"/>
  <c r="I6" i="18"/>
  <c r="I22" i="18"/>
  <c r="I7" i="18"/>
  <c r="I23" i="18"/>
  <c r="I8" i="18"/>
  <c r="I24" i="18"/>
  <c r="I10" i="18"/>
  <c r="I4" i="18"/>
  <c r="I11" i="18"/>
  <c r="I12" i="18"/>
  <c r="I13" i="18"/>
  <c r="E26" i="18"/>
  <c r="D26" i="18"/>
  <c r="O4" i="18" s="1"/>
  <c r="O5" i="18" s="1"/>
  <c r="D12" i="19" l="1"/>
  <c r="C12" i="19" s="1"/>
  <c r="H11" i="19"/>
  <c r="I26" i="18"/>
  <c r="F23" i="18"/>
  <c r="G23" i="18" s="1"/>
  <c r="F7" i="18"/>
  <c r="G7" i="18" s="1"/>
  <c r="F22" i="18"/>
  <c r="G22" i="18" s="1"/>
  <c r="F6" i="18"/>
  <c r="G6" i="18" s="1"/>
  <c r="F21" i="18"/>
  <c r="G21" i="18" s="1"/>
  <c r="F5" i="18"/>
  <c r="G5" i="18" s="1"/>
  <c r="F20" i="18"/>
  <c r="G20" i="18" s="1"/>
  <c r="H20" i="18" s="1"/>
  <c r="F4" i="18"/>
  <c r="G4" i="18" s="1"/>
  <c r="F19" i="18"/>
  <c r="G19" i="18" s="1"/>
  <c r="F18" i="18"/>
  <c r="G18" i="18" s="1"/>
  <c r="F17" i="18"/>
  <c r="G17" i="18" s="1"/>
  <c r="F16" i="18"/>
  <c r="G16" i="18" s="1"/>
  <c r="H16" i="18" s="1"/>
  <c r="F24" i="18"/>
  <c r="G24" i="18" s="1"/>
  <c r="F15" i="18"/>
  <c r="G15" i="18" s="1"/>
  <c r="J15" i="18" s="1"/>
  <c r="F14" i="18"/>
  <c r="G14" i="18" s="1"/>
  <c r="F13" i="18"/>
  <c r="G13" i="18" s="1"/>
  <c r="F12" i="18"/>
  <c r="G12" i="18" s="1"/>
  <c r="F11" i="18"/>
  <c r="G11" i="18" s="1"/>
  <c r="F10" i="18"/>
  <c r="G10" i="18" s="1"/>
  <c r="F25" i="18"/>
  <c r="G25" i="18" s="1"/>
  <c r="F9" i="18"/>
  <c r="G9" i="18" s="1"/>
  <c r="F8" i="18"/>
  <c r="G8" i="18" s="1"/>
  <c r="H8" i="18"/>
  <c r="H6" i="18"/>
  <c r="H23" i="18"/>
  <c r="H25" i="18"/>
  <c r="H19" i="18"/>
  <c r="H21" i="18"/>
  <c r="H5" i="18"/>
  <c r="H7" i="18"/>
  <c r="H12" i="18"/>
  <c r="H12" i="19" l="1"/>
  <c r="D13" i="19"/>
  <c r="C13" i="19" s="1"/>
  <c r="J17" i="18"/>
  <c r="J18" i="18"/>
  <c r="J16" i="18"/>
  <c r="J5" i="18"/>
  <c r="J21" i="18"/>
  <c r="J4" i="18"/>
  <c r="J6" i="18"/>
  <c r="J11" i="18"/>
  <c r="J7" i="18"/>
  <c r="J19" i="18"/>
  <c r="J20" i="18"/>
  <c r="J9" i="18"/>
  <c r="H9" i="18"/>
  <c r="J22" i="18"/>
  <c r="J12" i="18"/>
  <c r="J23" i="18"/>
  <c r="J14" i="18"/>
  <c r="H24" i="18"/>
  <c r="J24" i="18"/>
  <c r="J8" i="18"/>
  <c r="J25" i="18"/>
  <c r="H17" i="18"/>
  <c r="H10" i="18"/>
  <c r="J10" i="18"/>
  <c r="H18" i="18"/>
  <c r="H11" i="18"/>
  <c r="J13" i="18"/>
  <c r="H14" i="18"/>
  <c r="H15" i="18"/>
  <c r="H13" i="18"/>
  <c r="H22" i="18"/>
  <c r="F26" i="18"/>
  <c r="G26" i="18"/>
  <c r="H4" i="18"/>
  <c r="D14" i="19" l="1"/>
  <c r="C14" i="19" s="1"/>
  <c r="H13" i="19"/>
  <c r="H26" i="18"/>
  <c r="J26" i="18"/>
  <c r="O12" i="18"/>
  <c r="O13" i="18"/>
  <c r="D15" i="19" l="1"/>
  <c r="C15" i="19" s="1"/>
  <c r="H14" i="19"/>
  <c r="B36" i="17"/>
  <c r="C36" i="17"/>
  <c r="B37" i="17"/>
  <c r="C37" i="17"/>
  <c r="B38" i="17"/>
  <c r="C38" i="17"/>
  <c r="B39" i="17"/>
  <c r="C39" i="17"/>
  <c r="C35" i="17"/>
  <c r="B35" i="17"/>
  <c r="C34" i="17"/>
  <c r="B34" i="17"/>
  <c r="D16" i="19" l="1"/>
  <c r="C16" i="19" s="1"/>
  <c r="H15" i="19"/>
  <c r="G26" i="17"/>
  <c r="G27" i="17"/>
  <c r="G28" i="17"/>
  <c r="G29" i="17"/>
  <c r="G30" i="17"/>
  <c r="G25" i="17"/>
  <c r="F26" i="17"/>
  <c r="F27" i="17"/>
  <c r="F28" i="17"/>
  <c r="F29" i="17"/>
  <c r="F30" i="17"/>
  <c r="H16" i="19" l="1"/>
  <c r="D17" i="19"/>
  <c r="C17" i="19" s="1"/>
  <c r="N33" i="11"/>
  <c r="N32" i="11"/>
  <c r="L33" i="11"/>
  <c r="L29" i="11"/>
  <c r="L32" i="11"/>
  <c r="L31" i="11"/>
  <c r="N29" i="11"/>
  <c r="N28" i="11"/>
  <c r="L28" i="11"/>
  <c r="L27" i="11"/>
  <c r="L16" i="11"/>
  <c r="J16" i="11"/>
  <c r="L14" i="11"/>
  <c r="L8" i="11"/>
  <c r="E6" i="11"/>
  <c r="E7" i="11"/>
  <c r="E8" i="11"/>
  <c r="E9" i="11"/>
  <c r="E10" i="11"/>
  <c r="E5" i="11"/>
  <c r="D6" i="11"/>
  <c r="D7" i="11"/>
  <c r="D8" i="11"/>
  <c r="D9" i="11"/>
  <c r="D10" i="11"/>
  <c r="D5" i="11"/>
  <c r="C11" i="11"/>
  <c r="L11" i="11" s="1"/>
  <c r="B11" i="11"/>
  <c r="L10" i="11" s="1"/>
  <c r="B57" i="10"/>
  <c r="B58" i="10"/>
  <c r="B59" i="10"/>
  <c r="B60" i="10"/>
  <c r="B61" i="10"/>
  <c r="B62" i="10"/>
  <c r="B63" i="10"/>
  <c r="B64" i="10"/>
  <c r="B65" i="10"/>
  <c r="B56" i="10"/>
  <c r="D18" i="19" l="1"/>
  <c r="C18" i="19" s="1"/>
  <c r="H17" i="19"/>
  <c r="I6" i="11"/>
  <c r="I8" i="11"/>
  <c r="I5" i="11"/>
  <c r="I10" i="11"/>
  <c r="D11" i="11"/>
  <c r="I9" i="11"/>
  <c r="I7" i="11"/>
  <c r="E11" i="11"/>
  <c r="L5" i="11" s="1"/>
  <c r="L6" i="11" s="1"/>
  <c r="H18" i="19" l="1"/>
  <c r="D19" i="19"/>
  <c r="C19" i="19" s="1"/>
  <c r="F6" i="11"/>
  <c r="G6" i="11" s="1"/>
  <c r="H6" i="11" s="1"/>
  <c r="F9" i="11"/>
  <c r="G9" i="11" s="1"/>
  <c r="H9" i="11" s="1"/>
  <c r="F5" i="11"/>
  <c r="G5" i="11" s="1"/>
  <c r="H5" i="11" s="1"/>
  <c r="F7" i="11"/>
  <c r="G7" i="11" s="1"/>
  <c r="H7" i="11" s="1"/>
  <c r="F10" i="11"/>
  <c r="G10" i="11" s="1"/>
  <c r="H10" i="11" s="1"/>
  <c r="F8" i="11"/>
  <c r="G8" i="11" s="1"/>
  <c r="H8" i="11" s="1"/>
  <c r="I11" i="11"/>
  <c r="D20" i="19" l="1"/>
  <c r="C20" i="19" s="1"/>
  <c r="H19" i="19"/>
  <c r="F11" i="11"/>
  <c r="E5" i="10"/>
  <c r="E6" i="10"/>
  <c r="E7" i="10"/>
  <c r="E8" i="10"/>
  <c r="E9" i="10"/>
  <c r="E10" i="10"/>
  <c r="E11" i="10"/>
  <c r="E12" i="10"/>
  <c r="E13" i="10"/>
  <c r="E4" i="10"/>
  <c r="D5" i="10"/>
  <c r="D6" i="10"/>
  <c r="D7" i="10"/>
  <c r="D8" i="10"/>
  <c r="D9" i="10"/>
  <c r="D10" i="10"/>
  <c r="D11" i="10"/>
  <c r="D12" i="10"/>
  <c r="D13" i="10"/>
  <c r="D4" i="10"/>
  <c r="B14" i="10"/>
  <c r="B22" i="10" s="1"/>
  <c r="C14" i="10"/>
  <c r="B21" i="10" s="1"/>
  <c r="H20" i="19" l="1"/>
  <c r="D21" i="19"/>
  <c r="C21" i="19" s="1"/>
  <c r="G11" i="11"/>
  <c r="H11" i="11"/>
  <c r="D14" i="10"/>
  <c r="I5" i="10"/>
  <c r="I13" i="10"/>
  <c r="I6" i="10"/>
  <c r="I10" i="10"/>
  <c r="I12" i="10"/>
  <c r="I7" i="10"/>
  <c r="I4" i="10"/>
  <c r="I8" i="10"/>
  <c r="I9" i="10"/>
  <c r="I11" i="10"/>
  <c r="E14" i="10"/>
  <c r="B25" i="10" s="1"/>
  <c r="B24" i="10" s="1"/>
  <c r="H21" i="19" l="1"/>
  <c r="D22" i="19"/>
  <c r="C22" i="19" s="1"/>
  <c r="L13" i="11"/>
  <c r="L15" i="11"/>
  <c r="G18" i="10"/>
  <c r="C68" i="10" s="1"/>
  <c r="G17" i="10"/>
  <c r="C67" i="10" s="1"/>
  <c r="G16" i="10"/>
  <c r="C66" i="10" s="1"/>
  <c r="F13" i="10"/>
  <c r="F6" i="10"/>
  <c r="F7" i="10"/>
  <c r="F9" i="10"/>
  <c r="F11" i="10"/>
  <c r="F12" i="10"/>
  <c r="F4" i="10"/>
  <c r="C56" i="10" s="1"/>
  <c r="F5" i="10"/>
  <c r="F8" i="10"/>
  <c r="F10" i="10"/>
  <c r="I14" i="10"/>
  <c r="D23" i="19" l="1"/>
  <c r="C23" i="19" s="1"/>
  <c r="H22" i="19"/>
  <c r="G11" i="10"/>
  <c r="H11" i="10" s="1"/>
  <c r="C63" i="10"/>
  <c r="G5" i="10"/>
  <c r="H5" i="10" s="1"/>
  <c r="C57" i="10"/>
  <c r="G9" i="10"/>
  <c r="H9" i="10" s="1"/>
  <c r="C61" i="10"/>
  <c r="G8" i="10"/>
  <c r="H8" i="10" s="1"/>
  <c r="C60" i="10"/>
  <c r="G6" i="10"/>
  <c r="H6" i="10" s="1"/>
  <c r="C58" i="10"/>
  <c r="G13" i="10"/>
  <c r="H13" i="10" s="1"/>
  <c r="C65" i="10"/>
  <c r="G12" i="10"/>
  <c r="H12" i="10" s="1"/>
  <c r="C64" i="10"/>
  <c r="G10" i="10"/>
  <c r="H10" i="10" s="1"/>
  <c r="C62" i="10"/>
  <c r="G7" i="10"/>
  <c r="H7" i="10" s="1"/>
  <c r="C59" i="10"/>
  <c r="F14" i="10"/>
  <c r="G4" i="10"/>
  <c r="D24" i="19" l="1"/>
  <c r="C24" i="19" s="1"/>
  <c r="H23" i="19"/>
  <c r="H4" i="10"/>
  <c r="H14" i="10" s="1"/>
  <c r="B27" i="10" s="1"/>
  <c r="G14" i="10"/>
  <c r="B6" i="9"/>
  <c r="B8" i="9"/>
  <c r="B9" i="9"/>
  <c r="B10" i="9"/>
  <c r="B11" i="9"/>
  <c r="B12" i="9"/>
  <c r="B7" i="9"/>
  <c r="B20" i="8"/>
  <c r="B15" i="8"/>
  <c r="G4" i="8" s="1"/>
  <c r="B14" i="8"/>
  <c r="F5" i="8" s="1"/>
  <c r="C20" i="8"/>
  <c r="C22" i="8"/>
  <c r="C18" i="8"/>
  <c r="C17" i="8"/>
  <c r="C15" i="8"/>
  <c r="C14" i="8"/>
  <c r="C12" i="8"/>
  <c r="C11" i="8"/>
  <c r="C8" i="8"/>
  <c r="B8" i="8"/>
  <c r="B35" i="2"/>
  <c r="H24" i="19" l="1"/>
  <c r="D25" i="19"/>
  <c r="C25" i="19" s="1"/>
  <c r="I4" i="8"/>
  <c r="G7" i="8"/>
  <c r="I7" i="8" s="1"/>
  <c r="G6" i="8"/>
  <c r="I6" i="8" s="1"/>
  <c r="G5" i="8"/>
  <c r="I5" i="8" s="1"/>
  <c r="J5" i="8"/>
  <c r="H5" i="8"/>
  <c r="F4" i="8"/>
  <c r="H4" i="8" s="1"/>
  <c r="F7" i="8"/>
  <c r="H7" i="8" s="1"/>
  <c r="F6" i="8"/>
  <c r="J6" i="8" s="1"/>
  <c r="H6" i="8"/>
  <c r="H8" i="8" s="1"/>
  <c r="J4" i="8"/>
  <c r="F8" i="8"/>
  <c r="H25" i="19" l="1"/>
  <c r="D26" i="19"/>
  <c r="C26" i="19" s="1"/>
  <c r="I8" i="8"/>
  <c r="B12" i="8" s="1"/>
  <c r="B18" i="8" s="1"/>
  <c r="G8" i="8"/>
  <c r="B11" i="8"/>
  <c r="B17" i="8" s="1"/>
  <c r="J7" i="8"/>
  <c r="J8" i="8" s="1"/>
  <c r="H26" i="19" l="1"/>
  <c r="D27" i="19"/>
  <c r="C27" i="19" s="1"/>
  <c r="B22" i="8"/>
  <c r="D28" i="19" l="1"/>
  <c r="H27" i="19"/>
  <c r="B34" i="2"/>
  <c r="C28" i="19" l="1"/>
  <c r="H28" i="19" s="1"/>
  <c r="B36" i="2"/>
  <c r="K29" i="2"/>
  <c r="K28" i="2"/>
  <c r="L27" i="2"/>
  <c r="L26" i="2"/>
  <c r="K27" i="2"/>
  <c r="K26" i="2"/>
  <c r="L25" i="2"/>
  <c r="K25" i="2"/>
  <c r="C25" i="2"/>
  <c r="F23" i="2" s="1"/>
  <c r="G23" i="2" s="1"/>
  <c r="B25" i="2"/>
  <c r="D10" i="2" s="1"/>
  <c r="E10" i="2" s="1"/>
  <c r="F8" i="2" l="1"/>
  <c r="G8" i="2" s="1"/>
  <c r="F10" i="2"/>
  <c r="G10" i="2" s="1"/>
  <c r="F9" i="2"/>
  <c r="G9" i="2" s="1"/>
  <c r="F2" i="2"/>
  <c r="G2" i="2" s="1"/>
  <c r="F6" i="2"/>
  <c r="G6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3" i="2"/>
  <c r="G3" i="2" s="1"/>
  <c r="F19" i="2"/>
  <c r="G19" i="2" s="1"/>
  <c r="F4" i="2"/>
  <c r="G4" i="2" s="1"/>
  <c r="F20" i="2"/>
  <c r="G20" i="2" s="1"/>
  <c r="F5" i="2"/>
  <c r="G5" i="2" s="1"/>
  <c r="F21" i="2"/>
  <c r="G21" i="2" s="1"/>
  <c r="F22" i="2"/>
  <c r="G22" i="2" s="1"/>
  <c r="F7" i="2"/>
  <c r="G7" i="2" s="1"/>
  <c r="D9" i="2"/>
  <c r="D2" i="2"/>
  <c r="D23" i="2"/>
  <c r="D22" i="2"/>
  <c r="E22" i="2" s="1"/>
  <c r="D21" i="2"/>
  <c r="E21" i="2" s="1"/>
  <c r="D8" i="2"/>
  <c r="D7" i="2"/>
  <c r="E7" i="2" s="1"/>
  <c r="D6" i="2"/>
  <c r="D5" i="2"/>
  <c r="E5" i="2" s="1"/>
  <c r="D20" i="2"/>
  <c r="E20" i="2" s="1"/>
  <c r="D4" i="2"/>
  <c r="D19" i="2"/>
  <c r="D3" i="2"/>
  <c r="D18" i="2"/>
  <c r="D17" i="2"/>
  <c r="D16" i="2"/>
  <c r="E16" i="2" s="1"/>
  <c r="D15" i="2"/>
  <c r="E15" i="2" s="1"/>
  <c r="D14" i="2"/>
  <c r="E14" i="2" s="1"/>
  <c r="D13" i="2"/>
  <c r="D12" i="2"/>
  <c r="D11" i="2"/>
  <c r="H10" i="2" l="1"/>
  <c r="H19" i="2"/>
  <c r="E19" i="2"/>
  <c r="H12" i="2"/>
  <c r="E12" i="2"/>
  <c r="E23" i="2"/>
  <c r="H23" i="2"/>
  <c r="H4" i="2"/>
  <c r="E4" i="2"/>
  <c r="H6" i="2"/>
  <c r="E6" i="2"/>
  <c r="H8" i="2"/>
  <c r="E8" i="2"/>
  <c r="E2" i="2"/>
  <c r="H2" i="2"/>
  <c r="H9" i="2"/>
  <c r="E9" i="2"/>
  <c r="H17" i="2"/>
  <c r="E17" i="2"/>
  <c r="H3" i="2"/>
  <c r="E3" i="2"/>
  <c r="H11" i="2"/>
  <c r="E11" i="2"/>
  <c r="H13" i="2"/>
  <c r="E13" i="2"/>
  <c r="H18" i="2"/>
  <c r="E18" i="2"/>
  <c r="C26" i="2"/>
  <c r="C27" i="2" s="1"/>
  <c r="H15" i="2"/>
  <c r="H14" i="2"/>
  <c r="H5" i="2"/>
  <c r="H16" i="2"/>
  <c r="H7" i="2"/>
  <c r="H20" i="2"/>
  <c r="H21" i="2"/>
  <c r="H22" i="2"/>
  <c r="B28" i="2" l="1"/>
  <c r="B26" i="2"/>
  <c r="B27" i="2" s="1"/>
  <c r="B29" i="2" l="1"/>
  <c r="B31" i="2" s="1"/>
  <c r="C3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Lorenzo Cannata</author>
  </authors>
  <commentList>
    <comment ref="C20" authorId="0" shapeId="0" xr:uid="{F7C20899-4678-4A11-9A35-8CCCED75607C}">
      <text>
        <r>
          <rPr>
            <sz val="9"/>
            <color indexed="81"/>
            <rFont val="Tahoma"/>
            <family val="2"/>
          </rPr>
          <t xml:space="preserve">Attenzione la funzione CORRELAZIONE restituisce l'indice di Pearson solo per il totale della popolazione. Non c'è una formula con la correzione per i dati campionari
</t>
        </r>
      </text>
    </comment>
  </commentList>
</comments>
</file>

<file path=xl/sharedStrings.xml><?xml version="1.0" encoding="utf-8"?>
<sst xmlns="http://schemas.openxmlformats.org/spreadsheetml/2006/main" count="305" uniqueCount="175">
  <si>
    <t xml:space="preserve">Ancona </t>
  </si>
  <si>
    <t>Aosta</t>
  </si>
  <si>
    <t xml:space="preserve">Bari </t>
  </si>
  <si>
    <t>Campobasso</t>
  </si>
  <si>
    <t>Bologna</t>
  </si>
  <si>
    <t>Catanzaro</t>
  </si>
  <si>
    <t>Firenza</t>
  </si>
  <si>
    <t>Genova</t>
  </si>
  <si>
    <t>L'Aquila</t>
  </si>
  <si>
    <t>Milano Nord</t>
  </si>
  <si>
    <t>Milano Sud</t>
  </si>
  <si>
    <t>Napoli</t>
  </si>
  <si>
    <t>Palermo</t>
  </si>
  <si>
    <t>Perugia</t>
  </si>
  <si>
    <t>Potenza</t>
  </si>
  <si>
    <t>Roma Nord</t>
  </si>
  <si>
    <t>Sud</t>
  </si>
  <si>
    <t>Torino</t>
  </si>
  <si>
    <t>Trento</t>
  </si>
  <si>
    <t>Trieste</t>
  </si>
  <si>
    <t>Venezia</t>
  </si>
  <si>
    <t>Produzione annua in tonnellate</t>
  </si>
  <si>
    <t>Costi totale annui in mln euro</t>
  </si>
  <si>
    <t>Media</t>
  </si>
  <si>
    <t>alfa =</t>
  </si>
  <si>
    <t>range</t>
  </si>
  <si>
    <t>Dev.standard</t>
  </si>
  <si>
    <t>Cov(x,y)</t>
  </si>
  <si>
    <t>Scarto media produzione</t>
  </si>
  <si>
    <t>Scarto media costi</t>
  </si>
  <si>
    <t>Prodotto scarti</t>
  </si>
  <si>
    <t>Varianza corretta</t>
  </si>
  <si>
    <t>Scarto media produzione^2</t>
  </si>
  <si>
    <t>Scarto media costi^2</t>
  </si>
  <si>
    <t>Corr(x,y)</t>
  </si>
  <si>
    <t>t-test</t>
  </si>
  <si>
    <t>t-crit min</t>
  </si>
  <si>
    <t>t-crit max</t>
  </si>
  <si>
    <t>L'ipotesi che la correlazione sia zero è riufiutata</t>
  </si>
  <si>
    <t>Colonna 1</t>
  </si>
  <si>
    <t>Colonna 2</t>
  </si>
  <si>
    <t>FORMULE</t>
  </si>
  <si>
    <t>ANALISI DATI</t>
  </si>
  <si>
    <t>Alfa</t>
  </si>
  <si>
    <t>gdl</t>
  </si>
  <si>
    <t>xy</t>
  </si>
  <si>
    <t>Totale</t>
  </si>
  <si>
    <t>T</t>
  </si>
  <si>
    <t>x^2</t>
  </si>
  <si>
    <t>b1 =</t>
  </si>
  <si>
    <t>b0 =</t>
  </si>
  <si>
    <t>s =</t>
  </si>
  <si>
    <t>y'</t>
  </si>
  <si>
    <t>u'</t>
  </si>
  <si>
    <t>u'^2</t>
  </si>
  <si>
    <t>tcrit =</t>
  </si>
  <si>
    <t>R^2 =</t>
  </si>
  <si>
    <t>OUTPUT RIEPILOGO</t>
  </si>
  <si>
    <t>Statistica della regressione</t>
  </si>
  <si>
    <t>R multiplo</t>
  </si>
  <si>
    <t>R al quadrato</t>
  </si>
  <si>
    <t>R al quadrato corretto</t>
  </si>
  <si>
    <t>Errore standard</t>
  </si>
  <si>
    <t>Osservazioni</t>
  </si>
  <si>
    <t>ANALISI VARIANZA</t>
  </si>
  <si>
    <t>Regressione</t>
  </si>
  <si>
    <t>Residuo</t>
  </si>
  <si>
    <t>Intercetta</t>
  </si>
  <si>
    <t>SQ</t>
  </si>
  <si>
    <t>MQ</t>
  </si>
  <si>
    <t>F</t>
  </si>
  <si>
    <t>Significatività F</t>
  </si>
  <si>
    <t>Coefficienti</t>
  </si>
  <si>
    <t>Stat t</t>
  </si>
  <si>
    <t>Valore di significatività</t>
  </si>
  <si>
    <t>Inferiore 95%</t>
  </si>
  <si>
    <t>Superiore 95%</t>
  </si>
  <si>
    <t>Inferiore 95,0%</t>
  </si>
  <si>
    <t>Superiore 95,0%</t>
  </si>
  <si>
    <t>Variabile X 1</t>
  </si>
  <si>
    <t>(y-E(y))^2</t>
  </si>
  <si>
    <t>N° componenti famiglia clienti (x)</t>
  </si>
  <si>
    <t>media x</t>
  </si>
  <si>
    <t>media y</t>
  </si>
  <si>
    <t>OUTPUT RESIDUI</t>
  </si>
  <si>
    <t>Osservazione</t>
  </si>
  <si>
    <t>Y prevista</t>
  </si>
  <si>
    <t>Residui</t>
  </si>
  <si>
    <t>Residui standard</t>
  </si>
  <si>
    <t>Y</t>
  </si>
  <si>
    <t>p-value</t>
  </si>
  <si>
    <t>Prodotto A</t>
  </si>
  <si>
    <t>Prodotto B</t>
  </si>
  <si>
    <t>scarto media A</t>
  </si>
  <si>
    <t>scarto media B</t>
  </si>
  <si>
    <t>scarto^2 media A</t>
  </si>
  <si>
    <t>scarto^2 media B</t>
  </si>
  <si>
    <t>scartoA*scartoB</t>
  </si>
  <si>
    <t>Gorizia</t>
  </si>
  <si>
    <t>Pordenone</t>
  </si>
  <si>
    <t>Udine</t>
  </si>
  <si>
    <t>FVG</t>
  </si>
  <si>
    <t>Calcolata</t>
  </si>
  <si>
    <t>var(A) =</t>
  </si>
  <si>
    <t>var(B) =</t>
  </si>
  <si>
    <t>media(A)</t>
  </si>
  <si>
    <t>alfa</t>
  </si>
  <si>
    <t>media(B)</t>
  </si>
  <si>
    <t>sqm(A)=</t>
  </si>
  <si>
    <t>sqm(B)=</t>
  </si>
  <si>
    <t>corr(A) =</t>
  </si>
  <si>
    <t>cov(A,B) =</t>
  </si>
  <si>
    <t>Formula Excel</t>
  </si>
  <si>
    <t>y</t>
  </si>
  <si>
    <t>x</t>
  </si>
  <si>
    <t>b0=</t>
  </si>
  <si>
    <t>b1=</t>
  </si>
  <si>
    <t>Campagna pubblicitaria</t>
  </si>
  <si>
    <t>Vendite (€x1000)</t>
  </si>
  <si>
    <t>Spese pubblicità (€x1000)</t>
  </si>
  <si>
    <t>E(x) =</t>
  </si>
  <si>
    <t>E(y) =</t>
  </si>
  <si>
    <t>Somma</t>
  </si>
  <si>
    <t>B1 =</t>
  </si>
  <si>
    <t>T =</t>
  </si>
  <si>
    <t>X</t>
  </si>
  <si>
    <t xml:space="preserve">B0 = </t>
  </si>
  <si>
    <t>R2 =</t>
  </si>
  <si>
    <t>(y-y')^2</t>
  </si>
  <si>
    <t>y-y'</t>
  </si>
  <si>
    <t>PREVISIONI</t>
  </si>
  <si>
    <t>Stima coefficenti di regressione ed intervallo di confidenza del parametro B1</t>
  </si>
  <si>
    <t>Ricavi (€x100) y</t>
  </si>
  <si>
    <t>gdl =</t>
  </si>
  <si>
    <t>y=6+8x</t>
  </si>
  <si>
    <r>
      <t xml:space="preserve">la statistica test si distribuisce come una t di Student con </t>
    </r>
    <r>
      <rPr>
        <b/>
        <i/>
        <sz val="12"/>
        <color rgb="FF000000"/>
        <rFont val="Aptos"/>
        <family val="2"/>
      </rPr>
      <t>T-2</t>
    </r>
    <r>
      <rPr>
        <b/>
        <sz val="12"/>
        <color rgb="FF000000"/>
        <rFont val="Aptos"/>
        <family val="2"/>
      </rPr>
      <t xml:space="preserve"> gradi di libertà </t>
    </r>
  </si>
  <si>
    <t>&lt;= B1 &lt;=</t>
  </si>
  <si>
    <t>ES(b1) =</t>
  </si>
  <si>
    <t>test (b1=0)</t>
  </si>
  <si>
    <t>tcrit</t>
  </si>
  <si>
    <t xml:space="preserve">p-value = </t>
  </si>
  <si>
    <t>ES(b0) =</t>
  </si>
  <si>
    <t>test (b0=0)</t>
  </si>
  <si>
    <t>prob normale st</t>
  </si>
  <si>
    <t>quantile prob normale</t>
  </si>
  <si>
    <t>Capoluogo</t>
  </si>
  <si>
    <t>Ancona</t>
  </si>
  <si>
    <t>Bari</t>
  </si>
  <si>
    <t>Cagliari</t>
  </si>
  <si>
    <t>Firenze</t>
  </si>
  <si>
    <t>Milano nord</t>
  </si>
  <si>
    <t>Milano sud</t>
  </si>
  <si>
    <t>Roma nord</t>
  </si>
  <si>
    <t>Roma sud</t>
  </si>
  <si>
    <t>Costo (y)</t>
  </si>
  <si>
    <t>Produzione (x)</t>
  </si>
  <si>
    <t>u' standardizzati</t>
  </si>
  <si>
    <t>u' standardizzati ordinati</t>
  </si>
  <si>
    <t>quantil Normale st con 22 osservazioni</t>
  </si>
  <si>
    <t>prob. Normale st con 22 osservazioni</t>
  </si>
  <si>
    <t>-1,96*s</t>
  </si>
  <si>
    <t>+1,96*s</t>
  </si>
  <si>
    <t>p (€)</t>
  </si>
  <si>
    <t>q (n.biglietti)</t>
  </si>
  <si>
    <t>ln(p)</t>
  </si>
  <si>
    <t>ln(q)</t>
  </si>
  <si>
    <t>Input</t>
  </si>
  <si>
    <t>Exp ratio 0</t>
  </si>
  <si>
    <t>Delta vs t-1</t>
  </si>
  <si>
    <t>Impresa</t>
  </si>
  <si>
    <t>fatturato</t>
  </si>
  <si>
    <t>spese</t>
  </si>
  <si>
    <t>ln(fatturato)</t>
  </si>
  <si>
    <t>ln(spese)</t>
  </si>
  <si>
    <t xml:space="preserve">statistica test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</si>
</sst>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0.000"/>
    <numFmt numFmtId="166" formatCode="0.0"/>
    <numFmt numFmtId="167" formatCode="0.0000000000"/>
    <numFmt numFmtId="168" formatCode="0.0000000%"/>
    <numFmt numFmtId="169" formatCode="0.0000"/>
    <numFmt numFmtId="170" formatCode="0.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b/>
      <sz val="12"/>
      <color rgb="FF000000"/>
      <name val="Aptos"/>
      <family val="2"/>
    </font>
    <font>
      <b/>
      <i/>
      <sz val="12"/>
      <color rgb="FF000000"/>
      <name val="Aptos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3" fontId="0" fillId="0" borderId="0" xfId="0" applyNumberFormat="1"/>
    <xf numFmtId="164" fontId="0" fillId="0" borderId="0" xfId="1" applyNumberFormat="1" applyFont="1"/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2" fontId="0" fillId="0" borderId="0" xfId="0" applyNumberFormat="1" applyAlignment="1">
      <alignment horizontal="right"/>
    </xf>
    <xf numFmtId="167" fontId="0" fillId="0" borderId="0" xfId="0" applyNumberFormat="1"/>
    <xf numFmtId="166" fontId="0" fillId="0" borderId="6" xfId="0" applyNumberFormat="1" applyBorder="1"/>
    <xf numFmtId="0" fontId="3" fillId="0" borderId="0" xfId="0" applyFont="1"/>
    <xf numFmtId="3" fontId="3" fillId="0" borderId="3" xfId="0" applyNumberFormat="1" applyFont="1" applyBorder="1"/>
    <xf numFmtId="3" fontId="3" fillId="0" borderId="4" xfId="0" applyNumberFormat="1" applyFont="1" applyBorder="1"/>
    <xf numFmtId="166" fontId="3" fillId="0" borderId="5" xfId="0" applyNumberFormat="1" applyFont="1" applyBorder="1"/>
    <xf numFmtId="166" fontId="3" fillId="0" borderId="6" xfId="0" applyNumberFormat="1" applyFont="1" applyBorder="1"/>
    <xf numFmtId="0" fontId="3" fillId="0" borderId="6" xfId="0" applyFont="1" applyBorder="1"/>
    <xf numFmtId="2" fontId="3" fillId="0" borderId="7" xfId="0" applyNumberFormat="1" applyFont="1" applyBorder="1"/>
    <xf numFmtId="0" fontId="3" fillId="0" borderId="8" xfId="0" applyFont="1" applyBorder="1"/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3" fillId="0" borderId="1" xfId="0" applyFont="1" applyBorder="1"/>
    <xf numFmtId="0" fontId="0" fillId="0" borderId="5" xfId="0" applyBorder="1"/>
    <xf numFmtId="3" fontId="0" fillId="0" borderId="6" xfId="0" applyNumberFormat="1" applyBorder="1"/>
    <xf numFmtId="0" fontId="0" fillId="0" borderId="7" xfId="0" applyBorder="1"/>
    <xf numFmtId="3" fontId="0" fillId="0" borderId="1" xfId="0" applyNumberFormat="1" applyBorder="1"/>
    <xf numFmtId="3" fontId="0" fillId="0" borderId="8" xfId="0" applyNumberFormat="1" applyBorder="1"/>
    <xf numFmtId="0" fontId="2" fillId="0" borderId="9" xfId="0" applyFont="1" applyBorder="1"/>
    <xf numFmtId="0" fontId="2" fillId="0" borderId="11" xfId="0" applyFont="1" applyBorder="1" applyAlignment="1">
      <alignment wrapText="1"/>
    </xf>
    <xf numFmtId="0" fontId="2" fillId="0" borderId="10" xfId="0" applyFont="1" applyBorder="1" applyAlignment="1">
      <alignment wrapText="1"/>
    </xf>
    <xf numFmtId="3" fontId="0" fillId="0" borderId="5" xfId="0" applyNumberFormat="1" applyBorder="1"/>
    <xf numFmtId="3" fontId="0" fillId="0" borderId="7" xfId="0" applyNumberFormat="1" applyBorder="1"/>
    <xf numFmtId="166" fontId="0" fillId="0" borderId="8" xfId="0" applyNumberFormat="1" applyBorder="1"/>
    <xf numFmtId="0" fontId="2" fillId="0" borderId="9" xfId="0" applyFont="1" applyBorder="1" applyAlignment="1">
      <alignment wrapText="1"/>
    </xf>
    <xf numFmtId="9" fontId="0" fillId="0" borderId="0" xfId="1" applyFont="1"/>
    <xf numFmtId="0" fontId="0" fillId="0" borderId="0" xfId="0" applyAlignment="1">
      <alignment vertical="center" wrapText="1"/>
    </xf>
    <xf numFmtId="0" fontId="0" fillId="0" borderId="1" xfId="0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Continuous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0" fillId="0" borderId="5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3" fontId="2" fillId="0" borderId="11" xfId="0" applyNumberFormat="1" applyFont="1" applyBorder="1"/>
    <xf numFmtId="3" fontId="2" fillId="0" borderId="10" xfId="0" applyNumberFormat="1" applyFont="1" applyBorder="1"/>
    <xf numFmtId="2" fontId="2" fillId="0" borderId="0" xfId="0" applyNumberFormat="1" applyFont="1"/>
    <xf numFmtId="0" fontId="5" fillId="0" borderId="0" xfId="0" applyFont="1"/>
    <xf numFmtId="2" fontId="5" fillId="0" borderId="0" xfId="0" applyNumberFormat="1" applyFont="1"/>
    <xf numFmtId="168" fontId="0" fillId="0" borderId="0" xfId="1" applyNumberFormat="1" applyFont="1"/>
    <xf numFmtId="1" fontId="0" fillId="0" borderId="0" xfId="0" applyNumberFormat="1"/>
    <xf numFmtId="169" fontId="2" fillId="0" borderId="0" xfId="0" applyNumberFormat="1" applyFont="1"/>
    <xf numFmtId="0" fontId="2" fillId="0" borderId="0" xfId="0" applyFont="1" applyAlignment="1">
      <alignment wrapText="1"/>
    </xf>
    <xf numFmtId="0" fontId="6" fillId="0" borderId="12" xfId="0" applyFont="1" applyBorder="1" applyAlignment="1">
      <alignment horizontal="center"/>
    </xf>
    <xf numFmtId="1" fontId="2" fillId="0" borderId="0" xfId="0" applyNumberFormat="1" applyFont="1"/>
    <xf numFmtId="0" fontId="0" fillId="0" borderId="0" xfId="0" quotePrefix="1"/>
    <xf numFmtId="0" fontId="2" fillId="0" borderId="0" xfId="0" quotePrefix="1" applyFont="1" applyAlignment="1">
      <alignment wrapText="1"/>
    </xf>
    <xf numFmtId="165" fontId="0" fillId="0" borderId="0" xfId="1" applyNumberFormat="1" applyFont="1"/>
    <xf numFmtId="0" fontId="8" fillId="0" borderId="2" xfId="0" applyFont="1" applyBorder="1" applyAlignment="1">
      <alignment horizontal="center"/>
    </xf>
    <xf numFmtId="0" fontId="2" fillId="0" borderId="1" xfId="0" applyFont="1" applyBorder="1"/>
    <xf numFmtId="2" fontId="0" fillId="0" borderId="0" xfId="0" quotePrefix="1" applyNumberFormat="1"/>
    <xf numFmtId="2" fontId="0" fillId="0" borderId="13" xfId="0" applyNumberFormat="1" applyBorder="1"/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5" xfId="0" applyBorder="1"/>
    <xf numFmtId="0" fontId="2" fillId="0" borderId="14" xfId="0" applyFont="1" applyBorder="1"/>
    <xf numFmtId="2" fontId="0" fillId="0" borderId="16" xfId="0" applyNumberFormat="1" applyBorder="1"/>
    <xf numFmtId="2" fontId="0" fillId="0" borderId="15" xfId="0" applyNumberFormat="1" applyBorder="1"/>
    <xf numFmtId="2" fontId="0" fillId="0" borderId="17" xfId="0" applyNumberFormat="1" applyBorder="1"/>
    <xf numFmtId="0" fontId="0" fillId="0" borderId="16" xfId="0" applyBorder="1"/>
    <xf numFmtId="0" fontId="0" fillId="0" borderId="17" xfId="0" applyBorder="1"/>
    <xf numFmtId="0" fontId="6" fillId="0" borderId="0" xfId="0" applyFont="1" applyAlignment="1">
      <alignment horizontal="centerContinuous"/>
    </xf>
    <xf numFmtId="170" fontId="0" fillId="0" borderId="0" xfId="1" applyNumberFormat="1" applyFont="1" applyFill="1" applyBorder="1" applyAlignment="1"/>
    <xf numFmtId="1" fontId="0" fillId="0" borderId="0" xfId="1" applyNumberFormat="1" applyFont="1"/>
    <xf numFmtId="0" fontId="2" fillId="0" borderId="0" xfId="0" applyFont="1" applyAlignment="1">
      <alignment horizontal="right" vertical="top"/>
    </xf>
    <xf numFmtId="0" fontId="2" fillId="0" borderId="0" xfId="0" applyFont="1"/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Border="1"/>
    <xf numFmtId="0" fontId="0" fillId="0" borderId="6" xfId="0" applyBorder="1"/>
    <xf numFmtId="0" fontId="0" fillId="0" borderId="8" xfId="0" applyBorder="1"/>
    <xf numFmtId="0" fontId="2" fillId="0" borderId="3" xfId="0" applyFont="1" applyBorder="1"/>
    <xf numFmtId="0" fontId="2" fillId="0" borderId="18" xfId="0" applyFont="1" applyBorder="1"/>
    <xf numFmtId="0" fontId="2" fillId="0" borderId="18" xfId="0" quotePrefix="1" applyFont="1" applyBorder="1"/>
    <xf numFmtId="0" fontId="2" fillId="0" borderId="4" xfId="0" quotePrefix="1" applyFont="1" applyBorder="1"/>
    <xf numFmtId="166" fontId="0" fillId="0" borderId="0" xfId="0" applyNumberFormat="1" applyBorder="1"/>
    <xf numFmtId="9" fontId="0" fillId="0" borderId="6" xfId="1" applyFont="1" applyBorder="1"/>
    <xf numFmtId="166" fontId="0" fillId="0" borderId="1" xfId="0" applyNumberFormat="1" applyBorder="1"/>
    <xf numFmtId="9" fontId="0" fillId="0" borderId="8" xfId="1" applyFont="1" applyBorder="1"/>
    <xf numFmtId="0" fontId="0" fillId="0" borderId="10" xfId="0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0" fontId="2" fillId="0" borderId="9" xfId="0" quotePrefix="1" applyFont="1" applyBorder="1"/>
    <xf numFmtId="0" fontId="2" fillId="0" borderId="10" xfId="0" quotePrefix="1" applyFont="1" applyBorder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Pearson_pag.235!$C$1</c:f>
              <c:strCache>
                <c:ptCount val="1"/>
                <c:pt idx="0">
                  <c:v>Costi totale annui in mln euro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Pearson_pag.235!$B$2:$B$23</c:f>
              <c:numCache>
                <c:formatCode>#,##0</c:formatCode>
                <c:ptCount val="22"/>
                <c:pt idx="0">
                  <c:v>3557.7</c:v>
                </c:pt>
                <c:pt idx="1">
                  <c:v>3296.4</c:v>
                </c:pt>
                <c:pt idx="2">
                  <c:v>3437.1</c:v>
                </c:pt>
                <c:pt idx="3">
                  <c:v>3336.6</c:v>
                </c:pt>
                <c:pt idx="4">
                  <c:v>3618</c:v>
                </c:pt>
                <c:pt idx="5">
                  <c:v>3376.8</c:v>
                </c:pt>
                <c:pt idx="6">
                  <c:v>3195.9</c:v>
                </c:pt>
                <c:pt idx="7">
                  <c:v>4060.2</c:v>
                </c:pt>
                <c:pt idx="8">
                  <c:v>3859.2</c:v>
                </c:pt>
                <c:pt idx="9">
                  <c:v>3658.2</c:v>
                </c:pt>
                <c:pt idx="10">
                  <c:v>3678.3</c:v>
                </c:pt>
                <c:pt idx="11">
                  <c:v>3825</c:v>
                </c:pt>
                <c:pt idx="12">
                  <c:v>3396.9</c:v>
                </c:pt>
                <c:pt idx="13">
                  <c:v>3497.4</c:v>
                </c:pt>
                <c:pt idx="14">
                  <c:v>3296.4</c:v>
                </c:pt>
                <c:pt idx="15">
                  <c:v>3638.1</c:v>
                </c:pt>
                <c:pt idx="16">
                  <c:v>3879.3</c:v>
                </c:pt>
                <c:pt idx="17">
                  <c:v>4502.3999999999996</c:v>
                </c:pt>
                <c:pt idx="18">
                  <c:v>3396.9</c:v>
                </c:pt>
                <c:pt idx="19">
                  <c:v>3457.2</c:v>
                </c:pt>
                <c:pt idx="20">
                  <c:v>3206</c:v>
                </c:pt>
                <c:pt idx="21">
                  <c:v>3356.7</c:v>
                </c:pt>
              </c:numCache>
            </c:numRef>
          </c:xVal>
          <c:yVal>
            <c:numRef>
              <c:f>Pearson_pag.235!$C$2:$C$23</c:f>
              <c:numCache>
                <c:formatCode>#,##0</c:formatCode>
                <c:ptCount val="22"/>
                <c:pt idx="0">
                  <c:v>29.61</c:v>
                </c:pt>
                <c:pt idx="1">
                  <c:v>27.83</c:v>
                </c:pt>
                <c:pt idx="2">
                  <c:v>28.39</c:v>
                </c:pt>
                <c:pt idx="3">
                  <c:v>29.17</c:v>
                </c:pt>
                <c:pt idx="4">
                  <c:v>30.17</c:v>
                </c:pt>
                <c:pt idx="5">
                  <c:v>30.28</c:v>
                </c:pt>
                <c:pt idx="6">
                  <c:v>28.06</c:v>
                </c:pt>
                <c:pt idx="7">
                  <c:v>33.28</c:v>
                </c:pt>
                <c:pt idx="8">
                  <c:v>29.28</c:v>
                </c:pt>
                <c:pt idx="9">
                  <c:v>29.51</c:v>
                </c:pt>
                <c:pt idx="10">
                  <c:v>31.28</c:v>
                </c:pt>
                <c:pt idx="11">
                  <c:v>31.06</c:v>
                </c:pt>
                <c:pt idx="12">
                  <c:v>29.83</c:v>
                </c:pt>
                <c:pt idx="13">
                  <c:v>28.39</c:v>
                </c:pt>
                <c:pt idx="14">
                  <c:v>28.17</c:v>
                </c:pt>
                <c:pt idx="15">
                  <c:v>29.28</c:v>
                </c:pt>
                <c:pt idx="16">
                  <c:v>31.06</c:v>
                </c:pt>
                <c:pt idx="17">
                  <c:v>35.270000000000003</c:v>
                </c:pt>
                <c:pt idx="18">
                  <c:v>27.28</c:v>
                </c:pt>
                <c:pt idx="19">
                  <c:v>28.72</c:v>
                </c:pt>
                <c:pt idx="20">
                  <c:v>27.56</c:v>
                </c:pt>
                <c:pt idx="21">
                  <c:v>28.94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2F-407C-83BC-81877A526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5273599"/>
        <c:axId val="56675679"/>
      </c:scatterChart>
      <c:valAx>
        <c:axId val="1885273599"/>
        <c:scaling>
          <c:orientation val="minMax"/>
          <c:min val="3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Produzioni annue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6675679"/>
        <c:crosses val="autoZero"/>
        <c:crossBetween val="midCat"/>
      </c:valAx>
      <c:valAx>
        <c:axId val="56675679"/>
        <c:scaling>
          <c:orientation val="minMax"/>
          <c:min val="2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Costi</a:t>
                </a:r>
                <a:r>
                  <a:rPr lang="it-IT" baseline="0"/>
                  <a:t> totali annui</a:t>
                </a:r>
                <a:endParaRPr lang="it-I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852735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[1]Sheet1!$F$34</c:f>
              <c:strCache>
                <c:ptCount val="1"/>
                <c:pt idx="0">
                  <c:v>ln(q)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[1]Sheet1!$E$35:$E$39</c:f>
              <c:numCache>
                <c:formatCode>General</c:formatCode>
                <c:ptCount val="5"/>
                <c:pt idx="0">
                  <c:v>3.2188758248682006</c:v>
                </c:pt>
                <c:pt idx="1">
                  <c:v>2.9957322735539909</c:v>
                </c:pt>
                <c:pt idx="2">
                  <c:v>2.7080502011022101</c:v>
                </c:pt>
                <c:pt idx="3">
                  <c:v>2.3025850929940459</c:v>
                </c:pt>
                <c:pt idx="4">
                  <c:v>1.6094379124341003</c:v>
                </c:pt>
              </c:numCache>
            </c:numRef>
          </c:xVal>
          <c:yVal>
            <c:numRef>
              <c:f>[1]Sheet1!$F$35:$F$39</c:f>
              <c:numCache>
                <c:formatCode>General</c:formatCode>
                <c:ptCount val="5"/>
                <c:pt idx="0">
                  <c:v>3.912023005428146</c:v>
                </c:pt>
                <c:pt idx="1">
                  <c:v>4.0943445622221004</c:v>
                </c:pt>
                <c:pt idx="2">
                  <c:v>4.3174881135363101</c:v>
                </c:pt>
                <c:pt idx="3">
                  <c:v>4.6051701859880918</c:v>
                </c:pt>
                <c:pt idx="4">
                  <c:v>5.2983173665480363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309-4985-AAC2-6433D7F81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7591407"/>
        <c:axId val="1197590447"/>
      </c:scatterChart>
      <c:valAx>
        <c:axId val="1197591407"/>
        <c:scaling>
          <c:orientation val="minMax"/>
          <c:min val="1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97590447"/>
        <c:crosses val="autoZero"/>
        <c:crossBetween val="midCat"/>
      </c:valAx>
      <c:valAx>
        <c:axId val="1197590447"/>
        <c:scaling>
          <c:orientation val="minMax"/>
          <c:min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975914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Curva</a:t>
            </a:r>
            <a:r>
              <a:rPr lang="en-US" baseline="0"/>
              <a:t> della domanda dei biglietti del cinema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[1]Sheet1!$C$34</c:f>
              <c:strCache>
                <c:ptCount val="1"/>
                <c:pt idx="0">
                  <c:v>q (n.biglietti)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[1]Sheet1!$B$35:$B$39</c:f>
              <c:numCache>
                <c:formatCode>General</c:formatCode>
                <c:ptCount val="5"/>
                <c:pt idx="0">
                  <c:v>25</c:v>
                </c:pt>
                <c:pt idx="1">
                  <c:v>20</c:v>
                </c:pt>
                <c:pt idx="2">
                  <c:v>15</c:v>
                </c:pt>
                <c:pt idx="3">
                  <c:v>10</c:v>
                </c:pt>
                <c:pt idx="4">
                  <c:v>5</c:v>
                </c:pt>
              </c:numCache>
            </c:numRef>
          </c:xVal>
          <c:yVal>
            <c:numRef>
              <c:f>[1]Sheet1!$C$35:$C$39</c:f>
              <c:numCache>
                <c:formatCode>General</c:formatCode>
                <c:ptCount val="5"/>
                <c:pt idx="0">
                  <c:v>50</c:v>
                </c:pt>
                <c:pt idx="1">
                  <c:v>60</c:v>
                </c:pt>
                <c:pt idx="2">
                  <c:v>75</c:v>
                </c:pt>
                <c:pt idx="3">
                  <c:v>100</c:v>
                </c:pt>
                <c:pt idx="4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E2-47F7-8054-61FB9BFA3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716271"/>
        <c:axId val="1308383007"/>
      </c:scatterChart>
      <c:valAx>
        <c:axId val="10447162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Numero biglietti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08383007"/>
        <c:crosses val="autoZero"/>
        <c:crossBetween val="midCat"/>
      </c:valAx>
      <c:valAx>
        <c:axId val="1308383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Prezzo dei biglietti in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447162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cat>
            <c:numRef>
              <c:f>[1]Sheet1!$B$9:$B$28</c:f>
              <c:numCache>
                <c:formatCode>General</c:formatCode>
                <c:ptCount val="2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  <c:pt idx="17">
                  <c:v>1800</c:v>
                </c:pt>
                <c:pt idx="18">
                  <c:v>1900</c:v>
                </c:pt>
                <c:pt idx="19">
                  <c:v>2000</c:v>
                </c:pt>
              </c:numCache>
            </c:numRef>
          </c:cat>
          <c:val>
            <c:numRef>
              <c:f>[1]Sheet1!$C$9:$C$28</c:f>
              <c:numCache>
                <c:formatCode>General</c:formatCode>
                <c:ptCount val="20"/>
                <c:pt idx="0">
                  <c:v>40</c:v>
                </c:pt>
                <c:pt idx="1">
                  <c:v>76</c:v>
                </c:pt>
                <c:pt idx="2">
                  <c:v>108</c:v>
                </c:pt>
                <c:pt idx="3">
                  <c:v>136</c:v>
                </c:pt>
                <c:pt idx="4">
                  <c:v>159.99999999999997</c:v>
                </c:pt>
                <c:pt idx="5">
                  <c:v>179.99999999999997</c:v>
                </c:pt>
                <c:pt idx="6">
                  <c:v>202.99999999999994</c:v>
                </c:pt>
                <c:pt idx="7">
                  <c:v>223.99999999999994</c:v>
                </c:pt>
                <c:pt idx="8">
                  <c:v>242.99999999999991</c:v>
                </c:pt>
                <c:pt idx="9">
                  <c:v>259.99999999999989</c:v>
                </c:pt>
                <c:pt idx="10">
                  <c:v>274.99999999999989</c:v>
                </c:pt>
                <c:pt idx="11">
                  <c:v>287.99999999999983</c:v>
                </c:pt>
                <c:pt idx="12">
                  <c:v>305.49999999999983</c:v>
                </c:pt>
                <c:pt idx="13">
                  <c:v>321.99999999999983</c:v>
                </c:pt>
                <c:pt idx="14">
                  <c:v>337.49999999999977</c:v>
                </c:pt>
                <c:pt idx="15">
                  <c:v>351.99999999999977</c:v>
                </c:pt>
                <c:pt idx="16">
                  <c:v>365.49999999999977</c:v>
                </c:pt>
                <c:pt idx="17">
                  <c:v>377.99999999999972</c:v>
                </c:pt>
                <c:pt idx="18">
                  <c:v>389.49999999999972</c:v>
                </c:pt>
                <c:pt idx="19">
                  <c:v>399.99999999999972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F-4B47-8C3C-0AD255725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6602703"/>
        <c:axId val="1196610383"/>
      </c:lineChart>
      <c:catAx>
        <c:axId val="119660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96610383"/>
        <c:crosses val="autoZero"/>
        <c:auto val="1"/>
        <c:lblAlgn val="ctr"/>
        <c:lblOffset val="100"/>
        <c:noMultiLvlLbl val="0"/>
      </c:catAx>
      <c:valAx>
        <c:axId val="1196610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9660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[1]Sheet1!$H$8</c:f>
              <c:strCache>
                <c:ptCount val="1"/>
                <c:pt idx="0">
                  <c:v>ln(spese)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[1]Sheet1!$G$9:$G$28</c:f>
              <c:numCache>
                <c:formatCode>General</c:formatCode>
                <c:ptCount val="20"/>
                <c:pt idx="0">
                  <c:v>4.6051701859880918</c:v>
                </c:pt>
                <c:pt idx="1">
                  <c:v>5.2983173665480363</c:v>
                </c:pt>
                <c:pt idx="2">
                  <c:v>5.7037824746562009</c:v>
                </c:pt>
                <c:pt idx="3">
                  <c:v>5.9914645471079817</c:v>
                </c:pt>
                <c:pt idx="4">
                  <c:v>6.2146080984221914</c:v>
                </c:pt>
                <c:pt idx="5">
                  <c:v>6.3969296552161463</c:v>
                </c:pt>
                <c:pt idx="6">
                  <c:v>6.5510803350434044</c:v>
                </c:pt>
                <c:pt idx="7">
                  <c:v>6.6846117276679271</c:v>
                </c:pt>
                <c:pt idx="8">
                  <c:v>6.8023947633243109</c:v>
                </c:pt>
                <c:pt idx="9">
                  <c:v>6.9077552789821368</c:v>
                </c:pt>
                <c:pt idx="10">
                  <c:v>7.0030654587864616</c:v>
                </c:pt>
                <c:pt idx="11">
                  <c:v>7.0900768357760917</c:v>
                </c:pt>
                <c:pt idx="12">
                  <c:v>7.1701195434496281</c:v>
                </c:pt>
                <c:pt idx="13">
                  <c:v>7.2442275156033498</c:v>
                </c:pt>
                <c:pt idx="14">
                  <c:v>7.3132203870903014</c:v>
                </c:pt>
                <c:pt idx="15">
                  <c:v>7.3777589082278725</c:v>
                </c:pt>
                <c:pt idx="16">
                  <c:v>7.4383835300443071</c:v>
                </c:pt>
                <c:pt idx="17">
                  <c:v>7.4955419438842563</c:v>
                </c:pt>
                <c:pt idx="18">
                  <c:v>7.5496091651545321</c:v>
                </c:pt>
                <c:pt idx="19">
                  <c:v>7.6009024595420822</c:v>
                </c:pt>
              </c:numCache>
            </c:numRef>
          </c:xVal>
          <c:yVal>
            <c:numRef>
              <c:f>[1]Sheet1!$H$9:$H$28</c:f>
              <c:numCache>
                <c:formatCode>General</c:formatCode>
                <c:ptCount val="20"/>
                <c:pt idx="0">
                  <c:v>3.6888794541139363</c:v>
                </c:pt>
                <c:pt idx="1">
                  <c:v>4.3307333402863311</c:v>
                </c:pt>
                <c:pt idx="2">
                  <c:v>4.6821312271242199</c:v>
                </c:pt>
                <c:pt idx="3">
                  <c:v>4.9126548857360524</c:v>
                </c:pt>
                <c:pt idx="4">
                  <c:v>5.0751738152338266</c:v>
                </c:pt>
                <c:pt idx="5">
                  <c:v>5.1929568508902104</c:v>
                </c:pt>
                <c:pt idx="6">
                  <c:v>5.3132059790417872</c:v>
                </c:pt>
                <c:pt idx="7">
                  <c:v>5.4116460518550396</c:v>
                </c:pt>
                <c:pt idx="8">
                  <c:v>5.4930614433405482</c:v>
                </c:pt>
                <c:pt idx="9">
                  <c:v>5.5606816310155276</c:v>
                </c:pt>
                <c:pt idx="10">
                  <c:v>5.6167710976665708</c:v>
                </c:pt>
                <c:pt idx="11">
                  <c:v>5.6629604801359452</c:v>
                </c:pt>
                <c:pt idx="12">
                  <c:v>5.7219497786116493</c:v>
                </c:pt>
                <c:pt idx="13">
                  <c:v>5.7745515455444076</c:v>
                </c:pt>
                <c:pt idx="14">
                  <c:v>5.8215655103125838</c:v>
                </c:pt>
                <c:pt idx="15">
                  <c:v>5.8636311755980968</c:v>
                </c:pt>
                <c:pt idx="16">
                  <c:v>5.9012662791898327</c:v>
                </c:pt>
                <c:pt idx="17">
                  <c:v>5.9348941956195871</c:v>
                </c:pt>
                <c:pt idx="18">
                  <c:v>5.9648638653108019</c:v>
                </c:pt>
                <c:pt idx="19">
                  <c:v>5.9914645471079817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9B2-4347-B3BC-B741F8402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8079935"/>
        <c:axId val="1198055935"/>
      </c:scatterChart>
      <c:valAx>
        <c:axId val="1198079935"/>
        <c:scaling>
          <c:orientation val="minMax"/>
          <c:min val="4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98055935"/>
        <c:crosses val="autoZero"/>
        <c:crossBetween val="midCat"/>
      </c:valAx>
      <c:valAx>
        <c:axId val="1198055935"/>
        <c:scaling>
          <c:orientation val="minMax"/>
          <c:min val="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980799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'Equazione Retta'!$B$5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'Equazione Retta'!$A$6:$A$12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'Equazione Retta'!$B$6:$B$12</c:f>
              <c:numCache>
                <c:formatCode>General</c:formatCode>
                <c:ptCount val="7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53-484A-A7CF-9549A441B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0028783"/>
        <c:axId val="1766617903"/>
      </c:scatterChart>
      <c:valAx>
        <c:axId val="1770028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6617903"/>
        <c:crosses val="autoZero"/>
        <c:crossBetween val="midCat"/>
      </c:valAx>
      <c:valAx>
        <c:axId val="1766617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00287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Vendite</a:t>
            </a:r>
            <a:r>
              <a:rPr lang="it-IT" baseline="0"/>
              <a:t> vs Spese Pubblicità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Regressione_esempio1!$C$3</c:f>
              <c:strCache>
                <c:ptCount val="1"/>
                <c:pt idx="0">
                  <c:v>Vendite (€x1000)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Regressione_esempio1!$C$4:$C$13</c:f>
              <c:numCache>
                <c:formatCode>General</c:formatCode>
                <c:ptCount val="10"/>
                <c:pt idx="0">
                  <c:v>74</c:v>
                </c:pt>
                <c:pt idx="1">
                  <c:v>70</c:v>
                </c:pt>
                <c:pt idx="2">
                  <c:v>93</c:v>
                </c:pt>
                <c:pt idx="3">
                  <c:v>67</c:v>
                </c:pt>
                <c:pt idx="4">
                  <c:v>99</c:v>
                </c:pt>
                <c:pt idx="5">
                  <c:v>73</c:v>
                </c:pt>
                <c:pt idx="6">
                  <c:v>33</c:v>
                </c:pt>
                <c:pt idx="7">
                  <c:v>91</c:v>
                </c:pt>
                <c:pt idx="8">
                  <c:v>80</c:v>
                </c:pt>
                <c:pt idx="9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7-488B-8AEE-A616DC57951A}"/>
            </c:ext>
          </c:extLst>
        </c:ser>
        <c:ser>
          <c:idx val="1"/>
          <c:order val="1"/>
          <c:tx>
            <c:strRef>
              <c:f>Regressione_esempio1!$B$3</c:f>
              <c:strCache>
                <c:ptCount val="1"/>
                <c:pt idx="0">
                  <c:v>Spese pubblicità (€x1000)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Regressione_esempio1!$B$4:$B$13</c:f>
              <c:numCache>
                <c:formatCode>General</c:formatCode>
                <c:ptCount val="10"/>
                <c:pt idx="0">
                  <c:v>51</c:v>
                </c:pt>
                <c:pt idx="1">
                  <c:v>68</c:v>
                </c:pt>
                <c:pt idx="2">
                  <c:v>97</c:v>
                </c:pt>
                <c:pt idx="3">
                  <c:v>55</c:v>
                </c:pt>
                <c:pt idx="4">
                  <c:v>95</c:v>
                </c:pt>
                <c:pt idx="5">
                  <c:v>74</c:v>
                </c:pt>
                <c:pt idx="6">
                  <c:v>20</c:v>
                </c:pt>
                <c:pt idx="7">
                  <c:v>91</c:v>
                </c:pt>
                <c:pt idx="8">
                  <c:v>74</c:v>
                </c:pt>
                <c:pt idx="9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7-488B-8AEE-A616DC579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8667264"/>
        <c:axId val="1068660544"/>
      </c:lineChart>
      <c:catAx>
        <c:axId val="106866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68660544"/>
        <c:crosses val="autoZero"/>
        <c:auto val="1"/>
        <c:lblAlgn val="ctr"/>
        <c:lblOffset val="100"/>
        <c:noMultiLvlLbl val="0"/>
      </c:catAx>
      <c:valAx>
        <c:axId val="106866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6866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Vendite: valori</a:t>
            </a:r>
            <a:r>
              <a:rPr lang="it-IT" baseline="0"/>
              <a:t> effettivi vs stimati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Regressione_esempio1!$B$55</c:f>
              <c:strCache>
                <c:ptCount val="1"/>
                <c:pt idx="0">
                  <c:v>Vendite (€x1000)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Regressione_esempio1!$B$56:$B$68</c:f>
              <c:numCache>
                <c:formatCode>General</c:formatCode>
                <c:ptCount val="13"/>
                <c:pt idx="0">
                  <c:v>74</c:v>
                </c:pt>
                <c:pt idx="1">
                  <c:v>70</c:v>
                </c:pt>
                <c:pt idx="2">
                  <c:v>93</c:v>
                </c:pt>
                <c:pt idx="3">
                  <c:v>67</c:v>
                </c:pt>
                <c:pt idx="4">
                  <c:v>99</c:v>
                </c:pt>
                <c:pt idx="5">
                  <c:v>73</c:v>
                </c:pt>
                <c:pt idx="6">
                  <c:v>33</c:v>
                </c:pt>
                <c:pt idx="7">
                  <c:v>91</c:v>
                </c:pt>
                <c:pt idx="8">
                  <c:v>80</c:v>
                </c:pt>
                <c:pt idx="9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6-4175-AF10-5A29CE9DC02B}"/>
            </c:ext>
          </c:extLst>
        </c:ser>
        <c:ser>
          <c:idx val="1"/>
          <c:order val="1"/>
          <c:tx>
            <c:strRef>
              <c:f>Regressione_esempio1!$C$55</c:f>
              <c:strCache>
                <c:ptCount val="1"/>
                <c:pt idx="0">
                  <c:v>y'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Regressione_esempio1!$C$56:$C$68</c:f>
              <c:numCache>
                <c:formatCode>0</c:formatCode>
                <c:ptCount val="13"/>
                <c:pt idx="0">
                  <c:v>61.881184564762158</c:v>
                </c:pt>
                <c:pt idx="1">
                  <c:v>74.71297238009771</c:v>
                </c:pt>
                <c:pt idx="2">
                  <c:v>96.602492770964233</c:v>
                </c:pt>
                <c:pt idx="3">
                  <c:v>64.900428756605805</c:v>
                </c:pt>
                <c:pt idx="4">
                  <c:v>95.092870675042406</c:v>
                </c:pt>
                <c:pt idx="5">
                  <c:v>79.241838667863192</c:v>
                </c:pt>
                <c:pt idx="6">
                  <c:v>38.482042077973801</c:v>
                </c:pt>
                <c:pt idx="7">
                  <c:v>92.073626483198751</c:v>
                </c:pt>
                <c:pt idx="8">
                  <c:v>79.241838667863192</c:v>
                </c:pt>
                <c:pt idx="9">
                  <c:v>83.770704955628688</c:v>
                </c:pt>
                <c:pt idx="10">
                  <c:v>98.866925914846988</c:v>
                </c:pt>
                <c:pt idx="11">
                  <c:v>106.41503639445612</c:v>
                </c:pt>
                <c:pt idx="12">
                  <c:v>113.96314687406527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6-4175-AF10-5A29CE9DC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1984911"/>
        <c:axId val="801984431"/>
      </c:lineChart>
      <c:catAx>
        <c:axId val="801984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01984431"/>
        <c:crosses val="autoZero"/>
        <c:auto val="1"/>
        <c:lblAlgn val="ctr"/>
        <c:lblOffset val="100"/>
        <c:noMultiLvlLbl val="0"/>
      </c:catAx>
      <c:valAx>
        <c:axId val="801984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01984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Vendite vs Spese Pubblicità (€x1000)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Regressione_esempio1!$C$3</c:f>
              <c:strCache>
                <c:ptCount val="1"/>
                <c:pt idx="0">
                  <c:v>Vendite (€x1000)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3.5784339457567801E-2"/>
                  <c:y val="-4.150736366287547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Regressione_esempio1!$B$4:$B$13</c:f>
              <c:numCache>
                <c:formatCode>General</c:formatCode>
                <c:ptCount val="10"/>
                <c:pt idx="0">
                  <c:v>51</c:v>
                </c:pt>
                <c:pt idx="1">
                  <c:v>68</c:v>
                </c:pt>
                <c:pt idx="2">
                  <c:v>97</c:v>
                </c:pt>
                <c:pt idx="3">
                  <c:v>55</c:v>
                </c:pt>
                <c:pt idx="4">
                  <c:v>95</c:v>
                </c:pt>
                <c:pt idx="5">
                  <c:v>74</c:v>
                </c:pt>
                <c:pt idx="6">
                  <c:v>20</c:v>
                </c:pt>
                <c:pt idx="7">
                  <c:v>91</c:v>
                </c:pt>
                <c:pt idx="8">
                  <c:v>74</c:v>
                </c:pt>
                <c:pt idx="9">
                  <c:v>80</c:v>
                </c:pt>
              </c:numCache>
            </c:numRef>
          </c:xVal>
          <c:yVal>
            <c:numRef>
              <c:f>Regressione_esempio1!$C$4:$C$13</c:f>
              <c:numCache>
                <c:formatCode>General</c:formatCode>
                <c:ptCount val="10"/>
                <c:pt idx="0">
                  <c:v>74</c:v>
                </c:pt>
                <c:pt idx="1">
                  <c:v>70</c:v>
                </c:pt>
                <c:pt idx="2">
                  <c:v>93</c:v>
                </c:pt>
                <c:pt idx="3">
                  <c:v>67</c:v>
                </c:pt>
                <c:pt idx="4">
                  <c:v>99</c:v>
                </c:pt>
                <c:pt idx="5">
                  <c:v>73</c:v>
                </c:pt>
                <c:pt idx="6">
                  <c:v>33</c:v>
                </c:pt>
                <c:pt idx="7">
                  <c:v>91</c:v>
                </c:pt>
                <c:pt idx="8">
                  <c:v>80</c:v>
                </c:pt>
                <c:pt idx="9">
                  <c:v>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5E-4870-8DBF-F95DFCEE8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6949712"/>
        <c:axId val="1666954032"/>
      </c:scatterChart>
      <c:valAx>
        <c:axId val="1666949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6954032"/>
        <c:crosses val="autoZero"/>
        <c:crossBetween val="midCat"/>
      </c:valAx>
      <c:valAx>
        <c:axId val="166695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6949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q-q normal plot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'Analisi residui esempio2'!$H$24</c:f>
              <c:strCache>
                <c:ptCount val="1"/>
                <c:pt idx="0">
                  <c:v>Residui standard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'Analisi residui esempio2'!$G$25:$G$30</c:f>
              <c:numCache>
                <c:formatCode>0.00</c:formatCode>
                <c:ptCount val="6"/>
                <c:pt idx="0">
                  <c:v>-1.0013312975256907</c:v>
                </c:pt>
                <c:pt idx="1">
                  <c:v>-0.45376219016987951</c:v>
                </c:pt>
                <c:pt idx="2">
                  <c:v>-2.0890088246888421E-2</c:v>
                </c:pt>
                <c:pt idx="3">
                  <c:v>0.40791874094503477</c:v>
                </c:pt>
                <c:pt idx="4">
                  <c:v>0.93458929107348043</c:v>
                </c:pt>
                <c:pt idx="5">
                  <c:v>2.3939797998185104</c:v>
                </c:pt>
              </c:numCache>
            </c:numRef>
          </c:xVal>
          <c:yVal>
            <c:numRef>
              <c:f>'Analisi residui esempio2'!$H$25:$H$30</c:f>
              <c:numCache>
                <c:formatCode>0.00</c:formatCode>
                <c:ptCount val="6"/>
                <c:pt idx="0">
                  <c:v>-1</c:v>
                </c:pt>
                <c:pt idx="1">
                  <c:v>-1</c:v>
                </c:pt>
                <c:pt idx="2">
                  <c:v>-0.5</c:v>
                </c:pt>
                <c:pt idx="3">
                  <c:v>0.5</c:v>
                </c:pt>
                <c:pt idx="4">
                  <c:v>0.5</c:v>
                </c:pt>
                <c:pt idx="5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36-465A-92F2-6AD16973C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8113231"/>
        <c:axId val="638114191"/>
      </c:scatterChart>
      <c:valAx>
        <c:axId val="6381132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8114191"/>
        <c:crosses val="autoZero"/>
        <c:crossBetween val="midCat"/>
      </c:valAx>
      <c:valAx>
        <c:axId val="63811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8113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Residual plot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'Analisi residui esempio2'!$A$34:$A$39</c:f>
              <c:numCache>
                <c:formatCode>General</c:formatCode>
                <c:ptCount val="6"/>
                <c:pt idx="0">
                  <c:v>-1</c:v>
                </c:pt>
                <c:pt idx="1">
                  <c:v>0.5</c:v>
                </c:pt>
                <c:pt idx="2">
                  <c:v>1.5</c:v>
                </c:pt>
                <c:pt idx="3">
                  <c:v>-1</c:v>
                </c:pt>
                <c:pt idx="4">
                  <c:v>-0.5</c:v>
                </c:pt>
                <c:pt idx="5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C-4C20-8A7C-A220B8F0475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'Analisi residui esempio2'!$B$34:$B$39</c:f>
              <c:numCache>
                <c:formatCode>General</c:formatCode>
                <c:ptCount val="6"/>
                <c:pt idx="0">
                  <c:v>-4.3826932358995876</c:v>
                </c:pt>
                <c:pt idx="1">
                  <c:v>-4.3826932358995876</c:v>
                </c:pt>
                <c:pt idx="2">
                  <c:v>-4.3826932358995876</c:v>
                </c:pt>
                <c:pt idx="3">
                  <c:v>-4.3826932358995876</c:v>
                </c:pt>
                <c:pt idx="4">
                  <c:v>-4.3826932358995876</c:v>
                </c:pt>
                <c:pt idx="5">
                  <c:v>-4.3826932358995876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C-4C20-8A7C-A220B8F0475D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'Analisi residui esempio2'!$C$34:$C$39</c:f>
              <c:numCache>
                <c:formatCode>General</c:formatCode>
                <c:ptCount val="6"/>
                <c:pt idx="0">
                  <c:v>4.3826932358995876</c:v>
                </c:pt>
                <c:pt idx="1">
                  <c:v>4.3826932358995876</c:v>
                </c:pt>
                <c:pt idx="2">
                  <c:v>4.3826932358995876</c:v>
                </c:pt>
                <c:pt idx="3">
                  <c:v>4.3826932358995876</c:v>
                </c:pt>
                <c:pt idx="4">
                  <c:v>4.3826932358995876</c:v>
                </c:pt>
                <c:pt idx="5">
                  <c:v>4.3826932358995876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4C-4C20-8A7C-A220B8F04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468239"/>
        <c:axId val="735466319"/>
      </c:lineChart>
      <c:catAx>
        <c:axId val="73546823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35466319"/>
        <c:crosses val="autoZero"/>
        <c:auto val="1"/>
        <c:lblAlgn val="ctr"/>
        <c:lblOffset val="100"/>
        <c:noMultiLvlLbl val="0"/>
      </c:catAx>
      <c:valAx>
        <c:axId val="73546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35468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q-q</a:t>
            </a:r>
            <a:r>
              <a:rPr lang="it-IT" baseline="0"/>
              <a:t> normal plot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'Esempio 6.2'!$C$30:$C$51</c:f>
              <c:numCache>
                <c:formatCode>General</c:formatCode>
                <c:ptCount val="22"/>
                <c:pt idx="0">
                  <c:v>-2.257599232808817</c:v>
                </c:pt>
                <c:pt idx="1">
                  <c:v>-1.6748423337573677</c:v>
                </c:pt>
                <c:pt idx="2">
                  <c:v>-1.0172797969734553</c:v>
                </c:pt>
                <c:pt idx="3">
                  <c:v>-0.86791233347434593</c:v>
                </c:pt>
                <c:pt idx="4">
                  <c:v>-0.72710801782842738</c:v>
                </c:pt>
                <c:pt idx="5">
                  <c:v>-0.63827427897314348</c:v>
                </c:pt>
                <c:pt idx="6">
                  <c:v>-0.40435465054534764</c:v>
                </c:pt>
                <c:pt idx="7">
                  <c:v>-0.38132235971301026</c:v>
                </c:pt>
                <c:pt idx="8">
                  <c:v>-0.31650706114259985</c:v>
                </c:pt>
                <c:pt idx="9">
                  <c:v>-0.14975916990192842</c:v>
                </c:pt>
                <c:pt idx="10">
                  <c:v>-9.4527982570193504E-3</c:v>
                </c:pt>
                <c:pt idx="11">
                  <c:v>2.0715449119634743E-2</c:v>
                </c:pt>
                <c:pt idx="12">
                  <c:v>2.4786465016885056E-2</c:v>
                </c:pt>
                <c:pt idx="13">
                  <c:v>0.29213651135891855</c:v>
                </c:pt>
                <c:pt idx="14">
                  <c:v>0.49446070110119444</c:v>
                </c:pt>
                <c:pt idx="15">
                  <c:v>0.50587823157211287</c:v>
                </c:pt>
                <c:pt idx="16">
                  <c:v>0.65691669834590871</c:v>
                </c:pt>
                <c:pt idx="17">
                  <c:v>0.89935289255157114</c:v>
                </c:pt>
                <c:pt idx="18">
                  <c:v>1.1249531850920091</c:v>
                </c:pt>
                <c:pt idx="19">
                  <c:v>1.2023693934763708</c:v>
                </c:pt>
                <c:pt idx="20">
                  <c:v>1.2869215584050613</c:v>
                </c:pt>
                <c:pt idx="21">
                  <c:v>1.9359209473357952</c:v>
                </c:pt>
              </c:numCache>
            </c:numRef>
          </c:xVal>
          <c:yVal>
            <c:numRef>
              <c:f>'Esempio 6.2'!$E$30:$E$51</c:f>
              <c:numCache>
                <c:formatCode>General</c:formatCode>
                <c:ptCount val="22"/>
                <c:pt idx="0">
                  <c:v>0.51722170072129647</c:v>
                </c:pt>
                <c:pt idx="1">
                  <c:v>0.53531454609740559</c:v>
                </c:pt>
                <c:pt idx="2">
                  <c:v>0.55333465589137432</c:v>
                </c:pt>
                <c:pt idx="3">
                  <c:v>0.57124528520628859</c:v>
                </c:pt>
                <c:pt idx="4">
                  <c:v>0.58901036286872965</c:v>
                </c:pt>
                <c:pt idx="5">
                  <c:v>0.60659470912745772</c:v>
                </c:pt>
                <c:pt idx="6">
                  <c:v>0.62396424425961494</c:v>
                </c:pt>
                <c:pt idx="7">
                  <c:v>0.64108618602684553</c:v>
                </c:pt>
                <c:pt idx="8">
                  <c:v>0.6579292340818309</c:v>
                </c:pt>
                <c:pt idx="9">
                  <c:v>0.67446373960931716</c:v>
                </c:pt>
                <c:pt idx="10">
                  <c:v>0.69066185869144436</c:v>
                </c:pt>
                <c:pt idx="11">
                  <c:v>0.70649768811139735</c:v>
                </c:pt>
                <c:pt idx="12">
                  <c:v>0.72194738254812396</c:v>
                </c:pt>
                <c:pt idx="13">
                  <c:v>0.73698925236393587</c:v>
                </c:pt>
                <c:pt idx="14">
                  <c:v>0.75160384144195558</c:v>
                </c:pt>
                <c:pt idx="15">
                  <c:v>0.76577398478730507</c:v>
                </c:pt>
                <c:pt idx="16">
                  <c:v>0.77948484586042133</c:v>
                </c:pt>
                <c:pt idx="17">
                  <c:v>0.79272393385885542</c:v>
                </c:pt>
                <c:pt idx="18">
                  <c:v>0.80548110140153162</c:v>
                </c:pt>
                <c:pt idx="19">
                  <c:v>0.81774852329315428</c:v>
                </c:pt>
                <c:pt idx="20">
                  <c:v>0.82952065725309199</c:v>
                </c:pt>
                <c:pt idx="21">
                  <c:v>0.84079418767987313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FF-44DB-A64F-A759C603E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5126655"/>
        <c:axId val="995127615"/>
      </c:scatterChart>
      <c:valAx>
        <c:axId val="995126655"/>
        <c:scaling>
          <c:orientation val="minMax"/>
          <c:min val="-2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95127615"/>
        <c:crosses val="autoZero"/>
        <c:crossBetween val="midCat"/>
      </c:valAx>
      <c:valAx>
        <c:axId val="995127615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951266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Residuals</a:t>
            </a:r>
            <a:r>
              <a:rPr lang="it-IT" baseline="0"/>
              <a:t> polt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Standardized Resisuals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'Esempio 6.2'!$J$4:$J$25</c:f>
              <c:numCache>
                <c:formatCode>General</c:formatCode>
                <c:ptCount val="22"/>
                <c:pt idx="0">
                  <c:v>2.0715449119634743E-2</c:v>
                </c:pt>
                <c:pt idx="1">
                  <c:v>-0.40435465054534764</c:v>
                </c:pt>
                <c:pt idx="2">
                  <c:v>-0.63827427897314348</c:v>
                </c:pt>
                <c:pt idx="3">
                  <c:v>0.89935289255157114</c:v>
                </c:pt>
                <c:pt idx="4">
                  <c:v>0.29213651135891855</c:v>
                </c:pt>
                <c:pt idx="5">
                  <c:v>1.9359209473357952</c:v>
                </c:pt>
                <c:pt idx="6">
                  <c:v>0.49446070110119444</c:v>
                </c:pt>
                <c:pt idx="7">
                  <c:v>1.1249531850920091</c:v>
                </c:pt>
                <c:pt idx="8">
                  <c:v>-2.257599232808817</c:v>
                </c:pt>
                <c:pt idx="9">
                  <c:v>-0.72710801782842738</c:v>
                </c:pt>
                <c:pt idx="10">
                  <c:v>1.2023693934763708</c:v>
                </c:pt>
                <c:pt idx="11">
                  <c:v>2.4786465016885056E-2</c:v>
                </c:pt>
                <c:pt idx="12">
                  <c:v>1.2869215584050613</c:v>
                </c:pt>
                <c:pt idx="13">
                  <c:v>-1.0172797969734553</c:v>
                </c:pt>
                <c:pt idx="14">
                  <c:v>-9.4527982570193504E-3</c:v>
                </c:pt>
                <c:pt idx="15">
                  <c:v>-0.86791233347434593</c:v>
                </c:pt>
                <c:pt idx="16">
                  <c:v>-0.31650706114259985</c:v>
                </c:pt>
                <c:pt idx="17">
                  <c:v>0.65691669834590871</c:v>
                </c:pt>
                <c:pt idx="18">
                  <c:v>-1.6748423337573677</c:v>
                </c:pt>
                <c:pt idx="19">
                  <c:v>-0.38132235971301026</c:v>
                </c:pt>
                <c:pt idx="20">
                  <c:v>-0.14975916990192842</c:v>
                </c:pt>
                <c:pt idx="21">
                  <c:v>0.50587823157211287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E-46D7-B2F8-D95E374CDC0A}"/>
            </c:ext>
          </c:extLst>
        </c:ser>
        <c:ser>
          <c:idx val="1"/>
          <c:order val="1"/>
          <c:tx>
            <c:v>-1,96*s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'Esempio 6.2'!$K$4:$K$25</c:f>
              <c:numCache>
                <c:formatCode>General</c:formatCode>
                <c:ptCount val="22"/>
                <c:pt idx="0">
                  <c:v>-1.7291810486241597</c:v>
                </c:pt>
                <c:pt idx="1">
                  <c:v>-1.7291810486241597</c:v>
                </c:pt>
                <c:pt idx="2">
                  <c:v>-1.7291810486241597</c:v>
                </c:pt>
                <c:pt idx="3">
                  <c:v>-1.7291810486241597</c:v>
                </c:pt>
                <c:pt idx="4">
                  <c:v>-1.7291810486241597</c:v>
                </c:pt>
                <c:pt idx="5">
                  <c:v>-1.7291810486241597</c:v>
                </c:pt>
                <c:pt idx="6">
                  <c:v>-1.7291810486241597</c:v>
                </c:pt>
                <c:pt idx="7">
                  <c:v>-1.7291810486241597</c:v>
                </c:pt>
                <c:pt idx="8">
                  <c:v>-1.7291810486241597</c:v>
                </c:pt>
                <c:pt idx="9">
                  <c:v>-1.7291810486241597</c:v>
                </c:pt>
                <c:pt idx="10">
                  <c:v>-1.7291810486241597</c:v>
                </c:pt>
                <c:pt idx="11">
                  <c:v>-1.7291810486241597</c:v>
                </c:pt>
                <c:pt idx="12">
                  <c:v>-1.7291810486241597</c:v>
                </c:pt>
                <c:pt idx="13">
                  <c:v>-1.7291810486241597</c:v>
                </c:pt>
                <c:pt idx="14">
                  <c:v>-1.7291810486241597</c:v>
                </c:pt>
                <c:pt idx="15">
                  <c:v>-1.7291810486241597</c:v>
                </c:pt>
                <c:pt idx="16">
                  <c:v>-1.7291810486241597</c:v>
                </c:pt>
                <c:pt idx="17">
                  <c:v>-1.7291810486241597</c:v>
                </c:pt>
                <c:pt idx="18">
                  <c:v>-1.7291810486241597</c:v>
                </c:pt>
                <c:pt idx="19">
                  <c:v>-1.7291810486241597</c:v>
                </c:pt>
                <c:pt idx="20">
                  <c:v>-1.7291810486241597</c:v>
                </c:pt>
                <c:pt idx="21">
                  <c:v>-1.7291810486241597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E-46D7-B2F8-D95E374CDC0A}"/>
            </c:ext>
          </c:extLst>
        </c:ser>
        <c:ser>
          <c:idx val="2"/>
          <c:order val="2"/>
          <c:tx>
            <c:v>+1,96*s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'Esempio 6.2'!$L$4:$L$25</c:f>
              <c:numCache>
                <c:formatCode>General</c:formatCode>
                <c:ptCount val="22"/>
                <c:pt idx="0">
                  <c:v>1.7291810486241597</c:v>
                </c:pt>
                <c:pt idx="1">
                  <c:v>1.7291810486241597</c:v>
                </c:pt>
                <c:pt idx="2">
                  <c:v>1.7291810486241597</c:v>
                </c:pt>
                <c:pt idx="3">
                  <c:v>1.7291810486241597</c:v>
                </c:pt>
                <c:pt idx="4">
                  <c:v>1.7291810486241597</c:v>
                </c:pt>
                <c:pt idx="5">
                  <c:v>1.7291810486241597</c:v>
                </c:pt>
                <c:pt idx="6">
                  <c:v>1.7291810486241597</c:v>
                </c:pt>
                <c:pt idx="7">
                  <c:v>1.7291810486241597</c:v>
                </c:pt>
                <c:pt idx="8">
                  <c:v>1.7291810486241597</c:v>
                </c:pt>
                <c:pt idx="9">
                  <c:v>1.7291810486241597</c:v>
                </c:pt>
                <c:pt idx="10">
                  <c:v>1.7291810486241597</c:v>
                </c:pt>
                <c:pt idx="11">
                  <c:v>1.7291810486241597</c:v>
                </c:pt>
                <c:pt idx="12">
                  <c:v>1.7291810486241597</c:v>
                </c:pt>
                <c:pt idx="13">
                  <c:v>1.7291810486241597</c:v>
                </c:pt>
                <c:pt idx="14">
                  <c:v>1.7291810486241597</c:v>
                </c:pt>
                <c:pt idx="15">
                  <c:v>1.7291810486241597</c:v>
                </c:pt>
                <c:pt idx="16">
                  <c:v>1.7291810486241597</c:v>
                </c:pt>
                <c:pt idx="17">
                  <c:v>1.7291810486241597</c:v>
                </c:pt>
                <c:pt idx="18">
                  <c:v>1.7291810486241597</c:v>
                </c:pt>
                <c:pt idx="19">
                  <c:v>1.7291810486241597</c:v>
                </c:pt>
                <c:pt idx="20">
                  <c:v>1.7291810486241597</c:v>
                </c:pt>
                <c:pt idx="21">
                  <c:v>1.7291810486241597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AE-46D7-B2F8-D95E374CD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2109503"/>
        <c:axId val="1002109983"/>
      </c:lineChart>
      <c:catAx>
        <c:axId val="1002109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02109983"/>
        <c:crosses val="autoZero"/>
        <c:auto val="1"/>
        <c:lblAlgn val="ctr"/>
        <c:lblOffset val="100"/>
        <c:noMultiLvlLbl val="0"/>
      </c:catAx>
      <c:valAx>
        <c:axId val="1002109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02109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8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7.png"/><Relationship Id="rId4" Type="http://schemas.openxmlformats.org/officeDocument/2006/relationships/image" Target="../media/image9.png"/><Relationship Id="rId9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374650</xdr:colOff>
      <xdr:row>10</xdr:row>
      <xdr:rowOff>133350</xdr:rowOff>
    </xdr:from>
    <xdr:to>
      <xdr:col>12</xdr:col>
      <xdr:colOff>439596</xdr:colOff>
      <xdr:row>18</xdr:row>
      <xdr:rowOff>82805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C1BAD47-CD13-1DB4-F5BA-CFBC21658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0550" y="1974850"/>
          <a:ext cx="7126146" cy="12575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234156</xdr:colOff>
      <xdr:row>1</xdr:row>
      <xdr:rowOff>5556</xdr:rowOff>
    </xdr:from>
    <xdr:to>
      <xdr:col>16</xdr:col>
      <xdr:colOff>527843</xdr:colOff>
      <xdr:row>16</xdr:row>
      <xdr:rowOff>10318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577789B-D186-71C2-9795-EC797EAD6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171963</xdr:colOff>
      <xdr:row>23</xdr:row>
      <xdr:rowOff>261938</xdr:rowOff>
    </xdr:from>
    <xdr:to>
      <xdr:col>9</xdr:col>
      <xdr:colOff>156089</xdr:colOff>
      <xdr:row>29</xdr:row>
      <xdr:rowOff>103188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0B0647F-0BD6-1CC5-A740-7EF78622E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3901" y="4675188"/>
          <a:ext cx="3079751" cy="1095375"/>
        </a:xfrm>
        <a:prstGeom prst="rect">
          <a:avLst/>
        </a:prstGeom>
      </xdr:spPr>
    </xdr:pic>
    <xdr:clientData/>
  </xdr:twoCellAnchor>
  <xdr:twoCellAnchor editAs="oneCell">
    <xdr:from>
      <xdr:col>4</xdr:col>
      <xdr:colOff>841375</xdr:colOff>
      <xdr:row>30</xdr:row>
      <xdr:rowOff>47625</xdr:rowOff>
    </xdr:from>
    <xdr:to>
      <xdr:col>9</xdr:col>
      <xdr:colOff>254485</xdr:colOff>
      <xdr:row>33</xdr:row>
      <xdr:rowOff>147728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F2B7CED7-1D52-5F8B-2CB9-2507B09FF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14938" y="5897563"/>
          <a:ext cx="3477110" cy="6477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422275</xdr:colOff>
      <xdr:row>1</xdr:row>
      <xdr:rowOff>44450</xdr:rowOff>
    </xdr:from>
    <xdr:to>
      <xdr:col>10</xdr:col>
      <xdr:colOff>292100</xdr:colOff>
      <xdr:row>16</xdr:row>
      <xdr:rowOff>25400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24AB09F-6CA9-E6A1-072A-E6982AF52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18</xdr:row>
      <xdr:rowOff>0</xdr:rowOff>
    </xdr:from>
    <xdr:to>
      <xdr:col>9</xdr:col>
      <xdr:colOff>42887</xdr:colOff>
      <xdr:row>21</xdr:row>
      <xdr:rowOff>93782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EB761883-7782-715E-6909-258D37714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0" y="3314700"/>
          <a:ext cx="2481287" cy="6462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387350</xdr:colOff>
      <xdr:row>6</xdr:row>
      <xdr:rowOff>152400</xdr:rowOff>
    </xdr:from>
    <xdr:to>
      <xdr:col>12</xdr:col>
      <xdr:colOff>540027</xdr:colOff>
      <xdr:row>11</xdr:row>
      <xdr:rowOff>41388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158F697-6340-4E6D-BC9F-79537876B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46950" y="1809750"/>
          <a:ext cx="1981477" cy="809738"/>
        </a:xfrm>
        <a:prstGeom prst="rect">
          <a:avLst/>
        </a:prstGeom>
      </xdr:spPr>
    </xdr:pic>
    <xdr:clientData/>
  </xdr:twoCellAnchor>
  <xdr:twoCellAnchor editAs="oneCell">
    <xdr:from>
      <xdr:col>9</xdr:col>
      <xdr:colOff>317500</xdr:colOff>
      <xdr:row>2</xdr:row>
      <xdr:rowOff>342900</xdr:rowOff>
    </xdr:from>
    <xdr:to>
      <xdr:col>13</xdr:col>
      <xdr:colOff>251156</xdr:colOff>
      <xdr:row>7</xdr:row>
      <xdr:rowOff>114422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8DE9D80-86AA-441C-92CD-1C859C841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77100" y="711200"/>
          <a:ext cx="2372056" cy="1060572"/>
        </a:xfrm>
        <a:prstGeom prst="rect">
          <a:avLst/>
        </a:prstGeom>
      </xdr:spPr>
    </xdr:pic>
    <xdr:clientData/>
  </xdr:twoCellAnchor>
  <xdr:twoCellAnchor editAs="oneCell">
    <xdr:from>
      <xdr:col>9</xdr:col>
      <xdr:colOff>254000</xdr:colOff>
      <xdr:row>12</xdr:row>
      <xdr:rowOff>133350</xdr:rowOff>
    </xdr:from>
    <xdr:to>
      <xdr:col>14</xdr:col>
      <xdr:colOff>25794</xdr:colOff>
      <xdr:row>17</xdr:row>
      <xdr:rowOff>3285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719548F-50D6-6A92-0D98-8F167E201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13600" y="2895600"/>
          <a:ext cx="2819794" cy="790685"/>
        </a:xfrm>
        <a:prstGeom prst="rect">
          <a:avLst/>
        </a:prstGeom>
      </xdr:spPr>
    </xdr:pic>
    <xdr:clientData/>
  </xdr:twoCellAnchor>
  <xdr:twoCellAnchor>
    <xdr:from>
      <xdr:col>0</xdr:col>
      <xdr:colOff>454025</xdr:colOff>
      <xdr:row>38</xdr:row>
      <xdr:rowOff>95250</xdr:rowOff>
    </xdr:from>
    <xdr:to>
      <xdr:col>5</xdr:col>
      <xdr:colOff>504825</xdr:colOff>
      <xdr:row>53</xdr:row>
      <xdr:rowOff>76200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D35E70-8E9C-7A18-99D7-40BFA5D62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161925</xdr:colOff>
      <xdr:row>38</xdr:row>
      <xdr:rowOff>95250</xdr:rowOff>
    </xdr:from>
    <xdr:to>
      <xdr:col>13</xdr:col>
      <xdr:colOff>466725</xdr:colOff>
      <xdr:row>53</xdr:row>
      <xdr:rowOff>76200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F3400EE-BCB0-C212-8DA1-AFC12F6A1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200025</xdr:colOff>
      <xdr:row>54</xdr:row>
      <xdr:rowOff>50800</xdr:rowOff>
    </xdr:from>
    <xdr:to>
      <xdr:col>13</xdr:col>
      <xdr:colOff>504825</xdr:colOff>
      <xdr:row>68</xdr:row>
      <xdr:rowOff>31750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520C50E-5643-883A-817A-7D2F43F72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139700</xdr:colOff>
      <xdr:row>5</xdr:row>
      <xdr:rowOff>63500</xdr:rowOff>
    </xdr:from>
    <xdr:to>
      <xdr:col>15</xdr:col>
      <xdr:colOff>292377</xdr:colOff>
      <xdr:row>9</xdr:row>
      <xdr:rowOff>142988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7675CA4-A403-46D9-A0F1-A8271DDB5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8350" y="1365250"/>
          <a:ext cx="1981477" cy="816088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0</xdr:row>
      <xdr:rowOff>0</xdr:rowOff>
    </xdr:from>
    <xdr:to>
      <xdr:col>16</xdr:col>
      <xdr:colOff>105106</xdr:colOff>
      <xdr:row>5</xdr:row>
      <xdr:rowOff>133472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1701B461-007F-471F-9537-47AB5F6A3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20100" y="0"/>
          <a:ext cx="2372056" cy="1435222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14</xdr:row>
      <xdr:rowOff>31750</xdr:rowOff>
    </xdr:from>
    <xdr:to>
      <xdr:col>15</xdr:col>
      <xdr:colOff>178007</xdr:colOff>
      <xdr:row>19</xdr:row>
      <xdr:rowOff>60235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78D234AF-9C69-4292-85D9-A4BD296FD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78900" y="3003550"/>
          <a:ext cx="1276557" cy="949235"/>
        </a:xfrm>
        <a:prstGeom prst="rect">
          <a:avLst/>
        </a:prstGeom>
      </xdr:spPr>
    </xdr:pic>
    <xdr:clientData/>
  </xdr:twoCellAnchor>
  <xdr:twoCellAnchor editAs="oneCell">
    <xdr:from>
      <xdr:col>4</xdr:col>
      <xdr:colOff>196850</xdr:colOff>
      <xdr:row>20</xdr:row>
      <xdr:rowOff>0</xdr:rowOff>
    </xdr:from>
    <xdr:to>
      <xdr:col>12</xdr:col>
      <xdr:colOff>165844</xdr:colOff>
      <xdr:row>23</xdr:row>
      <xdr:rowOff>95394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BAD14C56-98BB-40EB-94ED-DE0E734E3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06800" y="4171950"/>
          <a:ext cx="5334744" cy="1035194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10</xdr:row>
      <xdr:rowOff>63500</xdr:rowOff>
    </xdr:from>
    <xdr:to>
      <xdr:col>16</xdr:col>
      <xdr:colOff>457594</xdr:colOff>
      <xdr:row>14</xdr:row>
      <xdr:rowOff>111235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5A4D9AAD-8F92-4FE0-A81C-849506FAD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24850" y="2292350"/>
          <a:ext cx="2819794" cy="79068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15</xdr:col>
      <xdr:colOff>250011</xdr:colOff>
      <xdr:row>24</xdr:row>
      <xdr:rowOff>32563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DE3065E2-C900-4940-BBB7-8AA1B0DD0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467850" y="4648200"/>
          <a:ext cx="859611" cy="591363"/>
        </a:xfrm>
        <a:prstGeom prst="rect">
          <a:avLst/>
        </a:prstGeom>
      </xdr:spPr>
    </xdr:pic>
    <xdr:clientData/>
  </xdr:twoCellAnchor>
  <xdr:twoCellAnchor editAs="oneCell">
    <xdr:from>
      <xdr:col>13</xdr:col>
      <xdr:colOff>607746</xdr:colOff>
      <xdr:row>25</xdr:row>
      <xdr:rowOff>158751</xdr:rowOff>
    </xdr:from>
    <xdr:to>
      <xdr:col>17</xdr:col>
      <xdr:colOff>324347</xdr:colOff>
      <xdr:row>29</xdr:row>
      <xdr:rowOff>44451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C82AF282-BD49-9B4F-30DA-0F7BBC5B1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93046" y="5549901"/>
          <a:ext cx="2155001" cy="622300"/>
        </a:xfrm>
        <a:prstGeom prst="rect">
          <a:avLst/>
        </a:prstGeom>
      </xdr:spPr>
    </xdr:pic>
    <xdr:clientData/>
  </xdr:twoCellAnchor>
  <xdr:twoCellAnchor editAs="oneCell">
    <xdr:from>
      <xdr:col>10</xdr:col>
      <xdr:colOff>25400</xdr:colOff>
      <xdr:row>35</xdr:row>
      <xdr:rowOff>95737</xdr:rowOff>
    </xdr:from>
    <xdr:to>
      <xdr:col>13</xdr:col>
      <xdr:colOff>228245</xdr:colOff>
      <xdr:row>41</xdr:row>
      <xdr:rowOff>116644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6D9B8767-ED53-67C9-A23A-AB017C50F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02500" y="7341087"/>
          <a:ext cx="2311045" cy="1144857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30</xdr:row>
      <xdr:rowOff>74804</xdr:rowOff>
    </xdr:from>
    <xdr:to>
      <xdr:col>18</xdr:col>
      <xdr:colOff>238687</xdr:colOff>
      <xdr:row>33</xdr:row>
      <xdr:rowOff>124794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CA51C666-0E3F-EDF5-2381-473B15A86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147300" y="6393054"/>
          <a:ext cx="2524687" cy="6087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187325</xdr:colOff>
      <xdr:row>19</xdr:row>
      <xdr:rowOff>63500</xdr:rowOff>
    </xdr:from>
    <xdr:to>
      <xdr:col>15</xdr:col>
      <xdr:colOff>492125</xdr:colOff>
      <xdr:row>34</xdr:row>
      <xdr:rowOff>31750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88FB117-63E3-3544-3617-EF339DDB6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200025</xdr:colOff>
      <xdr:row>34</xdr:row>
      <xdr:rowOff>101600</xdr:rowOff>
    </xdr:from>
    <xdr:to>
      <xdr:col>15</xdr:col>
      <xdr:colOff>504825</xdr:colOff>
      <xdr:row>49</xdr:row>
      <xdr:rowOff>76200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5F4ADD5-5E68-AE91-2B41-B948EDDF2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565150</xdr:colOff>
      <xdr:row>1</xdr:row>
      <xdr:rowOff>38100</xdr:rowOff>
    </xdr:from>
    <xdr:to>
      <xdr:col>18</xdr:col>
      <xdr:colOff>422605</xdr:colOff>
      <xdr:row>6</xdr:row>
      <xdr:rowOff>36026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ADCEE12-442E-40C0-A952-0E938B777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0250" y="222250"/>
          <a:ext cx="1686256" cy="1020276"/>
        </a:xfrm>
        <a:prstGeom prst="rect">
          <a:avLst/>
        </a:prstGeom>
      </xdr:spPr>
    </xdr:pic>
    <xdr:clientData/>
  </xdr:twoCellAnchor>
  <xdr:twoCellAnchor>
    <xdr:from>
      <xdr:col>5</xdr:col>
      <xdr:colOff>130175</xdr:colOff>
      <xdr:row>27</xdr:row>
      <xdr:rowOff>120650</xdr:rowOff>
    </xdr:from>
    <xdr:to>
      <xdr:col>12</xdr:col>
      <xdr:colOff>698500</xdr:colOff>
      <xdr:row>36</xdr:row>
      <xdr:rowOff>25400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4893E44-3D79-E651-9420-8969FC6FD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112058</xdr:colOff>
      <xdr:row>36</xdr:row>
      <xdr:rowOff>115045</xdr:rowOff>
    </xdr:from>
    <xdr:to>
      <xdr:col>12</xdr:col>
      <xdr:colOff>552823</xdr:colOff>
      <xdr:row>51</xdr:row>
      <xdr:rowOff>59763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F6285D3-5602-DF63-2616-8AEEAFF35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363220</xdr:colOff>
      <xdr:row>16</xdr:row>
      <xdr:rowOff>44450</xdr:rowOff>
    </xdr:from>
    <xdr:to>
      <xdr:col>17</xdr:col>
      <xdr:colOff>58420</xdr:colOff>
      <xdr:row>31</xdr:row>
      <xdr:rowOff>44450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BD42F45-C134-4E14-B5F8-4DA5B2F321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279400</xdr:colOff>
      <xdr:row>0</xdr:row>
      <xdr:rowOff>87630</xdr:rowOff>
    </xdr:from>
    <xdr:to>
      <xdr:col>16</xdr:col>
      <xdr:colOff>584200</xdr:colOff>
      <xdr:row>15</xdr:row>
      <xdr:rowOff>87630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5797F49-C5B6-4E97-B939-83AF8A2C0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68580</xdr:colOff>
      <xdr:row>2</xdr:row>
      <xdr:rowOff>38100</xdr:rowOff>
    </xdr:from>
    <xdr:to>
      <xdr:col>15</xdr:col>
      <xdr:colOff>373380</xdr:colOff>
      <xdr:row>17</xdr:row>
      <xdr:rowOff>38100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CDD68B-BA8B-433F-BEB7-15B875B5D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83820</xdr:colOff>
      <xdr:row>17</xdr:row>
      <xdr:rowOff>45720</xdr:rowOff>
    </xdr:from>
    <xdr:to>
      <xdr:col>15</xdr:col>
      <xdr:colOff>388620</xdr:colOff>
      <xdr:row>32</xdr:row>
      <xdr:rowOff>45720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75E5F37-1F4C-4770-908E-2B6386B91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ber\Downloads\Elasticity.xlsx" TargetMode="External"/><Relationship Id="rId1" Type="http://schemas.openxmlformats.org/officeDocument/2006/relationships/externalLinkPath" Target="/Users/rober/Downloads/Elastic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8">
          <cell r="H8" t="str">
            <v>ln(spese)</v>
          </cell>
        </row>
        <row r="9">
          <cell r="B9">
            <v>100</v>
          </cell>
          <cell r="C9">
            <v>40</v>
          </cell>
          <cell r="G9">
            <v>4.6051701859880918</v>
          </cell>
          <cell r="H9">
            <v>3.6888794541139363</v>
          </cell>
        </row>
        <row r="10">
          <cell r="B10">
            <v>200</v>
          </cell>
          <cell r="C10">
            <v>76</v>
          </cell>
          <cell r="G10">
            <v>5.2983173665480363</v>
          </cell>
          <cell r="H10">
            <v>4.3307333402863311</v>
          </cell>
        </row>
        <row r="11">
          <cell r="B11">
            <v>300</v>
          </cell>
          <cell r="C11">
            <v>108</v>
          </cell>
          <cell r="G11">
            <v>5.7037824746562009</v>
          </cell>
          <cell r="H11">
            <v>4.6821312271242199</v>
          </cell>
        </row>
        <row r="12">
          <cell r="B12">
            <v>400</v>
          </cell>
          <cell r="C12">
            <v>136</v>
          </cell>
          <cell r="G12">
            <v>5.9914645471079817</v>
          </cell>
          <cell r="H12">
            <v>4.9126548857360524</v>
          </cell>
        </row>
        <row r="13">
          <cell r="B13">
            <v>500</v>
          </cell>
          <cell r="C13">
            <v>159.99999999999997</v>
          </cell>
          <cell r="G13">
            <v>6.2146080984221914</v>
          </cell>
          <cell r="H13">
            <v>5.0751738152338266</v>
          </cell>
        </row>
        <row r="14">
          <cell r="B14">
            <v>600</v>
          </cell>
          <cell r="C14">
            <v>179.99999999999997</v>
          </cell>
          <cell r="G14">
            <v>6.3969296552161463</v>
          </cell>
          <cell r="H14">
            <v>5.1929568508902104</v>
          </cell>
        </row>
        <row r="15">
          <cell r="B15">
            <v>700</v>
          </cell>
          <cell r="C15">
            <v>202.99999999999994</v>
          </cell>
          <cell r="G15">
            <v>6.5510803350434044</v>
          </cell>
          <cell r="H15">
            <v>5.3132059790417872</v>
          </cell>
        </row>
        <row r="16">
          <cell r="B16">
            <v>800</v>
          </cell>
          <cell r="C16">
            <v>223.99999999999994</v>
          </cell>
          <cell r="G16">
            <v>6.6846117276679271</v>
          </cell>
          <cell r="H16">
            <v>5.4116460518550396</v>
          </cell>
        </row>
        <row r="17">
          <cell r="B17">
            <v>900</v>
          </cell>
          <cell r="C17">
            <v>242.99999999999991</v>
          </cell>
          <cell r="G17">
            <v>6.8023947633243109</v>
          </cell>
          <cell r="H17">
            <v>5.4930614433405482</v>
          </cell>
        </row>
        <row r="18">
          <cell r="B18">
            <v>1000</v>
          </cell>
          <cell r="C18">
            <v>259.99999999999989</v>
          </cell>
          <cell r="G18">
            <v>6.9077552789821368</v>
          </cell>
          <cell r="H18">
            <v>5.5606816310155276</v>
          </cell>
        </row>
        <row r="19">
          <cell r="B19">
            <v>1100</v>
          </cell>
          <cell r="C19">
            <v>274.99999999999989</v>
          </cell>
          <cell r="G19">
            <v>7.0030654587864616</v>
          </cell>
          <cell r="H19">
            <v>5.6167710976665708</v>
          </cell>
        </row>
        <row r="20">
          <cell r="B20">
            <v>1200</v>
          </cell>
          <cell r="C20">
            <v>287.99999999999983</v>
          </cell>
          <cell r="G20">
            <v>7.0900768357760917</v>
          </cell>
          <cell r="H20">
            <v>5.6629604801359452</v>
          </cell>
        </row>
        <row r="21">
          <cell r="B21">
            <v>1300</v>
          </cell>
          <cell r="C21">
            <v>305.49999999999983</v>
          </cell>
          <cell r="G21">
            <v>7.1701195434496281</v>
          </cell>
          <cell r="H21">
            <v>5.7219497786116493</v>
          </cell>
        </row>
        <row r="22">
          <cell r="B22">
            <v>1400</v>
          </cell>
          <cell r="C22">
            <v>321.99999999999983</v>
          </cell>
          <cell r="G22">
            <v>7.2442275156033498</v>
          </cell>
          <cell r="H22">
            <v>5.7745515455444076</v>
          </cell>
        </row>
        <row r="23">
          <cell r="B23">
            <v>1500</v>
          </cell>
          <cell r="C23">
            <v>337.49999999999977</v>
          </cell>
          <cell r="G23">
            <v>7.3132203870903014</v>
          </cell>
          <cell r="H23">
            <v>5.8215655103125838</v>
          </cell>
        </row>
        <row r="24">
          <cell r="B24">
            <v>1600</v>
          </cell>
          <cell r="C24">
            <v>351.99999999999977</v>
          </cell>
          <cell r="G24">
            <v>7.3777589082278725</v>
          </cell>
          <cell r="H24">
            <v>5.8636311755980968</v>
          </cell>
        </row>
        <row r="25">
          <cell r="B25">
            <v>1700</v>
          </cell>
          <cell r="C25">
            <v>365.49999999999977</v>
          </cell>
          <cell r="G25">
            <v>7.4383835300443071</v>
          </cell>
          <cell r="H25">
            <v>5.9012662791898327</v>
          </cell>
        </row>
        <row r="26">
          <cell r="B26">
            <v>1800</v>
          </cell>
          <cell r="C26">
            <v>377.99999999999972</v>
          </cell>
          <cell r="G26">
            <v>7.4955419438842563</v>
          </cell>
          <cell r="H26">
            <v>5.9348941956195871</v>
          </cell>
        </row>
        <row r="27">
          <cell r="B27">
            <v>1900</v>
          </cell>
          <cell r="C27">
            <v>389.49999999999972</v>
          </cell>
          <cell r="G27">
            <v>7.5496091651545321</v>
          </cell>
          <cell r="H27">
            <v>5.9648638653108019</v>
          </cell>
        </row>
        <row r="28">
          <cell r="B28">
            <v>2000</v>
          </cell>
          <cell r="C28">
            <v>399.99999999999972</v>
          </cell>
          <cell r="G28">
            <v>7.6009024595420822</v>
          </cell>
          <cell r="H28">
            <v>5.9914645471079817</v>
          </cell>
        </row>
        <row r="34">
          <cell r="C34" t="str">
            <v>q (n.biglietti)</v>
          </cell>
          <cell r="F34" t="str">
            <v>ln(q)</v>
          </cell>
        </row>
        <row r="35">
          <cell r="B35">
            <v>25</v>
          </cell>
          <cell r="C35">
            <v>50</v>
          </cell>
          <cell r="E35">
            <v>3.2188758248682006</v>
          </cell>
          <cell r="F35">
            <v>3.912023005428146</v>
          </cell>
        </row>
        <row r="36">
          <cell r="B36">
            <v>20</v>
          </cell>
          <cell r="C36">
            <v>60</v>
          </cell>
          <cell r="E36">
            <v>2.9957322735539909</v>
          </cell>
          <cell r="F36">
            <v>4.0943445622221004</v>
          </cell>
        </row>
        <row r="37">
          <cell r="B37">
            <v>15</v>
          </cell>
          <cell r="C37">
            <v>75</v>
          </cell>
          <cell r="E37">
            <v>2.7080502011022101</v>
          </cell>
          <cell r="F37">
            <v>4.3174881135363101</v>
          </cell>
        </row>
        <row r="38">
          <cell r="B38">
            <v>10</v>
          </cell>
          <cell r="C38">
            <v>100</v>
          </cell>
          <cell r="E38">
            <v>2.3025850929940459</v>
          </cell>
          <cell r="F38">
            <v>4.6051701859880918</v>
          </cell>
        </row>
        <row r="39">
          <cell r="B39">
            <v>5</v>
          </cell>
          <cell r="C39">
            <v>200</v>
          </cell>
          <cell r="E39">
            <v>1.6094379124341003</v>
          </cell>
          <cell r="F39">
            <v>5.2983173665480363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3992A-7B08-460E-8C1B-79D46E488A94}">
  <dimension ref="A3:J22"/>
  <sheetViews>
    <sheetView workbookViewId="0">
      <selection activeCell="H27" sqref="H27"/>
    </sheetView>
  </sheetViews>
  <sheetFormatPr defaultRowHeight="14.5" x14ac:dyDescent="0.35"/>
  <cols>
    <col min="1" max="1" width="10" bestFit="1" customWidth="1"/>
    <col min="2" max="2" width="11.36328125" bestFit="1" customWidth="1"/>
    <col min="3" max="3" width="13.36328125" customWidth="1"/>
    <col min="5" max="5" width="8.7265625" customWidth="1"/>
    <col min="6" max="6" width="13.26953125" bestFit="1" customWidth="1"/>
    <col min="7" max="7" width="13.26953125" customWidth="1"/>
    <col min="8" max="8" width="16.36328125" customWidth="1"/>
    <col min="9" max="9" width="17.6328125" customWidth="1"/>
    <col min="10" max="10" width="14.36328125" bestFit="1" customWidth="1"/>
  </cols>
  <sheetData>
    <row r="3" spans="1:10" x14ac:dyDescent="0.35">
      <c r="A3" s="46"/>
      <c r="B3" s="46" t="s">
        <v>91</v>
      </c>
      <c r="C3" s="46" t="s">
        <v>92</v>
      </c>
      <c r="D3" s="46"/>
      <c r="E3" s="46"/>
      <c r="F3" s="46" t="s">
        <v>93</v>
      </c>
      <c r="G3" s="46" t="s">
        <v>94</v>
      </c>
      <c r="H3" s="46" t="s">
        <v>95</v>
      </c>
      <c r="I3" s="46" t="s">
        <v>96</v>
      </c>
      <c r="J3" s="46" t="s">
        <v>97</v>
      </c>
    </row>
    <row r="4" spans="1:10" x14ac:dyDescent="0.35">
      <c r="A4" t="s">
        <v>98</v>
      </c>
      <c r="B4">
        <v>500</v>
      </c>
      <c r="C4">
        <v>200</v>
      </c>
      <c r="E4" t="s">
        <v>98</v>
      </c>
      <c r="F4" s="57">
        <f>+B4-B$14</f>
        <v>-662.5</v>
      </c>
      <c r="G4" s="57">
        <f>+C4-B$15</f>
        <v>-875</v>
      </c>
      <c r="H4" s="57">
        <f t="shared" ref="H4:I7" si="0">+F4^2</f>
        <v>438906.25</v>
      </c>
      <c r="I4" s="57">
        <f t="shared" si="0"/>
        <v>765625</v>
      </c>
      <c r="J4" s="57">
        <f>+F4*G4</f>
        <v>579687.5</v>
      </c>
    </row>
    <row r="5" spans="1:10" x14ac:dyDescent="0.35">
      <c r="A5" t="s">
        <v>99</v>
      </c>
      <c r="B5">
        <v>1200</v>
      </c>
      <c r="C5">
        <v>600</v>
      </c>
      <c r="E5" t="s">
        <v>99</v>
      </c>
      <c r="F5" s="57">
        <f>+B5-B$14</f>
        <v>37.5</v>
      </c>
      <c r="G5" s="57">
        <f>+C5-B$15</f>
        <v>-475</v>
      </c>
      <c r="H5" s="57">
        <f t="shared" si="0"/>
        <v>1406.25</v>
      </c>
      <c r="I5" s="57">
        <f t="shared" si="0"/>
        <v>225625</v>
      </c>
      <c r="J5" s="57">
        <f>+F5*G5</f>
        <v>-17812.5</v>
      </c>
    </row>
    <row r="6" spans="1:10" x14ac:dyDescent="0.35">
      <c r="A6" t="s">
        <v>19</v>
      </c>
      <c r="B6">
        <v>1700</v>
      </c>
      <c r="C6">
        <v>2000</v>
      </c>
      <c r="E6" t="s">
        <v>19</v>
      </c>
      <c r="F6" s="57">
        <f>+B6-B$14</f>
        <v>537.5</v>
      </c>
      <c r="G6" s="57">
        <f>+C6-B$15</f>
        <v>925</v>
      </c>
      <c r="H6" s="57">
        <f t="shared" si="0"/>
        <v>288906.25</v>
      </c>
      <c r="I6" s="57">
        <f t="shared" si="0"/>
        <v>855625</v>
      </c>
      <c r="J6" s="57">
        <f>+F6*G6</f>
        <v>497187.5</v>
      </c>
    </row>
    <row r="7" spans="1:10" x14ac:dyDescent="0.35">
      <c r="A7" t="s">
        <v>100</v>
      </c>
      <c r="B7">
        <v>1250</v>
      </c>
      <c r="C7">
        <v>1500</v>
      </c>
      <c r="E7" t="s">
        <v>100</v>
      </c>
      <c r="F7" s="57">
        <f>+B7-B$14</f>
        <v>87.5</v>
      </c>
      <c r="G7" s="57">
        <f>+C7-B$15</f>
        <v>425</v>
      </c>
      <c r="H7" s="57">
        <f t="shared" si="0"/>
        <v>7656.25</v>
      </c>
      <c r="I7" s="57">
        <f t="shared" si="0"/>
        <v>180625</v>
      </c>
      <c r="J7" s="57">
        <f>+F7*G7</f>
        <v>37187.5</v>
      </c>
    </row>
    <row r="8" spans="1:10" x14ac:dyDescent="0.35">
      <c r="A8" s="46" t="s">
        <v>101</v>
      </c>
      <c r="B8" s="61">
        <f t="shared" ref="B8:C8" si="1">+B4+B5+B6+B7</f>
        <v>4650</v>
      </c>
      <c r="C8" s="61">
        <f t="shared" si="1"/>
        <v>4300</v>
      </c>
      <c r="D8" s="46"/>
      <c r="E8" s="46" t="s">
        <v>101</v>
      </c>
      <c r="F8" s="61">
        <f t="shared" ref="F8:G8" si="2">+F4+F5+F6+F7</f>
        <v>0</v>
      </c>
      <c r="G8" s="61">
        <f t="shared" si="2"/>
        <v>0</v>
      </c>
      <c r="H8" s="61">
        <f>+H4+H5+H6+H7</f>
        <v>736875</v>
      </c>
      <c r="I8" s="61">
        <f>+I4+I5+I6+I7</f>
        <v>2027500</v>
      </c>
      <c r="J8" s="61">
        <f>+J4+J5+J6+J7</f>
        <v>1096250</v>
      </c>
    </row>
    <row r="10" spans="1:10" x14ac:dyDescent="0.35">
      <c r="A10" s="46"/>
      <c r="B10" s="46" t="s">
        <v>102</v>
      </c>
      <c r="C10" s="46" t="s">
        <v>112</v>
      </c>
      <c r="D10" s="46"/>
      <c r="E10" s="46"/>
      <c r="F10" s="46"/>
      <c r="G10" s="46"/>
      <c r="H10" s="46"/>
      <c r="I10" s="46"/>
    </row>
    <row r="11" spans="1:10" x14ac:dyDescent="0.35">
      <c r="A11" t="s">
        <v>103</v>
      </c>
      <c r="B11" s="57">
        <f>+H8/COUNTA(B4:B7)</f>
        <v>184218.75</v>
      </c>
      <c r="C11" s="57">
        <f>_xlfn.VAR.P(B4:B7)</f>
        <v>184218.75</v>
      </c>
    </row>
    <row r="12" spans="1:10" x14ac:dyDescent="0.35">
      <c r="A12" t="s">
        <v>104</v>
      </c>
      <c r="B12" s="57">
        <f>+I8/COUNTA(C4:C7)</f>
        <v>506875</v>
      </c>
      <c r="C12" s="57">
        <f>_xlfn.VAR.P(C4:C7)</f>
        <v>506875</v>
      </c>
      <c r="G12" s="2"/>
      <c r="I12" s="7"/>
    </row>
    <row r="13" spans="1:10" ht="8.5" customHeight="1" x14ac:dyDescent="0.35">
      <c r="B13" s="57"/>
      <c r="C13" s="57"/>
    </row>
    <row r="14" spans="1:10" x14ac:dyDescent="0.35">
      <c r="A14" t="s">
        <v>105</v>
      </c>
      <c r="B14" s="57">
        <f>+(B4+B5+B6+B7)/COUNTA(B4:B7)</f>
        <v>1162.5</v>
      </c>
      <c r="C14" s="57">
        <f>AVERAGE(B4:B7)</f>
        <v>1162.5</v>
      </c>
      <c r="G14" s="33"/>
    </row>
    <row r="15" spans="1:10" x14ac:dyDescent="0.35">
      <c r="A15" t="s">
        <v>107</v>
      </c>
      <c r="B15" s="57">
        <f>+(C4+C5+C6+C7)/COUNTA(C4:C7)</f>
        <v>1075</v>
      </c>
      <c r="C15" s="57">
        <f>AVERAGE(C4:C7)</f>
        <v>1075</v>
      </c>
      <c r="G15" s="33"/>
    </row>
    <row r="16" spans="1:10" ht="7.5" customHeight="1" x14ac:dyDescent="0.35">
      <c r="B16" s="57"/>
      <c r="C16" s="57"/>
    </row>
    <row r="17" spans="1:3" x14ac:dyDescent="0.35">
      <c r="A17" t="s">
        <v>108</v>
      </c>
      <c r="B17" s="57">
        <f>SQRT(B11)</f>
        <v>429.2071178347349</v>
      </c>
      <c r="C17" s="57">
        <f>_xlfn.STDEV.P(B4:B7)</f>
        <v>429.2071178347349</v>
      </c>
    </row>
    <row r="18" spans="1:3" x14ac:dyDescent="0.35">
      <c r="A18" t="s">
        <v>109</v>
      </c>
      <c r="B18" s="57">
        <f>SQRT(B12)</f>
        <v>711.95154329490708</v>
      </c>
      <c r="C18" s="57">
        <f>_xlfn.STDEV.P(C4:C7)</f>
        <v>711.95154329490708</v>
      </c>
    </row>
    <row r="19" spans="1:3" ht="7" customHeight="1" x14ac:dyDescent="0.35">
      <c r="B19" s="57"/>
      <c r="C19" s="57"/>
    </row>
    <row r="20" spans="1:3" x14ac:dyDescent="0.35">
      <c r="A20" t="s">
        <v>111</v>
      </c>
      <c r="B20">
        <f>+J8/COUNTA(J4:J7)</f>
        <v>274062.5</v>
      </c>
      <c r="C20">
        <f>_xlfn.COVARIANCE.P(B4:B7,C4:C7)</f>
        <v>274062.5</v>
      </c>
    </row>
    <row r="21" spans="1:3" ht="8" customHeight="1" x14ac:dyDescent="0.35"/>
    <row r="22" spans="1:3" x14ac:dyDescent="0.35">
      <c r="A22" s="46" t="s">
        <v>110</v>
      </c>
      <c r="B22" s="58">
        <f>+B20/(B17*B18)</f>
        <v>0.89687571308760661</v>
      </c>
      <c r="C22" s="58">
        <f>CORREL(B4:B7,C4:C7)</f>
        <v>0.89687571308760661</v>
      </c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C5E26-D52B-4C87-8C6F-280610919C87}">
  <dimension ref="A1:Q37"/>
  <sheetViews>
    <sheetView zoomScale="80" zoomScaleNormal="80" workbookViewId="0">
      <selection activeCell="K32" sqref="K32"/>
    </sheetView>
  </sheetViews>
  <sheetFormatPr defaultRowHeight="14.5" x14ac:dyDescent="0.35"/>
  <cols>
    <col min="1" max="1" width="15.453125" customWidth="1"/>
    <col min="2" max="2" width="18.1796875" customWidth="1"/>
    <col min="3" max="3" width="16.7265625" customWidth="1"/>
    <col min="4" max="4" width="12.26953125" customWidth="1"/>
    <col min="5" max="5" width="13.90625" customWidth="1"/>
    <col min="6" max="7" width="12.453125" customWidth="1"/>
    <col min="8" max="8" width="10.54296875" customWidth="1"/>
    <col min="11" max="12" width="15.81640625" customWidth="1"/>
    <col min="19" max="19" width="36.36328125" bestFit="1" customWidth="1"/>
  </cols>
  <sheetData>
    <row r="1" spans="1:8" ht="29.5" thickBot="1" x14ac:dyDescent="0.4">
      <c r="A1" s="26"/>
      <c r="B1" s="32" t="s">
        <v>21</v>
      </c>
      <c r="C1" s="28" t="s">
        <v>22</v>
      </c>
      <c r="D1" s="32" t="s">
        <v>28</v>
      </c>
      <c r="E1" s="27" t="s">
        <v>32</v>
      </c>
      <c r="F1" s="27" t="s">
        <v>29</v>
      </c>
      <c r="G1" s="27" t="s">
        <v>33</v>
      </c>
      <c r="H1" s="28" t="s">
        <v>30</v>
      </c>
    </row>
    <row r="2" spans="1:8" x14ac:dyDescent="0.35">
      <c r="A2" s="21" t="s">
        <v>0</v>
      </c>
      <c r="B2" s="29">
        <v>3557.7</v>
      </c>
      <c r="C2" s="22">
        <v>29.61</v>
      </c>
      <c r="D2" s="29">
        <f t="shared" ref="D2:D23" si="0">+B2-B$25</f>
        <v>-11.69545454545505</v>
      </c>
      <c r="E2" s="1">
        <f>+D2^2</f>
        <v>136.78365702480519</v>
      </c>
      <c r="F2" s="1">
        <f t="shared" ref="F2:F23" si="1">+C2-C$25</f>
        <v>-4.5454545454550299E-2</v>
      </c>
      <c r="G2" s="1">
        <f>+F2^2</f>
        <v>2.0661157024797791E-3</v>
      </c>
      <c r="H2" s="8">
        <f>+D2*F2</f>
        <v>0.53161157024801342</v>
      </c>
    </row>
    <row r="3" spans="1:8" x14ac:dyDescent="0.35">
      <c r="A3" s="21" t="s">
        <v>1</v>
      </c>
      <c r="B3" s="29">
        <v>3296.4</v>
      </c>
      <c r="C3" s="22">
        <v>27.83</v>
      </c>
      <c r="D3" s="29">
        <f t="shared" si="0"/>
        <v>-272.99545454545478</v>
      </c>
      <c r="E3" s="1">
        <f t="shared" ref="E3:G23" si="2">+D3^2</f>
        <v>74526.518202479463</v>
      </c>
      <c r="F3" s="1">
        <f t="shared" si="1"/>
        <v>-1.8254545454545514</v>
      </c>
      <c r="G3" s="1">
        <f t="shared" si="2"/>
        <v>3.3322842975206828</v>
      </c>
      <c r="H3" s="8">
        <f t="shared" ref="H3:H23" si="3">+D3*F3</f>
        <v>498.34079338843179</v>
      </c>
    </row>
    <row r="4" spans="1:8" x14ac:dyDescent="0.35">
      <c r="A4" s="21" t="s">
        <v>2</v>
      </c>
      <c r="B4" s="29">
        <v>3437.1</v>
      </c>
      <c r="C4" s="22">
        <v>28.39</v>
      </c>
      <c r="D4" s="29">
        <f t="shared" si="0"/>
        <v>-132.29545454545496</v>
      </c>
      <c r="E4" s="1">
        <f t="shared" si="2"/>
        <v>17502.08729338854</v>
      </c>
      <c r="F4" s="1">
        <f t="shared" si="1"/>
        <v>-1.2654545454545492</v>
      </c>
      <c r="G4" s="1">
        <f t="shared" si="2"/>
        <v>1.6013752066115796</v>
      </c>
      <c r="H4" s="8">
        <f t="shared" si="3"/>
        <v>167.41388429752166</v>
      </c>
    </row>
    <row r="5" spans="1:8" x14ac:dyDescent="0.35">
      <c r="A5" s="21" t="s">
        <v>4</v>
      </c>
      <c r="B5" s="29">
        <v>3336.6</v>
      </c>
      <c r="C5" s="22">
        <v>29.17</v>
      </c>
      <c r="D5" s="29">
        <f t="shared" si="0"/>
        <v>-232.79545454545496</v>
      </c>
      <c r="E5" s="1">
        <f t="shared" si="2"/>
        <v>54193.723657024988</v>
      </c>
      <c r="F5" s="1">
        <f t="shared" si="1"/>
        <v>-0.48545454545454803</v>
      </c>
      <c r="G5" s="1">
        <f t="shared" si="2"/>
        <v>0.23566611570248183</v>
      </c>
      <c r="H5" s="8">
        <f t="shared" si="3"/>
        <v>113.01161157024873</v>
      </c>
    </row>
    <row r="6" spans="1:8" x14ac:dyDescent="0.35">
      <c r="A6" s="21" t="s">
        <v>3</v>
      </c>
      <c r="B6" s="29">
        <v>3618</v>
      </c>
      <c r="C6" s="22">
        <v>30.17</v>
      </c>
      <c r="D6" s="29">
        <f t="shared" si="0"/>
        <v>48.604545454545132</v>
      </c>
      <c r="E6" s="1">
        <f t="shared" si="2"/>
        <v>2362.401838842944</v>
      </c>
      <c r="F6" s="1">
        <f t="shared" si="1"/>
        <v>0.51454545454545197</v>
      </c>
      <c r="G6" s="1">
        <f t="shared" si="2"/>
        <v>0.26475702479338581</v>
      </c>
      <c r="H6" s="8">
        <f t="shared" si="3"/>
        <v>25.009247933884005</v>
      </c>
    </row>
    <row r="7" spans="1:8" x14ac:dyDescent="0.35">
      <c r="A7" s="21" t="s">
        <v>5</v>
      </c>
      <c r="B7" s="29">
        <v>3376.8</v>
      </c>
      <c r="C7" s="22">
        <v>30.28</v>
      </c>
      <c r="D7" s="29">
        <f t="shared" si="0"/>
        <v>-192.59545454545469</v>
      </c>
      <c r="E7" s="1">
        <f t="shared" si="2"/>
        <v>37093.009111570304</v>
      </c>
      <c r="F7" s="1">
        <f t="shared" si="1"/>
        <v>0.62454545454545141</v>
      </c>
      <c r="G7" s="1">
        <f t="shared" si="2"/>
        <v>0.3900570247933845</v>
      </c>
      <c r="H7" s="8">
        <f t="shared" si="3"/>
        <v>-120.28461570247882</v>
      </c>
    </row>
    <row r="8" spans="1:8" x14ac:dyDescent="0.35">
      <c r="A8" s="21" t="s">
        <v>6</v>
      </c>
      <c r="B8" s="29">
        <v>3195.9</v>
      </c>
      <c r="C8" s="22">
        <v>28.06</v>
      </c>
      <c r="D8" s="29">
        <f t="shared" si="0"/>
        <v>-373.49545454545478</v>
      </c>
      <c r="E8" s="1">
        <f t="shared" si="2"/>
        <v>139498.85456611589</v>
      </c>
      <c r="F8" s="1">
        <f t="shared" si="1"/>
        <v>-1.595454545454551</v>
      </c>
      <c r="G8" s="1">
        <f t="shared" si="2"/>
        <v>2.545475206611588</v>
      </c>
      <c r="H8" s="8">
        <f t="shared" si="3"/>
        <v>595.89502066115949</v>
      </c>
    </row>
    <row r="9" spans="1:8" x14ac:dyDescent="0.35">
      <c r="A9" s="21" t="s">
        <v>7</v>
      </c>
      <c r="B9" s="29">
        <v>4060.2</v>
      </c>
      <c r="C9" s="22">
        <v>33.28</v>
      </c>
      <c r="D9" s="29">
        <f t="shared" si="0"/>
        <v>490.80454545454495</v>
      </c>
      <c r="E9" s="1">
        <f t="shared" si="2"/>
        <v>240889.10183884247</v>
      </c>
      <c r="F9" s="1">
        <f t="shared" si="1"/>
        <v>3.6245454545454514</v>
      </c>
      <c r="G9" s="1">
        <f t="shared" si="2"/>
        <v>13.137329752066092</v>
      </c>
      <c r="H9" s="8">
        <f t="shared" si="3"/>
        <v>1778.9433842975172</v>
      </c>
    </row>
    <row r="10" spans="1:8" x14ac:dyDescent="0.35">
      <c r="A10" s="21" t="s">
        <v>8</v>
      </c>
      <c r="B10" s="29">
        <v>3859.2</v>
      </c>
      <c r="C10" s="22">
        <v>29.28</v>
      </c>
      <c r="D10" s="29">
        <f t="shared" si="0"/>
        <v>289.80454545454495</v>
      </c>
      <c r="E10" s="1">
        <f t="shared" si="2"/>
        <v>83986.674566115413</v>
      </c>
      <c r="F10" s="1">
        <f t="shared" si="1"/>
        <v>-0.37545454545454859</v>
      </c>
      <c r="G10" s="1">
        <f t="shared" si="2"/>
        <v>0.14096611570248169</v>
      </c>
      <c r="H10" s="8">
        <f t="shared" si="3"/>
        <v>-108.80843388429824</v>
      </c>
    </row>
    <row r="11" spans="1:8" x14ac:dyDescent="0.35">
      <c r="A11" s="21" t="s">
        <v>9</v>
      </c>
      <c r="B11" s="29">
        <v>3658.2</v>
      </c>
      <c r="C11" s="22">
        <v>29.51</v>
      </c>
      <c r="D11" s="29">
        <f t="shared" si="0"/>
        <v>88.80454545454495</v>
      </c>
      <c r="E11" s="1">
        <f t="shared" si="2"/>
        <v>7886.24729338834</v>
      </c>
      <c r="F11" s="1">
        <f t="shared" si="1"/>
        <v>-0.14545454545454817</v>
      </c>
      <c r="G11" s="1">
        <f t="shared" si="2"/>
        <v>2.1157024793389219E-2</v>
      </c>
      <c r="H11" s="8">
        <f t="shared" si="3"/>
        <v>-12.917024793388597</v>
      </c>
    </row>
    <row r="12" spans="1:8" x14ac:dyDescent="0.35">
      <c r="A12" s="21" t="s">
        <v>10</v>
      </c>
      <c r="B12" s="29">
        <v>3678.3</v>
      </c>
      <c r="C12" s="22">
        <v>31.28</v>
      </c>
      <c r="D12" s="29">
        <f t="shared" si="0"/>
        <v>108.90454545454531</v>
      </c>
      <c r="E12" s="1">
        <f t="shared" si="2"/>
        <v>11860.200020661126</v>
      </c>
      <c r="F12" s="1">
        <f t="shared" si="1"/>
        <v>1.6245454545454514</v>
      </c>
      <c r="G12" s="1">
        <f t="shared" si="2"/>
        <v>2.6391479338842871</v>
      </c>
      <c r="H12" s="8">
        <f t="shared" si="3"/>
        <v>176.92038429752009</v>
      </c>
    </row>
    <row r="13" spans="1:8" x14ac:dyDescent="0.35">
      <c r="A13" s="21" t="s">
        <v>11</v>
      </c>
      <c r="B13" s="29">
        <v>3825</v>
      </c>
      <c r="C13" s="22">
        <v>31.06</v>
      </c>
      <c r="D13" s="29">
        <f t="shared" si="0"/>
        <v>255.60454545454513</v>
      </c>
      <c r="E13" s="1">
        <f t="shared" si="2"/>
        <v>65333.683657024631</v>
      </c>
      <c r="F13" s="1">
        <f t="shared" si="1"/>
        <v>1.404545454545449</v>
      </c>
      <c r="G13" s="1">
        <f t="shared" si="2"/>
        <v>1.9727479338842819</v>
      </c>
      <c r="H13" s="8">
        <f t="shared" si="3"/>
        <v>359.00820247933694</v>
      </c>
    </row>
    <row r="14" spans="1:8" x14ac:dyDescent="0.35">
      <c r="A14" s="21" t="s">
        <v>12</v>
      </c>
      <c r="B14" s="29">
        <v>3396.9</v>
      </c>
      <c r="C14" s="22">
        <v>29.83</v>
      </c>
      <c r="D14" s="29">
        <f t="shared" si="0"/>
        <v>-172.49545454545478</v>
      </c>
      <c r="E14" s="1">
        <f t="shared" si="2"/>
        <v>29754.681838843055</v>
      </c>
      <c r="F14" s="1">
        <f t="shared" si="1"/>
        <v>0.17454545454544856</v>
      </c>
      <c r="G14" s="1">
        <f t="shared" si="2"/>
        <v>3.0466115702477252E-2</v>
      </c>
      <c r="H14" s="8">
        <f t="shared" si="3"/>
        <v>-30.108297520660166</v>
      </c>
    </row>
    <row r="15" spans="1:8" x14ac:dyDescent="0.35">
      <c r="A15" s="21" t="s">
        <v>13</v>
      </c>
      <c r="B15" s="29">
        <v>3497.4</v>
      </c>
      <c r="C15" s="22">
        <v>28.39</v>
      </c>
      <c r="D15" s="29">
        <f t="shared" si="0"/>
        <v>-71.995454545454777</v>
      </c>
      <c r="E15" s="1">
        <f t="shared" si="2"/>
        <v>5183.3454752066446</v>
      </c>
      <c r="F15" s="1">
        <f t="shared" si="1"/>
        <v>-1.2654545454545492</v>
      </c>
      <c r="G15" s="1">
        <f t="shared" si="2"/>
        <v>1.6013752066115796</v>
      </c>
      <c r="H15" s="8">
        <f t="shared" si="3"/>
        <v>91.106975206612134</v>
      </c>
    </row>
    <row r="16" spans="1:8" x14ac:dyDescent="0.35">
      <c r="A16" s="21" t="s">
        <v>14</v>
      </c>
      <c r="B16" s="29">
        <v>3296.4</v>
      </c>
      <c r="C16" s="22">
        <v>28.17</v>
      </c>
      <c r="D16" s="29">
        <f t="shared" si="0"/>
        <v>-272.99545454545478</v>
      </c>
      <c r="E16" s="1">
        <f t="shared" si="2"/>
        <v>74526.518202479463</v>
      </c>
      <c r="F16" s="1">
        <f t="shared" si="1"/>
        <v>-1.485454545454548</v>
      </c>
      <c r="G16" s="1">
        <f t="shared" si="2"/>
        <v>2.206575206611578</v>
      </c>
      <c r="H16" s="8">
        <f t="shared" si="3"/>
        <v>405.52233884297624</v>
      </c>
    </row>
    <row r="17" spans="1:17" x14ac:dyDescent="0.35">
      <c r="A17" s="21" t="s">
        <v>15</v>
      </c>
      <c r="B17" s="29">
        <v>3638.1</v>
      </c>
      <c r="C17" s="22">
        <v>29.28</v>
      </c>
      <c r="D17" s="29">
        <f t="shared" si="0"/>
        <v>68.704545454545041</v>
      </c>
      <c r="E17" s="1">
        <f t="shared" si="2"/>
        <v>4720.3145661156459</v>
      </c>
      <c r="F17" s="1">
        <f t="shared" si="1"/>
        <v>-0.37545454545454859</v>
      </c>
      <c r="G17" s="1">
        <f t="shared" si="2"/>
        <v>0.14096611570248169</v>
      </c>
      <c r="H17" s="8">
        <f t="shared" si="3"/>
        <v>-25.79543388429758</v>
      </c>
    </row>
    <row r="18" spans="1:17" ht="15" thickBot="1" x14ac:dyDescent="0.4">
      <c r="A18" s="21" t="s">
        <v>15</v>
      </c>
      <c r="B18" s="29">
        <v>3879.3</v>
      </c>
      <c r="C18" s="22">
        <v>31.06</v>
      </c>
      <c r="D18" s="29">
        <f t="shared" si="0"/>
        <v>309.90454545454531</v>
      </c>
      <c r="E18" s="1">
        <f t="shared" si="2"/>
        <v>96040.827293388342</v>
      </c>
      <c r="F18" s="1">
        <f t="shared" si="1"/>
        <v>1.404545454545449</v>
      </c>
      <c r="G18" s="1">
        <f t="shared" si="2"/>
        <v>1.9727479338842819</v>
      </c>
      <c r="H18" s="8">
        <f t="shared" si="3"/>
        <v>435.27502066115511</v>
      </c>
    </row>
    <row r="19" spans="1:17" x14ac:dyDescent="0.35">
      <c r="A19" s="21" t="s">
        <v>16</v>
      </c>
      <c r="B19" s="29">
        <v>4502.3999999999996</v>
      </c>
      <c r="C19" s="22">
        <v>35.270000000000003</v>
      </c>
      <c r="D19" s="29">
        <f t="shared" si="0"/>
        <v>933.00454545454477</v>
      </c>
      <c r="E19" s="1">
        <f t="shared" si="2"/>
        <v>870497.48183884169</v>
      </c>
      <c r="F19" s="1">
        <f t="shared" si="1"/>
        <v>5.6145454545454534</v>
      </c>
      <c r="G19" s="1">
        <f t="shared" si="2"/>
        <v>31.523120661157012</v>
      </c>
      <c r="H19" s="8">
        <f t="shared" si="3"/>
        <v>5238.3964297520615</v>
      </c>
      <c r="J19" s="19"/>
      <c r="K19" s="19" t="s">
        <v>39</v>
      </c>
      <c r="L19" s="19" t="s">
        <v>40</v>
      </c>
      <c r="M19" s="9" t="s">
        <v>42</v>
      </c>
      <c r="O19" s="36"/>
      <c r="P19" s="36"/>
      <c r="Q19" s="36"/>
    </row>
    <row r="20" spans="1:17" x14ac:dyDescent="0.35">
      <c r="A20" s="21" t="s">
        <v>17</v>
      </c>
      <c r="B20" s="29">
        <v>3396.9</v>
      </c>
      <c r="C20" s="22">
        <v>27.28</v>
      </c>
      <c r="D20" s="29">
        <f t="shared" si="0"/>
        <v>-172.49545454545478</v>
      </c>
      <c r="E20" s="1">
        <f t="shared" si="2"/>
        <v>29754.681838843055</v>
      </c>
      <c r="F20" s="1">
        <f t="shared" si="1"/>
        <v>-2.3754545454545486</v>
      </c>
      <c r="G20" s="1">
        <f t="shared" si="2"/>
        <v>5.6427842975206763</v>
      </c>
      <c r="H20" s="8">
        <f t="shared" si="3"/>
        <v>409.75511157024903</v>
      </c>
      <c r="J20" s="9" t="s">
        <v>39</v>
      </c>
      <c r="K20" s="9">
        <v>1</v>
      </c>
      <c r="L20" s="9"/>
      <c r="M20" s="9"/>
    </row>
    <row r="21" spans="1:17" ht="15" thickBot="1" x14ac:dyDescent="0.4">
      <c r="A21" s="21" t="s">
        <v>18</v>
      </c>
      <c r="B21" s="29">
        <v>3457.2</v>
      </c>
      <c r="C21" s="22">
        <v>28.72</v>
      </c>
      <c r="D21" s="29">
        <f t="shared" si="0"/>
        <v>-112.19545454545505</v>
      </c>
      <c r="E21" s="1">
        <f t="shared" si="2"/>
        <v>12587.820020661271</v>
      </c>
      <c r="F21" s="1">
        <f t="shared" si="1"/>
        <v>-0.93545454545455087</v>
      </c>
      <c r="G21" s="1">
        <f t="shared" si="2"/>
        <v>0.87507520661158034</v>
      </c>
      <c r="H21" s="8">
        <f t="shared" si="3"/>
        <v>104.95374793388538</v>
      </c>
      <c r="J21" s="20" t="s">
        <v>40</v>
      </c>
      <c r="K21" s="20">
        <v>0.89047008563286978</v>
      </c>
      <c r="L21" s="20">
        <v>1</v>
      </c>
      <c r="M21" s="9"/>
      <c r="O21" s="35"/>
      <c r="P21" s="35"/>
      <c r="Q21" s="35"/>
    </row>
    <row r="22" spans="1:17" x14ac:dyDescent="0.35">
      <c r="A22" s="21" t="s">
        <v>19</v>
      </c>
      <c r="B22" s="29">
        <v>3206</v>
      </c>
      <c r="C22" s="22">
        <v>27.56</v>
      </c>
      <c r="D22" s="29">
        <f t="shared" si="0"/>
        <v>-363.39545454545487</v>
      </c>
      <c r="E22" s="1">
        <f t="shared" si="2"/>
        <v>132056.25638429777</v>
      </c>
      <c r="F22" s="1">
        <f t="shared" si="1"/>
        <v>-2.095454545454551</v>
      </c>
      <c r="G22" s="1">
        <f t="shared" si="2"/>
        <v>4.390929752066139</v>
      </c>
      <c r="H22" s="8">
        <f t="shared" si="3"/>
        <v>761.47865702479612</v>
      </c>
    </row>
    <row r="23" spans="1:17" ht="15" thickBot="1" x14ac:dyDescent="0.4">
      <c r="A23" s="23" t="s">
        <v>20</v>
      </c>
      <c r="B23" s="30">
        <v>3356.7</v>
      </c>
      <c r="C23" s="25">
        <v>28.94</v>
      </c>
      <c r="D23" s="30">
        <f t="shared" si="0"/>
        <v>-212.69545454545505</v>
      </c>
      <c r="E23" s="24">
        <f t="shared" si="2"/>
        <v>45239.356384297738</v>
      </c>
      <c r="F23" s="24">
        <f t="shared" si="1"/>
        <v>-0.71545454545454845</v>
      </c>
      <c r="G23" s="24">
        <f t="shared" si="2"/>
        <v>0.51187520661157448</v>
      </c>
      <c r="H23" s="31">
        <f t="shared" si="3"/>
        <v>152.17392975206712</v>
      </c>
    </row>
    <row r="24" spans="1:17" ht="26.5" customHeight="1" thickBot="1" x14ac:dyDescent="0.4">
      <c r="B24" s="1"/>
      <c r="C24" s="1"/>
      <c r="K24" s="17" t="s">
        <v>21</v>
      </c>
      <c r="L24" s="18" t="s">
        <v>22</v>
      </c>
      <c r="M24" s="9"/>
    </row>
    <row r="25" spans="1:17" x14ac:dyDescent="0.35">
      <c r="A25" t="s">
        <v>23</v>
      </c>
      <c r="B25" s="1">
        <f>SUM(B2:B23)/COUNTA(B2:B23)</f>
        <v>3569.3954545454549</v>
      </c>
      <c r="C25" s="1">
        <f>SUM(C2:C23)/COUNTA(C2:C23)</f>
        <v>29.65545454545455</v>
      </c>
      <c r="K25" s="10">
        <f>AVERAGE(B2:B23)</f>
        <v>3569.3954545454549</v>
      </c>
      <c r="L25" s="11">
        <f>AVERAGE(C2:C23)</f>
        <v>29.65545454545455</v>
      </c>
      <c r="M25" s="9" t="s">
        <v>41</v>
      </c>
    </row>
    <row r="26" spans="1:17" x14ac:dyDescent="0.35">
      <c r="A26" t="s">
        <v>31</v>
      </c>
      <c r="B26" s="5">
        <f>SUM(E2:E23)/(COUNTA(E2:E23)-1)</f>
        <v>96934.789025973965</v>
      </c>
      <c r="C26" s="5">
        <f>SUM(G2:G23)/(COUNTA(G2:G23)-1)</f>
        <v>3.5799497835497864</v>
      </c>
      <c r="K26" s="12">
        <f>_xlfn.VAR.S(B2:B23)</f>
        <v>96934.789025973965</v>
      </c>
      <c r="L26" s="13">
        <f>_xlfn.VAR.S(C2:C23)</f>
        <v>3.5799497835497864</v>
      </c>
      <c r="M26" s="9"/>
    </row>
    <row r="27" spans="1:17" x14ac:dyDescent="0.35">
      <c r="A27" t="s">
        <v>26</v>
      </c>
      <c r="B27" s="5">
        <f>+SQRT(B26)</f>
        <v>311.34352253736381</v>
      </c>
      <c r="C27" s="5">
        <f>+SQRT(C26)</f>
        <v>1.8920755226866042</v>
      </c>
      <c r="K27" s="12">
        <f>_xlfn.STDEV.S(B2:B23)</f>
        <v>311.34352253736381</v>
      </c>
      <c r="L27" s="13">
        <f>_xlfn.STDEV.S(C2:C23)</f>
        <v>1.8920755226866042</v>
      </c>
      <c r="M27" s="9"/>
    </row>
    <row r="28" spans="1:17" x14ac:dyDescent="0.35">
      <c r="A28" t="s">
        <v>27</v>
      </c>
      <c r="B28" s="5">
        <f>(SUM(H2:H23)/(COUNTA(H2:H23)-1))</f>
        <v>524.56297835497844</v>
      </c>
      <c r="K28" s="12">
        <f>_xlfn.COVARIANCE.S(B2:B23,C2:C23)</f>
        <v>524.56297835497844</v>
      </c>
      <c r="L28" s="14"/>
      <c r="M28" s="9"/>
    </row>
    <row r="29" spans="1:17" ht="15" thickBot="1" x14ac:dyDescent="0.4">
      <c r="A29" t="s">
        <v>34</v>
      </c>
      <c r="B29" s="3">
        <f>+B28/(B27*C27)</f>
        <v>0.89047008563286978</v>
      </c>
      <c r="K29" s="15">
        <f>PEARSON(B2:B23,C2:C23)</f>
        <v>0.89047008563286978</v>
      </c>
      <c r="L29" s="16"/>
      <c r="M29" s="9"/>
    </row>
    <row r="30" spans="1:17" x14ac:dyDescent="0.35">
      <c r="B30" t="s">
        <v>35</v>
      </c>
      <c r="C30" t="s">
        <v>90</v>
      </c>
    </row>
    <row r="31" spans="1:17" x14ac:dyDescent="0.35">
      <c r="A31" t="s">
        <v>174</v>
      </c>
      <c r="B31" s="6">
        <f>+B29*SQRT((COUNTA(B2:B23)-2)/(1-B29^2))</f>
        <v>8.7515112090882958</v>
      </c>
      <c r="C31" s="56">
        <f>+_xlfn.T.DIST.2T(B31,(COUNTA(B2:B23)-2))</f>
        <v>2.8338790087382439E-8</v>
      </c>
    </row>
    <row r="32" spans="1:17" x14ac:dyDescent="0.35">
      <c r="B32" s="6"/>
      <c r="C32" s="7"/>
    </row>
    <row r="33" spans="1:2" x14ac:dyDescent="0.35">
      <c r="A33" t="s">
        <v>43</v>
      </c>
      <c r="B33" s="33">
        <v>0.05</v>
      </c>
    </row>
    <row r="34" spans="1:2" x14ac:dyDescent="0.35">
      <c r="A34" t="s">
        <v>36</v>
      </c>
      <c r="B34" s="4">
        <f>-_xlfn.T.INV.2T(+B33/2,(COUNTA(B2:B23)-2))</f>
        <v>-2.4231165398734076</v>
      </c>
    </row>
    <row r="35" spans="1:2" x14ac:dyDescent="0.35">
      <c r="A35" t="s">
        <v>37</v>
      </c>
      <c r="B35" s="4">
        <f>_xlfn.T.INV.2T(+B33/2,(COUNTA(B2:B23)-2))</f>
        <v>2.4231165398734076</v>
      </c>
    </row>
    <row r="36" spans="1:2" x14ac:dyDescent="0.35">
      <c r="A36" t="s">
        <v>25</v>
      </c>
      <c r="B36" s="4">
        <f>+B35-B34</f>
        <v>4.8462330797468152</v>
      </c>
    </row>
    <row r="37" spans="1:2" x14ac:dyDescent="0.35">
      <c r="A37" t="s">
        <v>38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8A943-8AA9-4D62-B5E1-A9848B15CA11}">
  <dimension ref="A2:B12"/>
  <sheetViews>
    <sheetView workbookViewId="0">
      <selection activeCell="B3" sqref="B3"/>
    </sheetView>
  </sheetViews>
  <sheetFormatPr defaultRowHeight="14.5" x14ac:dyDescent="0.35"/>
  <sheetData>
    <row r="2" spans="1:2" x14ac:dyDescent="0.35">
      <c r="A2" t="s">
        <v>115</v>
      </c>
      <c r="B2">
        <v>1</v>
      </c>
    </row>
    <row r="3" spans="1:2" x14ac:dyDescent="0.35">
      <c r="A3" t="s">
        <v>116</v>
      </c>
      <c r="B3">
        <v>2</v>
      </c>
    </row>
    <row r="5" spans="1:2" x14ac:dyDescent="0.35">
      <c r="A5" t="s">
        <v>114</v>
      </c>
      <c r="B5" t="s">
        <v>113</v>
      </c>
    </row>
    <row r="6" spans="1:2" x14ac:dyDescent="0.35">
      <c r="A6">
        <v>0</v>
      </c>
      <c r="B6">
        <f t="shared" ref="B6:B12" si="0">+$B$2+$B$3*A6</f>
        <v>1</v>
      </c>
    </row>
    <row r="7" spans="1:2" x14ac:dyDescent="0.35">
      <c r="A7">
        <v>1</v>
      </c>
      <c r="B7">
        <f t="shared" si="0"/>
        <v>3</v>
      </c>
    </row>
    <row r="8" spans="1:2" x14ac:dyDescent="0.35">
      <c r="A8">
        <v>2</v>
      </c>
      <c r="B8">
        <f t="shared" si="0"/>
        <v>5</v>
      </c>
    </row>
    <row r="9" spans="1:2" x14ac:dyDescent="0.35">
      <c r="A9">
        <v>3</v>
      </c>
      <c r="B9">
        <f t="shared" si="0"/>
        <v>7</v>
      </c>
    </row>
    <row r="10" spans="1:2" x14ac:dyDescent="0.35">
      <c r="A10">
        <v>4</v>
      </c>
      <c r="B10">
        <f t="shared" si="0"/>
        <v>9</v>
      </c>
    </row>
    <row r="11" spans="1:2" x14ac:dyDescent="0.35">
      <c r="A11">
        <v>5</v>
      </c>
      <c r="B11">
        <f t="shared" si="0"/>
        <v>11</v>
      </c>
    </row>
    <row r="12" spans="1:2" x14ac:dyDescent="0.35">
      <c r="A12">
        <v>6</v>
      </c>
      <c r="B12">
        <f t="shared" si="0"/>
        <v>13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04A50-AB48-49B2-A85B-DB0C550E61EC}">
  <dimension ref="A2:M68"/>
  <sheetViews>
    <sheetView workbookViewId="0">
      <selection activeCell="G11" sqref="G11"/>
    </sheetView>
  </sheetViews>
  <sheetFormatPr defaultRowHeight="14.5" x14ac:dyDescent="0.35"/>
  <cols>
    <col min="1" max="1" width="13.08984375" customWidth="1"/>
    <col min="2" max="2" width="11.81640625" bestFit="1" customWidth="1"/>
    <col min="3" max="3" width="17.6328125" customWidth="1"/>
    <col min="4" max="4" width="12.453125" customWidth="1"/>
    <col min="5" max="5" width="12.81640625" customWidth="1"/>
  </cols>
  <sheetData>
    <row r="2" spans="1:10" x14ac:dyDescent="0.35">
      <c r="B2" s="46" t="s">
        <v>125</v>
      </c>
      <c r="C2" s="46" t="s">
        <v>89</v>
      </c>
    </row>
    <row r="3" spans="1:10" ht="43.5" x14ac:dyDescent="0.35">
      <c r="A3" s="59" t="s">
        <v>117</v>
      </c>
      <c r="B3" s="59" t="s">
        <v>119</v>
      </c>
      <c r="C3" s="59" t="s">
        <v>118</v>
      </c>
      <c r="D3" s="59" t="s">
        <v>45</v>
      </c>
      <c r="E3" s="59" t="s">
        <v>48</v>
      </c>
      <c r="F3" s="59" t="s">
        <v>52</v>
      </c>
      <c r="G3" s="59" t="s">
        <v>129</v>
      </c>
      <c r="H3" s="63" t="s">
        <v>128</v>
      </c>
      <c r="I3" s="63" t="s">
        <v>80</v>
      </c>
    </row>
    <row r="4" spans="1:10" x14ac:dyDescent="0.35">
      <c r="A4">
        <v>1</v>
      </c>
      <c r="B4">
        <v>51</v>
      </c>
      <c r="C4">
        <v>74</v>
      </c>
      <c r="D4">
        <f t="shared" ref="D4:D13" si="0">+C4*B4</f>
        <v>3774</v>
      </c>
      <c r="E4">
        <f t="shared" ref="E4:E13" si="1">+B4^2</f>
        <v>2601</v>
      </c>
      <c r="F4" s="57">
        <f t="shared" ref="F4:F13" si="2">+$B$24+$B$25*B4</f>
        <v>61.881184564762158</v>
      </c>
      <c r="G4" s="57">
        <f t="shared" ref="G4:G13" si="3">+C4-F4</f>
        <v>12.118815435237842</v>
      </c>
      <c r="H4" s="57">
        <f>+G4^2</f>
        <v>146.86568755335895</v>
      </c>
      <c r="I4" s="57">
        <f t="shared" ref="I4:I13" si="4">+(C4-$B$21)^2</f>
        <v>6.7599999999999705</v>
      </c>
    </row>
    <row r="5" spans="1:10" x14ac:dyDescent="0.35">
      <c r="A5">
        <v>2</v>
      </c>
      <c r="B5">
        <v>68</v>
      </c>
      <c r="C5">
        <v>70</v>
      </c>
      <c r="D5">
        <f t="shared" si="0"/>
        <v>4760</v>
      </c>
      <c r="E5">
        <f t="shared" si="1"/>
        <v>4624</v>
      </c>
      <c r="F5" s="57">
        <f t="shared" si="2"/>
        <v>74.71297238009771</v>
      </c>
      <c r="G5" s="57">
        <f t="shared" si="3"/>
        <v>-4.7129723800977104</v>
      </c>
      <c r="H5" s="57">
        <f t="shared" ref="H5:H13" si="5">+G5^2</f>
        <v>22.212108655563878</v>
      </c>
      <c r="I5" s="57">
        <f t="shared" si="4"/>
        <v>43.559999999999924</v>
      </c>
    </row>
    <row r="6" spans="1:10" x14ac:dyDescent="0.35">
      <c r="A6">
        <v>3</v>
      </c>
      <c r="B6">
        <v>97</v>
      </c>
      <c r="C6">
        <v>93</v>
      </c>
      <c r="D6">
        <f t="shared" si="0"/>
        <v>9021</v>
      </c>
      <c r="E6">
        <f t="shared" si="1"/>
        <v>9409</v>
      </c>
      <c r="F6" s="57">
        <f t="shared" si="2"/>
        <v>96.602492770964233</v>
      </c>
      <c r="G6" s="57">
        <f t="shared" si="3"/>
        <v>-3.6024927709642327</v>
      </c>
      <c r="H6" s="57">
        <f t="shared" si="5"/>
        <v>12.977954164849555</v>
      </c>
      <c r="I6" s="57">
        <f t="shared" si="4"/>
        <v>268.96000000000021</v>
      </c>
    </row>
    <row r="7" spans="1:10" x14ac:dyDescent="0.35">
      <c r="A7">
        <v>4</v>
      </c>
      <c r="B7">
        <v>55</v>
      </c>
      <c r="C7">
        <v>67</v>
      </c>
      <c r="D7">
        <f t="shared" si="0"/>
        <v>3685</v>
      </c>
      <c r="E7">
        <f t="shared" si="1"/>
        <v>3025</v>
      </c>
      <c r="F7" s="57">
        <f t="shared" si="2"/>
        <v>64.900428756605805</v>
      </c>
      <c r="G7" s="57">
        <f t="shared" si="3"/>
        <v>2.0995712433941947</v>
      </c>
      <c r="H7" s="57">
        <f t="shared" si="5"/>
        <v>4.4081994060878449</v>
      </c>
      <c r="I7" s="57">
        <f t="shared" si="4"/>
        <v>92.159999999999897</v>
      </c>
    </row>
    <row r="8" spans="1:10" x14ac:dyDescent="0.35">
      <c r="A8">
        <v>5</v>
      </c>
      <c r="B8">
        <v>95</v>
      </c>
      <c r="C8">
        <v>99</v>
      </c>
      <c r="D8">
        <f t="shared" si="0"/>
        <v>9405</v>
      </c>
      <c r="E8">
        <f t="shared" si="1"/>
        <v>9025</v>
      </c>
      <c r="F8" s="57">
        <f t="shared" si="2"/>
        <v>95.092870675042406</v>
      </c>
      <c r="G8" s="57">
        <f t="shared" si="3"/>
        <v>3.9071293249575945</v>
      </c>
      <c r="H8" s="57">
        <f t="shared" si="5"/>
        <v>15.265659561943588</v>
      </c>
      <c r="I8" s="57">
        <f t="shared" si="4"/>
        <v>501.76000000000028</v>
      </c>
    </row>
    <row r="9" spans="1:10" x14ac:dyDescent="0.35">
      <c r="A9">
        <v>6</v>
      </c>
      <c r="B9">
        <v>74</v>
      </c>
      <c r="C9">
        <v>73</v>
      </c>
      <c r="D9">
        <f t="shared" si="0"/>
        <v>5402</v>
      </c>
      <c r="E9">
        <f t="shared" si="1"/>
        <v>5476</v>
      </c>
      <c r="F9" s="57">
        <f t="shared" si="2"/>
        <v>79.241838667863192</v>
      </c>
      <c r="G9" s="57">
        <f t="shared" si="3"/>
        <v>-6.2418386678631919</v>
      </c>
      <c r="H9" s="57">
        <f t="shared" si="5"/>
        <v>38.960549955632146</v>
      </c>
      <c r="I9" s="57">
        <f t="shared" si="4"/>
        <v>12.959999999999958</v>
      </c>
    </row>
    <row r="10" spans="1:10" x14ac:dyDescent="0.35">
      <c r="A10">
        <v>7</v>
      </c>
      <c r="B10">
        <v>20</v>
      </c>
      <c r="C10">
        <v>33</v>
      </c>
      <c r="D10">
        <f t="shared" si="0"/>
        <v>660</v>
      </c>
      <c r="E10">
        <f t="shared" si="1"/>
        <v>400</v>
      </c>
      <c r="F10" s="57">
        <f t="shared" si="2"/>
        <v>38.482042077973801</v>
      </c>
      <c r="G10" s="57">
        <f t="shared" si="3"/>
        <v>-5.4820420779738015</v>
      </c>
      <c r="H10" s="57">
        <f t="shared" si="5"/>
        <v>30.052785344675314</v>
      </c>
      <c r="I10" s="57">
        <f t="shared" si="4"/>
        <v>1900.9599999999996</v>
      </c>
    </row>
    <row r="11" spans="1:10" x14ac:dyDescent="0.35">
      <c r="A11">
        <v>8</v>
      </c>
      <c r="B11">
        <v>91</v>
      </c>
      <c r="C11">
        <v>91</v>
      </c>
      <c r="D11">
        <f t="shared" si="0"/>
        <v>8281</v>
      </c>
      <c r="E11">
        <f t="shared" si="1"/>
        <v>8281</v>
      </c>
      <c r="F11" s="57">
        <f t="shared" si="2"/>
        <v>92.073626483198751</v>
      </c>
      <c r="G11" s="57">
        <f t="shared" si="3"/>
        <v>-1.0736264831987512</v>
      </c>
      <c r="H11" s="57">
        <f t="shared" si="5"/>
        <v>1.1526738254257185</v>
      </c>
      <c r="I11" s="57">
        <f t="shared" si="4"/>
        <v>207.36000000000016</v>
      </c>
    </row>
    <row r="12" spans="1:10" x14ac:dyDescent="0.35">
      <c r="A12">
        <v>9</v>
      </c>
      <c r="B12">
        <v>74</v>
      </c>
      <c r="C12">
        <v>80</v>
      </c>
      <c r="D12">
        <f t="shared" si="0"/>
        <v>5920</v>
      </c>
      <c r="E12">
        <f t="shared" si="1"/>
        <v>5476</v>
      </c>
      <c r="F12" s="57">
        <f t="shared" si="2"/>
        <v>79.241838667863192</v>
      </c>
      <c r="G12" s="57">
        <f t="shared" si="3"/>
        <v>0.75816133213680814</v>
      </c>
      <c r="H12" s="57">
        <f t="shared" si="5"/>
        <v>0.57480860554745949</v>
      </c>
      <c r="I12" s="57">
        <f t="shared" si="4"/>
        <v>11.560000000000038</v>
      </c>
    </row>
    <row r="13" spans="1:10" x14ac:dyDescent="0.35">
      <c r="A13">
        <v>10</v>
      </c>
      <c r="B13">
        <v>80</v>
      </c>
      <c r="C13">
        <v>86</v>
      </c>
      <c r="D13">
        <f t="shared" si="0"/>
        <v>6880</v>
      </c>
      <c r="E13">
        <f t="shared" si="1"/>
        <v>6400</v>
      </c>
      <c r="F13" s="57">
        <f t="shared" si="2"/>
        <v>83.770704955628688</v>
      </c>
      <c r="G13" s="57">
        <f t="shared" si="3"/>
        <v>2.2292950443713124</v>
      </c>
      <c r="H13" s="57">
        <f t="shared" si="5"/>
        <v>4.969756394858492</v>
      </c>
      <c r="I13" s="57">
        <f t="shared" si="4"/>
        <v>88.360000000000113</v>
      </c>
    </row>
    <row r="14" spans="1:10" x14ac:dyDescent="0.35">
      <c r="A14" s="46" t="s">
        <v>122</v>
      </c>
      <c r="B14" s="46">
        <f t="shared" ref="B14:I14" si="6">+SUM(B4:B13)</f>
        <v>705</v>
      </c>
      <c r="C14" s="46">
        <f t="shared" si="6"/>
        <v>766</v>
      </c>
      <c r="D14" s="46">
        <f t="shared" si="6"/>
        <v>57788</v>
      </c>
      <c r="E14" s="46">
        <f t="shared" si="6"/>
        <v>54717</v>
      </c>
      <c r="F14" s="46">
        <f t="shared" si="6"/>
        <v>765.99999999999989</v>
      </c>
      <c r="G14" s="61">
        <f t="shared" si="6"/>
        <v>6.3948846218409017E-14</v>
      </c>
      <c r="H14" s="61">
        <f t="shared" si="6"/>
        <v>277.44018346794297</v>
      </c>
      <c r="I14" s="61">
        <f t="shared" si="6"/>
        <v>3134.4</v>
      </c>
    </row>
    <row r="15" spans="1:10" x14ac:dyDescent="0.35">
      <c r="A15" s="46" t="s">
        <v>130</v>
      </c>
      <c r="B15" s="46"/>
      <c r="C15" s="46"/>
      <c r="E15" s="46"/>
      <c r="F15" s="46"/>
      <c r="G15" s="46"/>
      <c r="H15" s="61"/>
      <c r="I15" s="61"/>
      <c r="J15" s="61"/>
    </row>
    <row r="16" spans="1:10" x14ac:dyDescent="0.35">
      <c r="A16" s="46">
        <v>11</v>
      </c>
      <c r="B16" s="46"/>
      <c r="C16">
        <v>100</v>
      </c>
      <c r="E16" s="46"/>
      <c r="F16" s="46"/>
      <c r="G16" s="57">
        <f>+$B$24+$B$25*C16</f>
        <v>98.866925914846988</v>
      </c>
      <c r="H16" s="61"/>
      <c r="I16" s="61"/>
      <c r="J16" s="61"/>
    </row>
    <row r="17" spans="1:10" x14ac:dyDescent="0.35">
      <c r="A17" s="46">
        <v>12</v>
      </c>
      <c r="B17" s="46"/>
      <c r="C17">
        <v>110</v>
      </c>
      <c r="E17" s="46"/>
      <c r="F17" s="46"/>
      <c r="G17" s="57">
        <f>+$B$24+$B$25*C17</f>
        <v>106.41503639445612</v>
      </c>
      <c r="H17" s="61"/>
      <c r="I17" s="61"/>
      <c r="J17" s="61"/>
    </row>
    <row r="18" spans="1:10" x14ac:dyDescent="0.35">
      <c r="A18" s="46">
        <v>13</v>
      </c>
      <c r="C18">
        <v>120</v>
      </c>
      <c r="G18" s="57">
        <f>+$B$24+$B$25*C18</f>
        <v>113.96314687406527</v>
      </c>
    </row>
    <row r="19" spans="1:10" x14ac:dyDescent="0.35">
      <c r="A19" s="46"/>
    </row>
    <row r="20" spans="1:10" x14ac:dyDescent="0.35">
      <c r="A20" t="s">
        <v>124</v>
      </c>
      <c r="B20">
        <v>10</v>
      </c>
      <c r="E20" t="s">
        <v>57</v>
      </c>
    </row>
    <row r="21" spans="1:10" ht="15" thickBot="1" x14ac:dyDescent="0.4">
      <c r="A21" t="s">
        <v>121</v>
      </c>
      <c r="B21">
        <f>+C14/B20</f>
        <v>76.599999999999994</v>
      </c>
    </row>
    <row r="22" spans="1:10" x14ac:dyDescent="0.35">
      <c r="A22" t="s">
        <v>120</v>
      </c>
      <c r="B22">
        <f>+B14/B20</f>
        <v>70.5</v>
      </c>
      <c r="D22" s="37" t="s">
        <v>58</v>
      </c>
      <c r="E22" s="37"/>
    </row>
    <row r="23" spans="1:10" x14ac:dyDescent="0.35">
      <c r="D23" t="s">
        <v>59</v>
      </c>
      <c r="E23">
        <v>0.95471744156448213</v>
      </c>
    </row>
    <row r="24" spans="1:10" x14ac:dyDescent="0.35">
      <c r="A24" t="s">
        <v>126</v>
      </c>
      <c r="B24">
        <f>+B21-B25*B22</f>
        <v>23.385821118755501</v>
      </c>
      <c r="D24" s="46" t="s">
        <v>60</v>
      </c>
      <c r="E24" s="46">
        <v>0.91148539322743027</v>
      </c>
    </row>
    <row r="25" spans="1:10" x14ac:dyDescent="0.35">
      <c r="A25" t="s">
        <v>123</v>
      </c>
      <c r="B25">
        <f>+(D14-B20*B22*B21)/(E14-B20*(B22^2))</f>
        <v>0.7548110479609148</v>
      </c>
      <c r="D25" t="s">
        <v>61</v>
      </c>
      <c r="E25">
        <v>0.90042106738085903</v>
      </c>
    </row>
    <row r="26" spans="1:10" x14ac:dyDescent="0.35">
      <c r="D26" t="s">
        <v>62</v>
      </c>
      <c r="E26">
        <v>5.8889746928894873</v>
      </c>
    </row>
    <row r="27" spans="1:10" ht="15" thickBot="1" x14ac:dyDescent="0.4">
      <c r="A27" t="s">
        <v>127</v>
      </c>
      <c r="B27">
        <f>1-H14/I14</f>
        <v>0.91148539322743016</v>
      </c>
      <c r="D27" s="35" t="s">
        <v>63</v>
      </c>
      <c r="E27" s="35">
        <v>10</v>
      </c>
    </row>
    <row r="29" spans="1:10" ht="15" thickBot="1" x14ac:dyDescent="0.4">
      <c r="D29" t="s">
        <v>64</v>
      </c>
    </row>
    <row r="30" spans="1:10" x14ac:dyDescent="0.35">
      <c r="D30" s="36"/>
      <c r="E30" s="36" t="s">
        <v>44</v>
      </c>
      <c r="F30" s="36" t="s">
        <v>68</v>
      </c>
      <c r="G30" s="36" t="s">
        <v>69</v>
      </c>
      <c r="H30" s="36" t="s">
        <v>70</v>
      </c>
      <c r="I30" s="36" t="s">
        <v>71</v>
      </c>
    </row>
    <row r="31" spans="1:10" x14ac:dyDescent="0.35">
      <c r="D31" t="s">
        <v>65</v>
      </c>
      <c r="E31">
        <v>1</v>
      </c>
      <c r="F31">
        <v>2856.9598165320576</v>
      </c>
      <c r="G31">
        <v>2856.9598165320576</v>
      </c>
      <c r="H31">
        <v>82.380563069723323</v>
      </c>
      <c r="I31">
        <v>1.7414254179552141E-5</v>
      </c>
    </row>
    <row r="32" spans="1:10" x14ac:dyDescent="0.35">
      <c r="D32" t="s">
        <v>66</v>
      </c>
      <c r="E32">
        <v>8</v>
      </c>
      <c r="F32">
        <v>277.44018346794269</v>
      </c>
      <c r="G32">
        <v>34.680022933492836</v>
      </c>
    </row>
    <row r="33" spans="4:13" ht="15" thickBot="1" x14ac:dyDescent="0.4">
      <c r="D33" s="35" t="s">
        <v>46</v>
      </c>
      <c r="E33" s="35">
        <v>9</v>
      </c>
      <c r="F33" s="35">
        <v>3134.4000000000005</v>
      </c>
      <c r="G33" s="35"/>
      <c r="H33" s="35"/>
      <c r="I33" s="35"/>
    </row>
    <row r="34" spans="4:13" ht="15" thickBot="1" x14ac:dyDescent="0.4"/>
    <row r="35" spans="4:13" x14ac:dyDescent="0.35">
      <c r="D35" s="65"/>
      <c r="E35" s="65" t="s">
        <v>72</v>
      </c>
      <c r="F35" s="36" t="s">
        <v>62</v>
      </c>
      <c r="G35" s="36" t="s">
        <v>73</v>
      </c>
      <c r="H35" s="36" t="s">
        <v>74</v>
      </c>
      <c r="I35" s="36" t="s">
        <v>75</v>
      </c>
      <c r="J35" s="36" t="s">
        <v>76</v>
      </c>
      <c r="K35" s="36" t="s">
        <v>77</v>
      </c>
      <c r="L35" s="36" t="s">
        <v>78</v>
      </c>
      <c r="M35" s="36"/>
    </row>
    <row r="36" spans="4:13" x14ac:dyDescent="0.35">
      <c r="D36" s="46" t="s">
        <v>67</v>
      </c>
      <c r="E36" s="46">
        <v>23.385821118755594</v>
      </c>
      <c r="F36">
        <v>6.1515847155794736</v>
      </c>
      <c r="G36">
        <v>3.8015929553126004</v>
      </c>
      <c r="H36">
        <v>5.2247943576558282E-3</v>
      </c>
      <c r="I36">
        <v>9.2002413265705769</v>
      </c>
      <c r="J36">
        <v>37.571400910940611</v>
      </c>
      <c r="K36">
        <v>9.2002413265705769</v>
      </c>
      <c r="L36">
        <v>37.571400910940611</v>
      </c>
    </row>
    <row r="37" spans="4:13" ht="15" thickBot="1" x14ac:dyDescent="0.4">
      <c r="D37" s="66" t="s">
        <v>79</v>
      </c>
      <c r="E37" s="66">
        <v>0.75481104796091347</v>
      </c>
      <c r="F37" s="35">
        <v>8.3162180926925261E-2</v>
      </c>
      <c r="G37" s="35">
        <v>9.0763738943326544</v>
      </c>
      <c r="H37" s="35">
        <v>1.7414254179552172E-5</v>
      </c>
      <c r="I37" s="35">
        <v>0.56303871485082668</v>
      </c>
      <c r="J37" s="35">
        <v>0.94658338107100026</v>
      </c>
      <c r="K37" s="35">
        <v>0.56303871485082668</v>
      </c>
      <c r="L37" s="35">
        <v>0.94658338107100026</v>
      </c>
      <c r="M37" s="35"/>
    </row>
    <row r="55" spans="1:3" ht="29" x14ac:dyDescent="0.35">
      <c r="B55" s="59" t="s">
        <v>118</v>
      </c>
      <c r="C55" s="59" t="s">
        <v>52</v>
      </c>
    </row>
    <row r="56" spans="1:3" x14ac:dyDescent="0.35">
      <c r="A56">
        <v>1</v>
      </c>
      <c r="B56">
        <f t="shared" ref="B56:B65" si="7">+C4</f>
        <v>74</v>
      </c>
      <c r="C56" s="57">
        <f t="shared" ref="C56:C65" si="8">+F4</f>
        <v>61.881184564762158</v>
      </c>
    </row>
    <row r="57" spans="1:3" x14ac:dyDescent="0.35">
      <c r="A57">
        <v>2</v>
      </c>
      <c r="B57">
        <f t="shared" si="7"/>
        <v>70</v>
      </c>
      <c r="C57" s="57">
        <f t="shared" si="8"/>
        <v>74.71297238009771</v>
      </c>
    </row>
    <row r="58" spans="1:3" x14ac:dyDescent="0.35">
      <c r="A58">
        <v>3</v>
      </c>
      <c r="B58">
        <f t="shared" si="7"/>
        <v>93</v>
      </c>
      <c r="C58" s="57">
        <f t="shared" si="8"/>
        <v>96.602492770964233</v>
      </c>
    </row>
    <row r="59" spans="1:3" x14ac:dyDescent="0.35">
      <c r="A59">
        <v>4</v>
      </c>
      <c r="B59">
        <f t="shared" si="7"/>
        <v>67</v>
      </c>
      <c r="C59" s="57">
        <f t="shared" si="8"/>
        <v>64.900428756605805</v>
      </c>
    </row>
    <row r="60" spans="1:3" x14ac:dyDescent="0.35">
      <c r="A60">
        <v>5</v>
      </c>
      <c r="B60">
        <f t="shared" si="7"/>
        <v>99</v>
      </c>
      <c r="C60" s="57">
        <f t="shared" si="8"/>
        <v>95.092870675042406</v>
      </c>
    </row>
    <row r="61" spans="1:3" x14ac:dyDescent="0.35">
      <c r="A61">
        <v>6</v>
      </c>
      <c r="B61">
        <f t="shared" si="7"/>
        <v>73</v>
      </c>
      <c r="C61" s="57">
        <f t="shared" si="8"/>
        <v>79.241838667863192</v>
      </c>
    </row>
    <row r="62" spans="1:3" x14ac:dyDescent="0.35">
      <c r="A62">
        <v>7</v>
      </c>
      <c r="B62">
        <f t="shared" si="7"/>
        <v>33</v>
      </c>
      <c r="C62" s="57">
        <f t="shared" si="8"/>
        <v>38.482042077973801</v>
      </c>
    </row>
    <row r="63" spans="1:3" x14ac:dyDescent="0.35">
      <c r="A63">
        <v>8</v>
      </c>
      <c r="B63">
        <f t="shared" si="7"/>
        <v>91</v>
      </c>
      <c r="C63" s="57">
        <f t="shared" si="8"/>
        <v>92.073626483198751</v>
      </c>
    </row>
    <row r="64" spans="1:3" x14ac:dyDescent="0.35">
      <c r="A64">
        <v>9</v>
      </c>
      <c r="B64">
        <f t="shared" si="7"/>
        <v>80</v>
      </c>
      <c r="C64" s="57">
        <f t="shared" si="8"/>
        <v>79.241838667863192</v>
      </c>
    </row>
    <row r="65" spans="1:3" x14ac:dyDescent="0.35">
      <c r="A65">
        <v>10</v>
      </c>
      <c r="B65">
        <f t="shared" si="7"/>
        <v>86</v>
      </c>
      <c r="C65" s="57">
        <f t="shared" si="8"/>
        <v>83.770704955628688</v>
      </c>
    </row>
    <row r="66" spans="1:3" x14ac:dyDescent="0.35">
      <c r="A66">
        <v>11</v>
      </c>
      <c r="C66" s="57">
        <f>+G16</f>
        <v>98.866925914846988</v>
      </c>
    </row>
    <row r="67" spans="1:3" x14ac:dyDescent="0.35">
      <c r="A67">
        <v>12</v>
      </c>
      <c r="C67" s="57">
        <f>+G17</f>
        <v>106.41503639445612</v>
      </c>
    </row>
    <row r="68" spans="1:3" x14ac:dyDescent="0.35">
      <c r="A68">
        <v>13</v>
      </c>
      <c r="C68" s="57">
        <f>+G18</f>
        <v>113.96314687406527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19BEA-2367-432C-82A1-729BF89B4C4C}">
  <dimension ref="A1:Q40"/>
  <sheetViews>
    <sheetView workbookViewId="0">
      <selection activeCell="H5" sqref="H5"/>
    </sheetView>
  </sheetViews>
  <sheetFormatPr defaultRowHeight="14.5" x14ac:dyDescent="0.35"/>
  <cols>
    <col min="1" max="1" width="8.7265625" customWidth="1"/>
    <col min="2" max="2" width="13.54296875" style="40" customWidth="1"/>
    <col min="3" max="3" width="13.90625" style="40" customWidth="1"/>
    <col min="4" max="4" width="12.6328125" customWidth="1"/>
    <col min="6" max="6" width="12.26953125" customWidth="1"/>
    <col min="10" max="10" width="8.1796875" customWidth="1"/>
    <col min="11" max="11" width="10.6328125" customWidth="1"/>
    <col min="12" max="12" width="10.81640625" bestFit="1" customWidth="1"/>
  </cols>
  <sheetData>
    <row r="1" spans="1:12" x14ac:dyDescent="0.35">
      <c r="A1" s="81" t="s">
        <v>131</v>
      </c>
      <c r="B1" s="82"/>
      <c r="C1" s="82"/>
      <c r="D1" s="82"/>
      <c r="E1" s="82"/>
      <c r="F1" s="82"/>
    </row>
    <row r="2" spans="1:12" x14ac:dyDescent="0.35">
      <c r="K2" s="62" t="s">
        <v>134</v>
      </c>
    </row>
    <row r="3" spans="1:12" ht="15" thickBot="1" x14ac:dyDescent="0.4"/>
    <row r="4" spans="1:12" ht="44" thickBot="1" x14ac:dyDescent="0.4">
      <c r="B4" s="42" t="s">
        <v>81</v>
      </c>
      <c r="C4" s="43" t="s">
        <v>132</v>
      </c>
      <c r="D4" s="43" t="s">
        <v>45</v>
      </c>
      <c r="E4" s="43" t="s">
        <v>48</v>
      </c>
      <c r="F4" s="43" t="s">
        <v>52</v>
      </c>
      <c r="G4" s="43" t="s">
        <v>53</v>
      </c>
      <c r="H4" s="43" t="s">
        <v>54</v>
      </c>
      <c r="I4" s="44" t="s">
        <v>80</v>
      </c>
      <c r="J4" s="34"/>
    </row>
    <row r="5" spans="1:12" x14ac:dyDescent="0.35">
      <c r="B5" s="47">
        <v>1</v>
      </c>
      <c r="C5" s="40">
        <v>12</v>
      </c>
      <c r="D5">
        <f>+B5*C5</f>
        <v>12</v>
      </c>
      <c r="E5">
        <f>+B5^2</f>
        <v>1</v>
      </c>
      <c r="F5" s="1">
        <f t="shared" ref="F5:F10" si="0">+$L$6+$L$5*B5</f>
        <v>14</v>
      </c>
      <c r="G5" s="1">
        <f>+C5-F5</f>
        <v>-2</v>
      </c>
      <c r="H5" s="1">
        <f>+G5^2</f>
        <v>4</v>
      </c>
      <c r="I5" s="22">
        <f t="shared" ref="I5:I10" si="1">+(C5-$L$11)^2</f>
        <v>324</v>
      </c>
      <c r="J5" s="1"/>
      <c r="K5" s="46" t="s">
        <v>49</v>
      </c>
      <c r="L5" s="53">
        <f>+(D11-L9*L10*L11)/(E11-L9*L10^2)</f>
        <v>8</v>
      </c>
    </row>
    <row r="6" spans="1:12" x14ac:dyDescent="0.35">
      <c r="B6" s="47">
        <v>1</v>
      </c>
      <c r="C6" s="40">
        <v>15</v>
      </c>
      <c r="D6">
        <f t="shared" ref="D6:D10" si="2">+B6*C6</f>
        <v>15</v>
      </c>
      <c r="E6">
        <f t="shared" ref="E6:E10" si="3">+B6^2</f>
        <v>1</v>
      </c>
      <c r="F6" s="1">
        <f t="shared" si="0"/>
        <v>14</v>
      </c>
      <c r="G6" s="1">
        <f t="shared" ref="G6:G10" si="4">+C6-F6</f>
        <v>1</v>
      </c>
      <c r="H6" s="1">
        <f t="shared" ref="H6:H10" si="5">+G6^2</f>
        <v>1</v>
      </c>
      <c r="I6" s="22">
        <f t="shared" si="1"/>
        <v>225</v>
      </c>
      <c r="J6" s="1"/>
      <c r="K6" s="46" t="s">
        <v>50</v>
      </c>
      <c r="L6" s="53">
        <f>+L11-L5*L10</f>
        <v>6</v>
      </c>
    </row>
    <row r="7" spans="1:12" x14ac:dyDescent="0.35">
      <c r="B7" s="47">
        <v>2</v>
      </c>
      <c r="C7" s="40">
        <v>25</v>
      </c>
      <c r="D7">
        <f t="shared" si="2"/>
        <v>50</v>
      </c>
      <c r="E7">
        <f t="shared" si="3"/>
        <v>4</v>
      </c>
      <c r="F7" s="1">
        <f t="shared" si="0"/>
        <v>22</v>
      </c>
      <c r="G7" s="1">
        <f t="shared" si="4"/>
        <v>3</v>
      </c>
      <c r="H7" s="1">
        <f t="shared" si="5"/>
        <v>9</v>
      </c>
      <c r="I7" s="22">
        <f t="shared" si="1"/>
        <v>25</v>
      </c>
      <c r="J7" s="1"/>
      <c r="K7" s="54" t="s">
        <v>24</v>
      </c>
      <c r="L7" s="55">
        <v>0.05</v>
      </c>
    </row>
    <row r="8" spans="1:12" x14ac:dyDescent="0.35">
      <c r="B8" s="47">
        <v>3</v>
      </c>
      <c r="C8" s="40">
        <v>28</v>
      </c>
      <c r="D8">
        <f t="shared" si="2"/>
        <v>84</v>
      </c>
      <c r="E8">
        <f t="shared" si="3"/>
        <v>9</v>
      </c>
      <c r="F8" s="1">
        <f t="shared" si="0"/>
        <v>30</v>
      </c>
      <c r="G8" s="1">
        <f t="shared" si="4"/>
        <v>-2</v>
      </c>
      <c r="H8" s="1">
        <f t="shared" si="5"/>
        <v>4</v>
      </c>
      <c r="I8" s="22">
        <f t="shared" si="1"/>
        <v>4</v>
      </c>
      <c r="J8" s="1"/>
      <c r="K8" s="54" t="s">
        <v>133</v>
      </c>
      <c r="L8" s="55">
        <f>+L9-2</f>
        <v>4</v>
      </c>
    </row>
    <row r="9" spans="1:12" x14ac:dyDescent="0.35">
      <c r="B9" s="47">
        <v>5</v>
      </c>
      <c r="C9" s="40">
        <v>45</v>
      </c>
      <c r="D9">
        <f t="shared" si="2"/>
        <v>225</v>
      </c>
      <c r="E9">
        <f t="shared" si="3"/>
        <v>25</v>
      </c>
      <c r="F9" s="1">
        <f t="shared" si="0"/>
        <v>46</v>
      </c>
      <c r="G9" s="1">
        <f t="shared" si="4"/>
        <v>-1</v>
      </c>
      <c r="H9" s="1">
        <f t="shared" si="5"/>
        <v>1</v>
      </c>
      <c r="I9" s="22">
        <f t="shared" si="1"/>
        <v>225</v>
      </c>
      <c r="J9" s="1"/>
      <c r="K9" s="54" t="s">
        <v>47</v>
      </c>
      <c r="L9" s="55">
        <v>6</v>
      </c>
    </row>
    <row r="10" spans="1:12" ht="15" thickBot="1" x14ac:dyDescent="0.4">
      <c r="B10" s="47">
        <v>6</v>
      </c>
      <c r="C10" s="40">
        <v>55</v>
      </c>
      <c r="D10">
        <f t="shared" si="2"/>
        <v>330</v>
      </c>
      <c r="E10">
        <f t="shared" si="3"/>
        <v>36</v>
      </c>
      <c r="F10" s="1">
        <f t="shared" si="0"/>
        <v>54</v>
      </c>
      <c r="G10" s="1">
        <f t="shared" si="4"/>
        <v>1</v>
      </c>
      <c r="H10" s="1">
        <f t="shared" si="5"/>
        <v>1</v>
      </c>
      <c r="I10" s="22">
        <f t="shared" si="1"/>
        <v>625</v>
      </c>
      <c r="J10" s="1"/>
      <c r="K10" t="s">
        <v>82</v>
      </c>
      <c r="L10" s="6">
        <f>+B11/L9</f>
        <v>3</v>
      </c>
    </row>
    <row r="11" spans="1:12" ht="15" thickBot="1" x14ac:dyDescent="0.4">
      <c r="A11" s="45" t="s">
        <v>46</v>
      </c>
      <c r="B11" s="48">
        <f t="shared" ref="B11:I11" si="6">SUM(B5:B10)</f>
        <v>18</v>
      </c>
      <c r="C11" s="49">
        <f t="shared" si="6"/>
        <v>180</v>
      </c>
      <c r="D11" s="50">
        <f t="shared" si="6"/>
        <v>716</v>
      </c>
      <c r="E11" s="50">
        <f t="shared" si="6"/>
        <v>76</v>
      </c>
      <c r="F11" s="50">
        <f t="shared" si="6"/>
        <v>180</v>
      </c>
      <c r="G11" s="51">
        <f t="shared" si="6"/>
        <v>0</v>
      </c>
      <c r="H11" s="51">
        <f t="shared" si="6"/>
        <v>20</v>
      </c>
      <c r="I11" s="52">
        <f t="shared" si="6"/>
        <v>1428</v>
      </c>
      <c r="K11" t="s">
        <v>83</v>
      </c>
      <c r="L11" s="6">
        <f>+C11/L9</f>
        <v>30</v>
      </c>
    </row>
    <row r="12" spans="1:12" x14ac:dyDescent="0.35">
      <c r="A12" s="39"/>
      <c r="J12" s="1"/>
    </row>
    <row r="13" spans="1:12" x14ac:dyDescent="0.35">
      <c r="A13" s="39"/>
      <c r="K13" t="s">
        <v>51</v>
      </c>
      <c r="L13" s="3">
        <f>SQRT(H11/(L8))</f>
        <v>2.2360679774997898</v>
      </c>
    </row>
    <row r="14" spans="1:12" x14ac:dyDescent="0.35">
      <c r="K14" t="s">
        <v>55</v>
      </c>
      <c r="L14" s="3">
        <f>_xlfn.T.INV.2T(L7,L8)</f>
        <v>2.7764451051977934</v>
      </c>
    </row>
    <row r="15" spans="1:12" x14ac:dyDescent="0.35">
      <c r="K15" t="s">
        <v>56</v>
      </c>
      <c r="L15" s="64">
        <f>1-H11/I11</f>
        <v>0.98599439775910369</v>
      </c>
    </row>
    <row r="16" spans="1:12" x14ac:dyDescent="0.35">
      <c r="J16" s="3">
        <f>+L5-L14*L13*SQRT(1/(E11-L9*L10^2))</f>
        <v>6.6763817305499309</v>
      </c>
      <c r="K16" t="s">
        <v>136</v>
      </c>
      <c r="L16" s="3">
        <f>+L5+L14*L13*SQRT(1/(E11-L9*L10^2))</f>
        <v>9.3236182694500691</v>
      </c>
    </row>
    <row r="17" spans="1:17" x14ac:dyDescent="0.35">
      <c r="K17" s="3"/>
    </row>
    <row r="19" spans="1:17" x14ac:dyDescent="0.35">
      <c r="H19" s="3"/>
      <c r="I19" s="3"/>
      <c r="J19" s="3"/>
    </row>
    <row r="21" spans="1:17" ht="45" customHeight="1" x14ac:dyDescent="0.4">
      <c r="O21" s="83" t="s">
        <v>135</v>
      </c>
      <c r="P21" s="84"/>
      <c r="Q21" s="84"/>
    </row>
    <row r="23" spans="1:17" x14ac:dyDescent="0.35">
      <c r="A23" t="s">
        <v>57</v>
      </c>
    </row>
    <row r="24" spans="1:17" ht="15" thickBot="1" x14ac:dyDescent="0.4"/>
    <row r="25" spans="1:17" x14ac:dyDescent="0.35">
      <c r="A25" s="37" t="s">
        <v>58</v>
      </c>
      <c r="B25" s="36"/>
    </row>
    <row r="26" spans="1:17" x14ac:dyDescent="0.35">
      <c r="A26" t="s">
        <v>59</v>
      </c>
      <c r="B26" s="40">
        <v>0.9929725060439003</v>
      </c>
    </row>
    <row r="27" spans="1:17" x14ac:dyDescent="0.35">
      <c r="A27" t="s">
        <v>60</v>
      </c>
      <c r="B27" s="40">
        <v>0.98599439775910369</v>
      </c>
      <c r="K27" t="s">
        <v>137</v>
      </c>
      <c r="L27">
        <f>+L13*SQRT(1/(E11-L9*L10^2))</f>
        <v>0.47673129462279618</v>
      </c>
    </row>
    <row r="28" spans="1:17" x14ac:dyDescent="0.35">
      <c r="A28" t="s">
        <v>61</v>
      </c>
      <c r="B28" s="40">
        <v>0.98249299719887961</v>
      </c>
      <c r="K28" t="s">
        <v>138</v>
      </c>
      <c r="L28">
        <f>+L5/L27</f>
        <v>16.780941570722423</v>
      </c>
      <c r="M28" t="s">
        <v>139</v>
      </c>
      <c r="N28" s="3">
        <f>+L14</f>
        <v>2.7764451051977934</v>
      </c>
    </row>
    <row r="29" spans="1:17" x14ac:dyDescent="0.35">
      <c r="A29" t="s">
        <v>62</v>
      </c>
      <c r="B29" s="40">
        <v>2.2360679774997907</v>
      </c>
      <c r="K29" t="s">
        <v>140</v>
      </c>
      <c r="L29">
        <f>_xlfn.T.DIST.2T(L28,$L$8)</f>
        <v>7.3904978201226606E-5</v>
      </c>
      <c r="M29" t="s">
        <v>106</v>
      </c>
      <c r="N29" s="67">
        <f>+L7</f>
        <v>0.05</v>
      </c>
    </row>
    <row r="30" spans="1:17" ht="15" thickBot="1" x14ac:dyDescent="0.4">
      <c r="A30" s="35" t="s">
        <v>63</v>
      </c>
      <c r="B30" s="41">
        <v>6</v>
      </c>
    </row>
    <row r="31" spans="1:17" x14ac:dyDescent="0.35">
      <c r="K31" t="s">
        <v>141</v>
      </c>
      <c r="L31">
        <f>+L13*SQRT((E11)/(L9*(E11-L9*L10^2)))</f>
        <v>1.6966991126265962</v>
      </c>
    </row>
    <row r="32" spans="1:17" ht="15" thickBot="1" x14ac:dyDescent="0.4">
      <c r="A32" t="s">
        <v>64</v>
      </c>
      <c r="K32" t="s">
        <v>142</v>
      </c>
      <c r="L32">
        <f>+L9/L31</f>
        <v>3.5362781505270107</v>
      </c>
      <c r="M32" t="s">
        <v>139</v>
      </c>
      <c r="N32" s="3">
        <f>+N28</f>
        <v>2.7764451051977934</v>
      </c>
    </row>
    <row r="33" spans="1:14" x14ac:dyDescent="0.35">
      <c r="A33" s="36"/>
      <c r="B33" s="36" t="s">
        <v>44</v>
      </c>
      <c r="C33" s="36" t="s">
        <v>68</v>
      </c>
      <c r="D33" s="36" t="s">
        <v>69</v>
      </c>
      <c r="E33" s="36" t="s">
        <v>70</v>
      </c>
      <c r="F33" s="36" t="s">
        <v>71</v>
      </c>
      <c r="K33" t="s">
        <v>140</v>
      </c>
      <c r="L33">
        <f>_xlfn.T.DIST.2T(L32,$L$8)</f>
        <v>2.4093965332314702E-2</v>
      </c>
      <c r="M33" t="s">
        <v>106</v>
      </c>
      <c r="N33" s="67">
        <f>+N29</f>
        <v>0.05</v>
      </c>
    </row>
    <row r="34" spans="1:14" x14ac:dyDescent="0.35">
      <c r="A34" t="s">
        <v>65</v>
      </c>
      <c r="B34" s="40">
        <v>1</v>
      </c>
      <c r="C34" s="40">
        <v>1408</v>
      </c>
      <c r="D34">
        <v>1408</v>
      </c>
      <c r="E34">
        <v>281.5999999999998</v>
      </c>
      <c r="F34">
        <v>7.3904978201226606E-5</v>
      </c>
    </row>
    <row r="35" spans="1:14" x14ac:dyDescent="0.35">
      <c r="A35" t="s">
        <v>66</v>
      </c>
      <c r="B35" s="40">
        <v>4</v>
      </c>
      <c r="C35" s="40">
        <v>20.000000000000014</v>
      </c>
      <c r="D35">
        <v>5.0000000000000036</v>
      </c>
    </row>
    <row r="36" spans="1:14" ht="15" thickBot="1" x14ac:dyDescent="0.4">
      <c r="A36" s="35" t="s">
        <v>46</v>
      </c>
      <c r="B36" s="41">
        <v>5</v>
      </c>
      <c r="C36" s="41">
        <v>1428</v>
      </c>
      <c r="D36" s="35"/>
      <c r="E36" s="35"/>
      <c r="F36" s="35"/>
    </row>
    <row r="37" spans="1:14" ht="15" thickBot="1" x14ac:dyDescent="0.4"/>
    <row r="38" spans="1:14" x14ac:dyDescent="0.35">
      <c r="A38" s="36"/>
      <c r="B38" s="36" t="s">
        <v>72</v>
      </c>
      <c r="C38" s="36" t="s">
        <v>62</v>
      </c>
      <c r="D38" s="36" t="s">
        <v>73</v>
      </c>
      <c r="E38" s="36" t="s">
        <v>74</v>
      </c>
      <c r="F38" s="36" t="s">
        <v>75</v>
      </c>
      <c r="G38" s="36" t="s">
        <v>76</v>
      </c>
      <c r="H38" s="36" t="s">
        <v>77</v>
      </c>
      <c r="I38" s="36" t="s">
        <v>78</v>
      </c>
      <c r="J38" s="38"/>
    </row>
    <row r="39" spans="1:14" x14ac:dyDescent="0.35">
      <c r="A39" t="s">
        <v>67</v>
      </c>
      <c r="B39" s="40">
        <v>6</v>
      </c>
      <c r="C39" s="40">
        <v>1.6966991126265967</v>
      </c>
      <c r="D39">
        <v>3.5362781505270098</v>
      </c>
      <c r="E39">
        <v>2.4093965332314712E-2</v>
      </c>
      <c r="F39">
        <v>1.2892080537544457</v>
      </c>
      <c r="G39">
        <v>10.710791946245553</v>
      </c>
      <c r="H39">
        <v>1.2892080537544457</v>
      </c>
      <c r="I39">
        <v>10.710791946245553</v>
      </c>
    </row>
    <row r="40" spans="1:14" ht="15" thickBot="1" x14ac:dyDescent="0.4">
      <c r="A40" s="35" t="s">
        <v>79</v>
      </c>
      <c r="B40" s="41">
        <v>8</v>
      </c>
      <c r="C40" s="41">
        <v>0.47673129462279629</v>
      </c>
      <c r="D40" s="35">
        <v>16.780941570722419</v>
      </c>
      <c r="E40" s="35">
        <v>7.3904978201226606E-5</v>
      </c>
      <c r="F40" s="35">
        <v>6.67638173054993</v>
      </c>
      <c r="G40" s="35">
        <v>9.3236182694500691</v>
      </c>
      <c r="H40" s="35">
        <v>6.67638173054993</v>
      </c>
      <c r="I40" s="35">
        <v>9.3236182694500691</v>
      </c>
    </row>
  </sheetData>
  <mergeCells count="2">
    <mergeCell ref="A1:F1"/>
    <mergeCell ref="O21:Q2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676AA-7595-44D8-83D0-2EEA17E44321}">
  <dimension ref="A1:I39"/>
  <sheetViews>
    <sheetView topLeftCell="A12" workbookViewId="0">
      <selection activeCell="F12" sqref="F12"/>
    </sheetView>
  </sheetViews>
  <sheetFormatPr defaultRowHeight="14.5" x14ac:dyDescent="0.35"/>
  <cols>
    <col min="1" max="1" width="12.7265625" customWidth="1"/>
    <col min="3" max="3" width="10.08984375" customWidth="1"/>
    <col min="4" max="4" width="11" customWidth="1"/>
    <col min="6" max="6" width="14.453125" bestFit="1" customWidth="1"/>
    <col min="7" max="7" width="19.6328125" bestFit="1" customWidth="1"/>
    <col min="8" max="8" width="16.08984375" customWidth="1"/>
  </cols>
  <sheetData>
    <row r="1" spans="1:9" x14ac:dyDescent="0.35">
      <c r="A1" t="s">
        <v>57</v>
      </c>
    </row>
    <row r="2" spans="1:9" ht="15" thickBot="1" x14ac:dyDescent="0.4"/>
    <row r="3" spans="1:9" x14ac:dyDescent="0.35">
      <c r="A3" s="37" t="s">
        <v>58</v>
      </c>
      <c r="B3" s="37"/>
    </row>
    <row r="4" spans="1:9" x14ac:dyDescent="0.35">
      <c r="A4" t="s">
        <v>59</v>
      </c>
      <c r="B4">
        <v>0.9929725060439003</v>
      </c>
    </row>
    <row r="5" spans="1:9" x14ac:dyDescent="0.35">
      <c r="A5" t="s">
        <v>60</v>
      </c>
      <c r="B5">
        <v>0.98599439775910369</v>
      </c>
    </row>
    <row r="6" spans="1:9" x14ac:dyDescent="0.35">
      <c r="A6" t="s">
        <v>61</v>
      </c>
      <c r="B6">
        <v>0.98249299719887961</v>
      </c>
    </row>
    <row r="7" spans="1:9" x14ac:dyDescent="0.35">
      <c r="A7" t="s">
        <v>62</v>
      </c>
      <c r="B7">
        <v>2.2360679774997907</v>
      </c>
    </row>
    <row r="8" spans="1:9" ht="15" thickBot="1" x14ac:dyDescent="0.4">
      <c r="A8" s="35" t="s">
        <v>63</v>
      </c>
      <c r="B8" s="35">
        <v>6</v>
      </c>
    </row>
    <row r="10" spans="1:9" ht="15" thickBot="1" x14ac:dyDescent="0.4">
      <c r="A10" t="s">
        <v>64</v>
      </c>
    </row>
    <row r="11" spans="1:9" x14ac:dyDescent="0.35">
      <c r="A11" s="36"/>
      <c r="B11" s="36" t="s">
        <v>44</v>
      </c>
      <c r="C11" s="36" t="s">
        <v>68</v>
      </c>
      <c r="D11" s="36" t="s">
        <v>69</v>
      </c>
      <c r="E11" s="36" t="s">
        <v>70</v>
      </c>
      <c r="F11" s="36" t="s">
        <v>71</v>
      </c>
    </row>
    <row r="12" spans="1:9" x14ac:dyDescent="0.35">
      <c r="A12" t="s">
        <v>65</v>
      </c>
      <c r="B12">
        <v>1</v>
      </c>
      <c r="C12">
        <v>1408</v>
      </c>
      <c r="D12">
        <v>1408</v>
      </c>
      <c r="E12">
        <v>281.5999999999998</v>
      </c>
      <c r="F12" s="79">
        <v>7.3904978201226606E-5</v>
      </c>
    </row>
    <row r="13" spans="1:9" x14ac:dyDescent="0.35">
      <c r="A13" t="s">
        <v>66</v>
      </c>
      <c r="B13">
        <v>4</v>
      </c>
      <c r="C13">
        <v>20.000000000000014</v>
      </c>
      <c r="D13">
        <v>5.0000000000000036</v>
      </c>
    </row>
    <row r="14" spans="1:9" ht="15" thickBot="1" x14ac:dyDescent="0.4">
      <c r="A14" s="35" t="s">
        <v>46</v>
      </c>
      <c r="B14" s="35">
        <v>5</v>
      </c>
      <c r="C14" s="35">
        <v>1428</v>
      </c>
      <c r="D14" s="35"/>
      <c r="E14" s="35"/>
      <c r="F14" s="35"/>
    </row>
    <row r="15" spans="1:9" ht="15" thickBot="1" x14ac:dyDescent="0.4"/>
    <row r="16" spans="1:9" x14ac:dyDescent="0.35">
      <c r="A16" s="36"/>
      <c r="B16" s="36" t="s">
        <v>72</v>
      </c>
      <c r="C16" s="36" t="s">
        <v>62</v>
      </c>
      <c r="D16" s="36" t="s">
        <v>73</v>
      </c>
      <c r="E16" s="36" t="s">
        <v>74</v>
      </c>
      <c r="F16" s="36" t="s">
        <v>75</v>
      </c>
      <c r="G16" s="36" t="s">
        <v>76</v>
      </c>
      <c r="H16" s="36" t="s">
        <v>77</v>
      </c>
      <c r="I16" s="36" t="s">
        <v>78</v>
      </c>
    </row>
    <row r="17" spans="1:9" x14ac:dyDescent="0.35">
      <c r="A17" t="s">
        <v>67</v>
      </c>
      <c r="B17">
        <v>6</v>
      </c>
      <c r="C17">
        <v>1.6966991126265967</v>
      </c>
      <c r="D17">
        <v>3.5362781505270098</v>
      </c>
      <c r="E17">
        <v>2.4093965332314712E-2</v>
      </c>
      <c r="F17">
        <v>1.2892080537544457</v>
      </c>
      <c r="G17">
        <v>10.710791946245553</v>
      </c>
      <c r="H17">
        <v>1.2892080537544457</v>
      </c>
      <c r="I17">
        <v>10.710791946245553</v>
      </c>
    </row>
    <row r="18" spans="1:9" ht="15" thickBot="1" x14ac:dyDescent="0.4">
      <c r="A18" s="35" t="s">
        <v>79</v>
      </c>
      <c r="B18" s="35">
        <v>8</v>
      </c>
      <c r="C18" s="35">
        <v>0.47673129462279629</v>
      </c>
      <c r="D18" s="35">
        <v>16.780941570722419</v>
      </c>
      <c r="E18" s="35">
        <v>7.3904978201226606E-5</v>
      </c>
      <c r="F18" s="35">
        <v>6.67638173054993</v>
      </c>
      <c r="G18" s="35">
        <v>9.3236182694500691</v>
      </c>
      <c r="H18" s="35">
        <v>6.67638173054993</v>
      </c>
      <c r="I18" s="35">
        <v>9.3236182694500691</v>
      </c>
    </row>
    <row r="22" spans="1:9" x14ac:dyDescent="0.35">
      <c r="A22" t="s">
        <v>84</v>
      </c>
    </row>
    <row r="23" spans="1:9" ht="15" thickBot="1" x14ac:dyDescent="0.4"/>
    <row r="24" spans="1:9" x14ac:dyDescent="0.35">
      <c r="A24" s="36" t="s">
        <v>85</v>
      </c>
      <c r="B24" s="36" t="s">
        <v>86</v>
      </c>
      <c r="C24" s="36" t="s">
        <v>87</v>
      </c>
      <c r="D24" s="36" t="s">
        <v>88</v>
      </c>
      <c r="F24" s="60" t="s">
        <v>143</v>
      </c>
      <c r="G24" s="60" t="s">
        <v>144</v>
      </c>
      <c r="H24" s="60" t="s">
        <v>88</v>
      </c>
    </row>
    <row r="25" spans="1:9" x14ac:dyDescent="0.35">
      <c r="A25">
        <v>1</v>
      </c>
      <c r="B25">
        <v>14</v>
      </c>
      <c r="C25">
        <v>-2</v>
      </c>
      <c r="D25">
        <v>-1</v>
      </c>
      <c r="F25" s="3">
        <f>+(A25-0.05)/6</f>
        <v>0.15833333333333333</v>
      </c>
      <c r="G25" s="3">
        <f>NORMSINV(F25)</f>
        <v>-1.0013312975256907</v>
      </c>
      <c r="H25" s="3">
        <v>-1</v>
      </c>
    </row>
    <row r="26" spans="1:9" x14ac:dyDescent="0.35">
      <c r="A26">
        <v>2</v>
      </c>
      <c r="B26">
        <v>14</v>
      </c>
      <c r="C26">
        <v>1</v>
      </c>
      <c r="D26">
        <v>0.5</v>
      </c>
      <c r="F26" s="3">
        <f t="shared" ref="F26:F30" si="0">+(A26-0.05)/6</f>
        <v>0.32500000000000001</v>
      </c>
      <c r="G26" s="3">
        <f t="shared" ref="G26:G30" si="1">NORMSINV(F26)</f>
        <v>-0.45376219016987951</v>
      </c>
      <c r="H26" s="3">
        <v>-1</v>
      </c>
    </row>
    <row r="27" spans="1:9" x14ac:dyDescent="0.35">
      <c r="A27">
        <v>3</v>
      </c>
      <c r="B27">
        <v>22</v>
      </c>
      <c r="C27">
        <v>3</v>
      </c>
      <c r="D27">
        <v>1.5</v>
      </c>
      <c r="F27" s="3">
        <f t="shared" si="0"/>
        <v>0.4916666666666667</v>
      </c>
      <c r="G27" s="3">
        <f t="shared" si="1"/>
        <v>-2.0890088246888421E-2</v>
      </c>
      <c r="H27" s="3">
        <v>-0.5</v>
      </c>
    </row>
    <row r="28" spans="1:9" x14ac:dyDescent="0.35">
      <c r="A28">
        <v>4</v>
      </c>
      <c r="B28">
        <v>30</v>
      </c>
      <c r="C28">
        <v>-2</v>
      </c>
      <c r="D28">
        <v>-1</v>
      </c>
      <c r="F28" s="3">
        <f t="shared" si="0"/>
        <v>0.65833333333333333</v>
      </c>
      <c r="G28" s="3">
        <f t="shared" si="1"/>
        <v>0.40791874094503477</v>
      </c>
      <c r="H28" s="3">
        <v>0.5</v>
      </c>
    </row>
    <row r="29" spans="1:9" x14ac:dyDescent="0.35">
      <c r="A29">
        <v>5</v>
      </c>
      <c r="B29">
        <v>46</v>
      </c>
      <c r="C29">
        <v>-1</v>
      </c>
      <c r="D29">
        <v>-0.5</v>
      </c>
      <c r="F29" s="3">
        <f t="shared" si="0"/>
        <v>0.82500000000000007</v>
      </c>
      <c r="G29" s="3">
        <f t="shared" si="1"/>
        <v>0.93458929107348043</v>
      </c>
      <c r="H29" s="3">
        <v>0.5</v>
      </c>
    </row>
    <row r="30" spans="1:9" ht="15" thickBot="1" x14ac:dyDescent="0.4">
      <c r="A30" s="35">
        <v>6</v>
      </c>
      <c r="B30" s="35">
        <v>54</v>
      </c>
      <c r="C30" s="35">
        <v>1</v>
      </c>
      <c r="D30" s="35">
        <v>0.5</v>
      </c>
      <c r="F30" s="68">
        <f t="shared" si="0"/>
        <v>0.9916666666666667</v>
      </c>
      <c r="G30" s="68">
        <f t="shared" si="1"/>
        <v>2.3939797998185104</v>
      </c>
      <c r="H30" s="68">
        <v>1.5</v>
      </c>
    </row>
    <row r="32" spans="1:9" ht="15" thickBot="1" x14ac:dyDescent="0.4"/>
    <row r="33" spans="1:3" x14ac:dyDescent="0.35">
      <c r="A33" s="36" t="s">
        <v>88</v>
      </c>
      <c r="B33" s="36"/>
      <c r="C33" s="36"/>
    </row>
    <row r="34" spans="1:3" x14ac:dyDescent="0.35">
      <c r="A34">
        <v>-1</v>
      </c>
      <c r="B34">
        <f>-1.96*Regressione_esempio2!L13</f>
        <v>-4.3826932358995876</v>
      </c>
      <c r="C34">
        <f>+B34*-1</f>
        <v>4.3826932358995876</v>
      </c>
    </row>
    <row r="35" spans="1:3" x14ac:dyDescent="0.35">
      <c r="A35">
        <v>0.5</v>
      </c>
      <c r="B35">
        <f>+B34</f>
        <v>-4.3826932358995876</v>
      </c>
      <c r="C35">
        <f>+C34</f>
        <v>4.3826932358995876</v>
      </c>
    </row>
    <row r="36" spans="1:3" x14ac:dyDescent="0.35">
      <c r="A36">
        <v>1.5</v>
      </c>
      <c r="B36">
        <f t="shared" ref="B36:B39" si="2">+B35</f>
        <v>-4.3826932358995876</v>
      </c>
      <c r="C36">
        <f t="shared" ref="C36:C39" si="3">+C35</f>
        <v>4.3826932358995876</v>
      </c>
    </row>
    <row r="37" spans="1:3" x14ac:dyDescent="0.35">
      <c r="A37">
        <v>-1</v>
      </c>
      <c r="B37">
        <f t="shared" si="2"/>
        <v>-4.3826932358995876</v>
      </c>
      <c r="C37">
        <f t="shared" si="3"/>
        <v>4.3826932358995876</v>
      </c>
    </row>
    <row r="38" spans="1:3" x14ac:dyDescent="0.35">
      <c r="A38">
        <v>-0.5</v>
      </c>
      <c r="B38">
        <f t="shared" si="2"/>
        <v>-4.3826932358995876</v>
      </c>
      <c r="C38">
        <f t="shared" si="3"/>
        <v>4.3826932358995876</v>
      </c>
    </row>
    <row r="39" spans="1:3" ht="15" thickBot="1" x14ac:dyDescent="0.4">
      <c r="A39" s="35">
        <v>0.5</v>
      </c>
      <c r="B39" s="35">
        <f t="shared" si="2"/>
        <v>-4.3826932358995876</v>
      </c>
      <c r="C39" s="35">
        <f t="shared" si="3"/>
        <v>4.3826932358995876</v>
      </c>
    </row>
  </sheetData>
  <sortState xmlns:xlrd2="http://schemas.microsoft.com/office/spreadsheetml/2017/richdata2" ref="H25:H30">
    <sortCondition ref="H25:H30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9E626-32E5-4E66-A60D-465181BF5284}">
  <dimension ref="A2:V52"/>
  <sheetViews>
    <sheetView zoomScale="85" zoomScaleNormal="85" workbookViewId="0">
      <selection activeCell="B9" sqref="B9"/>
    </sheetView>
  </sheetViews>
  <sheetFormatPr defaultRowHeight="14.5" x14ac:dyDescent="0.35"/>
  <cols>
    <col min="1" max="1" width="11.54296875" bestFit="1" customWidth="1"/>
    <col min="2" max="2" width="13.54296875" customWidth="1"/>
    <col min="3" max="3" width="11.08984375" customWidth="1"/>
    <col min="10" max="10" width="14.7265625" bestFit="1" customWidth="1"/>
    <col min="11" max="13" width="14.7265625" customWidth="1"/>
  </cols>
  <sheetData>
    <row r="2" spans="1:15" ht="15" thickBot="1" x14ac:dyDescent="0.4"/>
    <row r="3" spans="1:15" ht="22" customHeight="1" thickBot="1" x14ac:dyDescent="0.4">
      <c r="A3" s="26" t="s">
        <v>145</v>
      </c>
      <c r="B3" s="50" t="s">
        <v>155</v>
      </c>
      <c r="C3" s="50" t="s">
        <v>154</v>
      </c>
      <c r="D3" s="43" t="s">
        <v>45</v>
      </c>
      <c r="E3" s="43" t="s">
        <v>48</v>
      </c>
      <c r="F3" s="43" t="s">
        <v>52</v>
      </c>
      <c r="G3" s="43" t="s">
        <v>53</v>
      </c>
      <c r="H3" s="43" t="s">
        <v>54</v>
      </c>
      <c r="I3" s="43" t="s">
        <v>80</v>
      </c>
      <c r="J3" s="70" t="s">
        <v>156</v>
      </c>
      <c r="K3" s="70" t="s">
        <v>160</v>
      </c>
      <c r="L3" s="70" t="s">
        <v>161</v>
      </c>
      <c r="M3" s="69"/>
    </row>
    <row r="4" spans="1:15" x14ac:dyDescent="0.35">
      <c r="A4" s="21" t="s">
        <v>146</v>
      </c>
      <c r="B4">
        <v>3557.7</v>
      </c>
      <c r="C4">
        <v>29.61</v>
      </c>
      <c r="D4">
        <f>+B4*C4</f>
        <v>105343.49699999999</v>
      </c>
      <c r="E4">
        <f>+B4^2</f>
        <v>12657229.289999999</v>
      </c>
      <c r="F4">
        <f>+$O$5+$O$4*B4</f>
        <v>29.592164548836976</v>
      </c>
      <c r="G4">
        <f>+C4-F4</f>
        <v>1.7835451163023208E-2</v>
      </c>
      <c r="H4">
        <f>+G4^2</f>
        <v>3.1810331818858591E-4</v>
      </c>
      <c r="I4">
        <f>+(C4-$O$10)^2</f>
        <v>2.0661157024797791E-3</v>
      </c>
      <c r="J4" s="71">
        <f>+G4/_xlfn.STDEV.S($G$4:$G$25)</f>
        <v>2.0715449119634743E-2</v>
      </c>
      <c r="K4" s="71">
        <f>-1.96*O12</f>
        <v>-1.7291810486241597</v>
      </c>
      <c r="L4" s="71">
        <f>+K4*-1</f>
        <v>1.7291810486241597</v>
      </c>
      <c r="N4" s="46" t="s">
        <v>49</v>
      </c>
      <c r="O4" s="53">
        <f>+(D26-O8*O9*O10)/(E26-O8*O9^2)</f>
        <v>5.4115037916305413E-3</v>
      </c>
    </row>
    <row r="5" spans="1:15" x14ac:dyDescent="0.35">
      <c r="A5" s="21" t="s">
        <v>1</v>
      </c>
      <c r="B5">
        <v>3296.4</v>
      </c>
      <c r="C5">
        <v>27.83</v>
      </c>
      <c r="D5">
        <f t="shared" ref="D5:D25" si="0">+B5*C5</f>
        <v>91738.811999999991</v>
      </c>
      <c r="E5">
        <f t="shared" ref="E5:E25" si="1">+B5^2</f>
        <v>10866252.960000001</v>
      </c>
      <c r="F5">
        <f t="shared" ref="F5:F25" si="2">+$O$5+$O$4*B5</f>
        <v>28.178138608083916</v>
      </c>
      <c r="G5">
        <f t="shared" ref="G5:G25" si="3">+C5-F5</f>
        <v>-0.34813860808391794</v>
      </c>
      <c r="H5">
        <f t="shared" ref="H5:H25" si="4">+G5^2</f>
        <v>0.12120049043860781</v>
      </c>
      <c r="I5">
        <f t="shared" ref="I5:I25" si="5">+(C5-$O$10)^2</f>
        <v>3.3322842975206828</v>
      </c>
      <c r="J5" s="71">
        <f t="shared" ref="J5:J25" si="6">+G5/_xlfn.STDEV.S($G$4:$G$25)</f>
        <v>-0.40435465054534764</v>
      </c>
      <c r="K5" s="71">
        <f>+K4</f>
        <v>-1.7291810486241597</v>
      </c>
      <c r="L5" s="71">
        <f>+L4</f>
        <v>1.7291810486241597</v>
      </c>
      <c r="N5" s="46" t="s">
        <v>50</v>
      </c>
      <c r="O5" s="53">
        <f>+O10-O4*O9</f>
        <v>10.339657509353</v>
      </c>
    </row>
    <row r="6" spans="1:15" x14ac:dyDescent="0.35">
      <c r="A6" s="21" t="s">
        <v>147</v>
      </c>
      <c r="B6">
        <v>3437.1</v>
      </c>
      <c r="C6">
        <v>28.39</v>
      </c>
      <c r="D6">
        <f t="shared" si="0"/>
        <v>97579.269</v>
      </c>
      <c r="E6">
        <f t="shared" si="1"/>
        <v>11813656.41</v>
      </c>
      <c r="F6">
        <f t="shared" si="2"/>
        <v>28.939537191566334</v>
      </c>
      <c r="G6">
        <f t="shared" si="3"/>
        <v>-0.54953719156633341</v>
      </c>
      <c r="H6">
        <f t="shared" si="4"/>
        <v>0.301991124914613</v>
      </c>
      <c r="I6">
        <f t="shared" si="5"/>
        <v>1.6013752066115796</v>
      </c>
      <c r="J6" s="71">
        <f t="shared" si="6"/>
        <v>-0.63827427897314348</v>
      </c>
      <c r="K6" s="71">
        <f t="shared" ref="K6:K25" si="7">+K5</f>
        <v>-1.7291810486241597</v>
      </c>
      <c r="L6" s="71">
        <f t="shared" ref="L6:L25" si="8">+L5</f>
        <v>1.7291810486241597</v>
      </c>
      <c r="N6" s="54" t="s">
        <v>24</v>
      </c>
      <c r="O6" s="55">
        <v>0.05</v>
      </c>
    </row>
    <row r="7" spans="1:15" x14ac:dyDescent="0.35">
      <c r="A7" s="21" t="s">
        <v>4</v>
      </c>
      <c r="B7">
        <v>3336.6</v>
      </c>
      <c r="C7">
        <v>29.17</v>
      </c>
      <c r="D7">
        <f t="shared" si="0"/>
        <v>97328.622000000003</v>
      </c>
      <c r="E7">
        <f t="shared" si="1"/>
        <v>11132899.559999999</v>
      </c>
      <c r="F7">
        <f t="shared" si="2"/>
        <v>28.395681060507464</v>
      </c>
      <c r="G7">
        <f t="shared" si="3"/>
        <v>0.77431893949253805</v>
      </c>
      <c r="H7">
        <f t="shared" si="4"/>
        <v>0.59956982005684878</v>
      </c>
      <c r="I7">
        <f t="shared" si="5"/>
        <v>0.23566611570248183</v>
      </c>
      <c r="J7" s="71">
        <f t="shared" si="6"/>
        <v>0.89935289255157114</v>
      </c>
      <c r="K7" s="71">
        <f t="shared" si="7"/>
        <v>-1.7291810486241597</v>
      </c>
      <c r="L7" s="71">
        <f t="shared" si="8"/>
        <v>1.7291810486241597</v>
      </c>
      <c r="N7" s="54" t="s">
        <v>133</v>
      </c>
      <c r="O7" s="55">
        <f>+O8-2</f>
        <v>20</v>
      </c>
    </row>
    <row r="8" spans="1:15" x14ac:dyDescent="0.35">
      <c r="A8" s="21" t="s">
        <v>148</v>
      </c>
      <c r="B8">
        <v>3618</v>
      </c>
      <c r="C8">
        <v>30.17</v>
      </c>
      <c r="D8">
        <f t="shared" si="0"/>
        <v>109155.06000000001</v>
      </c>
      <c r="E8">
        <f t="shared" si="1"/>
        <v>13089924</v>
      </c>
      <c r="F8">
        <f t="shared" si="2"/>
        <v>29.918478227472299</v>
      </c>
      <c r="G8">
        <f t="shared" si="3"/>
        <v>0.25152177252770258</v>
      </c>
      <c r="H8">
        <f t="shared" si="4"/>
        <v>6.3263202055477363E-2</v>
      </c>
      <c r="I8">
        <f t="shared" si="5"/>
        <v>0.26475702479338581</v>
      </c>
      <c r="J8" s="71">
        <f t="shared" si="6"/>
        <v>0.29213651135891855</v>
      </c>
      <c r="K8" s="71">
        <f t="shared" si="7"/>
        <v>-1.7291810486241597</v>
      </c>
      <c r="L8" s="71">
        <f t="shared" si="8"/>
        <v>1.7291810486241597</v>
      </c>
      <c r="N8" s="54" t="s">
        <v>47</v>
      </c>
      <c r="O8" s="55">
        <v>22</v>
      </c>
    </row>
    <row r="9" spans="1:15" x14ac:dyDescent="0.35">
      <c r="A9" s="21" t="s">
        <v>3</v>
      </c>
      <c r="B9">
        <v>3376.8</v>
      </c>
      <c r="C9">
        <v>30.28</v>
      </c>
      <c r="D9">
        <f t="shared" si="0"/>
        <v>102249.50400000002</v>
      </c>
      <c r="E9">
        <f t="shared" si="1"/>
        <v>11402778.240000002</v>
      </c>
      <c r="F9">
        <f t="shared" si="2"/>
        <v>28.613223512931011</v>
      </c>
      <c r="G9">
        <f t="shared" si="3"/>
        <v>1.6667764870689901</v>
      </c>
      <c r="H9">
        <f t="shared" si="4"/>
        <v>2.7781438578460431</v>
      </c>
      <c r="I9">
        <f t="shared" si="5"/>
        <v>0.3900570247933845</v>
      </c>
      <c r="J9" s="71">
        <f t="shared" si="6"/>
        <v>1.9359209473357952</v>
      </c>
      <c r="K9" s="71">
        <f t="shared" si="7"/>
        <v>-1.7291810486241597</v>
      </c>
      <c r="L9" s="71">
        <f t="shared" si="8"/>
        <v>1.7291810486241597</v>
      </c>
      <c r="N9" t="s">
        <v>82</v>
      </c>
      <c r="O9" s="6">
        <f>+B26/O8</f>
        <v>3569.3954545454549</v>
      </c>
    </row>
    <row r="10" spans="1:15" x14ac:dyDescent="0.35">
      <c r="A10" s="21" t="s">
        <v>5</v>
      </c>
      <c r="B10">
        <v>3195.9</v>
      </c>
      <c r="C10">
        <v>28.06</v>
      </c>
      <c r="D10">
        <f t="shared" si="0"/>
        <v>89676.953999999998</v>
      </c>
      <c r="E10">
        <f t="shared" si="1"/>
        <v>10213776.810000001</v>
      </c>
      <c r="F10">
        <f t="shared" si="2"/>
        <v>27.634282477025046</v>
      </c>
      <c r="G10">
        <f t="shared" si="3"/>
        <v>0.4257175229749528</v>
      </c>
      <c r="H10">
        <f t="shared" si="4"/>
        <v>0.18123540936792948</v>
      </c>
      <c r="I10">
        <f t="shared" si="5"/>
        <v>2.545475206611588</v>
      </c>
      <c r="J10" s="71">
        <f t="shared" si="6"/>
        <v>0.49446070110119444</v>
      </c>
      <c r="K10" s="71">
        <f t="shared" si="7"/>
        <v>-1.7291810486241597</v>
      </c>
      <c r="L10" s="71">
        <f t="shared" si="8"/>
        <v>1.7291810486241597</v>
      </c>
      <c r="N10" t="s">
        <v>83</v>
      </c>
      <c r="O10" s="6">
        <f>+C26/O8</f>
        <v>29.65545454545455</v>
      </c>
    </row>
    <row r="11" spans="1:15" x14ac:dyDescent="0.35">
      <c r="A11" s="21" t="s">
        <v>149</v>
      </c>
      <c r="B11">
        <v>4060.2</v>
      </c>
      <c r="C11">
        <v>33.28</v>
      </c>
      <c r="D11">
        <f t="shared" si="0"/>
        <v>135123.45600000001</v>
      </c>
      <c r="E11">
        <f t="shared" si="1"/>
        <v>16485224.039999999</v>
      </c>
      <c r="F11">
        <f t="shared" si="2"/>
        <v>32.311445204131317</v>
      </c>
      <c r="G11">
        <f t="shared" si="3"/>
        <v>0.96855479586868398</v>
      </c>
      <c r="H11">
        <f t="shared" si="4"/>
        <v>0.93809839260022809</v>
      </c>
      <c r="I11">
        <f t="shared" si="5"/>
        <v>13.137329752066092</v>
      </c>
      <c r="J11" s="71">
        <f t="shared" si="6"/>
        <v>1.1249531850920091</v>
      </c>
      <c r="K11" s="71">
        <f t="shared" si="7"/>
        <v>-1.7291810486241597</v>
      </c>
      <c r="L11" s="71">
        <f t="shared" si="8"/>
        <v>1.7291810486241597</v>
      </c>
    </row>
    <row r="12" spans="1:15" x14ac:dyDescent="0.35">
      <c r="A12" s="21" t="s">
        <v>7</v>
      </c>
      <c r="B12">
        <v>3859.2</v>
      </c>
      <c r="C12">
        <v>29.28</v>
      </c>
      <c r="D12">
        <f t="shared" si="0"/>
        <v>112997.376</v>
      </c>
      <c r="E12">
        <f t="shared" si="1"/>
        <v>14893424.639999999</v>
      </c>
      <c r="F12">
        <f t="shared" si="2"/>
        <v>31.223732942013584</v>
      </c>
      <c r="G12">
        <f t="shared" si="3"/>
        <v>-1.9437329420135825</v>
      </c>
      <c r="H12">
        <f t="shared" si="4"/>
        <v>3.7780977498687767</v>
      </c>
      <c r="I12">
        <f t="shared" si="5"/>
        <v>0.14096611570248169</v>
      </c>
      <c r="J12" s="71">
        <f t="shared" si="6"/>
        <v>-2.257599232808817</v>
      </c>
      <c r="K12" s="71">
        <f t="shared" si="7"/>
        <v>-1.7291810486241597</v>
      </c>
      <c r="L12" s="71">
        <f t="shared" si="8"/>
        <v>1.7291810486241597</v>
      </c>
      <c r="N12" t="s">
        <v>51</v>
      </c>
      <c r="O12" s="3">
        <f>SQRT(H26/(O7))</f>
        <v>0.88223522888987738</v>
      </c>
    </row>
    <row r="13" spans="1:15" x14ac:dyDescent="0.35">
      <c r="A13" s="21" t="s">
        <v>8</v>
      </c>
      <c r="B13">
        <v>3658.2</v>
      </c>
      <c r="C13">
        <v>29.51</v>
      </c>
      <c r="D13">
        <f t="shared" si="0"/>
        <v>107953.482</v>
      </c>
      <c r="E13">
        <f t="shared" si="1"/>
        <v>13382427.239999998</v>
      </c>
      <c r="F13">
        <f t="shared" si="2"/>
        <v>30.136020679895847</v>
      </c>
      <c r="G13">
        <f t="shared" si="3"/>
        <v>-0.62602067989584498</v>
      </c>
      <c r="H13">
        <f t="shared" si="4"/>
        <v>0.39190189165725603</v>
      </c>
      <c r="I13">
        <f t="shared" si="5"/>
        <v>2.1157024793389219E-2</v>
      </c>
      <c r="J13" s="71">
        <f t="shared" si="6"/>
        <v>-0.72710801782842738</v>
      </c>
      <c r="K13" s="71">
        <f t="shared" si="7"/>
        <v>-1.7291810486241597</v>
      </c>
      <c r="L13" s="71">
        <f t="shared" si="8"/>
        <v>1.7291810486241597</v>
      </c>
      <c r="N13" t="s">
        <v>56</v>
      </c>
      <c r="O13">
        <f>1-H26/I26</f>
        <v>0.79293697340701019</v>
      </c>
    </row>
    <row r="14" spans="1:15" x14ac:dyDescent="0.35">
      <c r="A14" s="21" t="s">
        <v>150</v>
      </c>
      <c r="B14">
        <v>3678.3</v>
      </c>
      <c r="C14">
        <v>31.28</v>
      </c>
      <c r="D14">
        <f t="shared" si="0"/>
        <v>115057.22400000002</v>
      </c>
      <c r="E14">
        <f t="shared" si="1"/>
        <v>13529890.890000001</v>
      </c>
      <c r="F14">
        <f t="shared" si="2"/>
        <v>30.244791906107622</v>
      </c>
      <c r="G14">
        <f t="shared" si="3"/>
        <v>1.0352080938923791</v>
      </c>
      <c r="H14">
        <f t="shared" si="4"/>
        <v>1.0716557976602927</v>
      </c>
      <c r="I14">
        <f t="shared" si="5"/>
        <v>2.6391479338842871</v>
      </c>
      <c r="J14" s="71">
        <f t="shared" si="6"/>
        <v>1.2023693934763708</v>
      </c>
      <c r="K14" s="71">
        <f t="shared" si="7"/>
        <v>-1.7291810486241597</v>
      </c>
      <c r="L14" s="71">
        <f t="shared" si="8"/>
        <v>1.7291810486241597</v>
      </c>
    </row>
    <row r="15" spans="1:15" x14ac:dyDescent="0.35">
      <c r="A15" s="21" t="s">
        <v>151</v>
      </c>
      <c r="B15">
        <v>3825</v>
      </c>
      <c r="C15">
        <v>31.06</v>
      </c>
      <c r="D15">
        <f t="shared" si="0"/>
        <v>118804.5</v>
      </c>
      <c r="E15">
        <f t="shared" si="1"/>
        <v>14630625</v>
      </c>
      <c r="F15">
        <f t="shared" si="2"/>
        <v>31.038659512339819</v>
      </c>
      <c r="G15">
        <f t="shared" si="3"/>
        <v>2.1340487660179264E-2</v>
      </c>
      <c r="H15">
        <f t="shared" si="4"/>
        <v>4.5541641357426342E-4</v>
      </c>
      <c r="I15">
        <f t="shared" si="5"/>
        <v>1.9727479338842819</v>
      </c>
      <c r="J15" s="71">
        <f t="shared" si="6"/>
        <v>2.4786465016885056E-2</v>
      </c>
      <c r="K15" s="71">
        <f t="shared" si="7"/>
        <v>-1.7291810486241597</v>
      </c>
      <c r="L15" s="71">
        <f t="shared" si="8"/>
        <v>1.7291810486241597</v>
      </c>
    </row>
    <row r="16" spans="1:15" x14ac:dyDescent="0.35">
      <c r="A16" s="21" t="s">
        <v>11</v>
      </c>
      <c r="B16">
        <v>3396.9</v>
      </c>
      <c r="C16">
        <v>29.83</v>
      </c>
      <c r="D16">
        <f t="shared" si="0"/>
        <v>101329.527</v>
      </c>
      <c r="E16">
        <f t="shared" si="1"/>
        <v>11538929.610000001</v>
      </c>
      <c r="F16">
        <f t="shared" si="2"/>
        <v>28.721994739142787</v>
      </c>
      <c r="G16">
        <f t="shared" si="3"/>
        <v>1.1080052608572117</v>
      </c>
      <c r="H16">
        <f t="shared" si="4"/>
        <v>1.2276756580872579</v>
      </c>
      <c r="I16">
        <f t="shared" si="5"/>
        <v>3.0466115702477252E-2</v>
      </c>
      <c r="J16" s="71">
        <f t="shared" si="6"/>
        <v>1.2869215584050613</v>
      </c>
      <c r="K16" s="71">
        <f t="shared" si="7"/>
        <v>-1.7291810486241597</v>
      </c>
      <c r="L16" s="71">
        <f t="shared" si="8"/>
        <v>1.7291810486241597</v>
      </c>
    </row>
    <row r="17" spans="1:19" x14ac:dyDescent="0.35">
      <c r="A17" s="21" t="s">
        <v>12</v>
      </c>
      <c r="B17">
        <v>3497.4</v>
      </c>
      <c r="C17">
        <v>28.39</v>
      </c>
      <c r="D17">
        <f t="shared" si="0"/>
        <v>99291.186000000002</v>
      </c>
      <c r="E17">
        <f t="shared" si="1"/>
        <v>12231806.76</v>
      </c>
      <c r="F17">
        <f t="shared" si="2"/>
        <v>29.265850870201657</v>
      </c>
      <c r="G17">
        <f t="shared" si="3"/>
        <v>-0.87585087020165631</v>
      </c>
      <c r="H17">
        <f t="shared" si="4"/>
        <v>0.76711474683299863</v>
      </c>
      <c r="I17">
        <f t="shared" si="5"/>
        <v>1.6013752066115796</v>
      </c>
      <c r="J17" s="71">
        <f t="shared" si="6"/>
        <v>-1.0172797969734553</v>
      </c>
      <c r="K17" s="71">
        <f t="shared" si="7"/>
        <v>-1.7291810486241597</v>
      </c>
      <c r="L17" s="71">
        <f t="shared" si="8"/>
        <v>1.7291810486241597</v>
      </c>
    </row>
    <row r="18" spans="1:19" x14ac:dyDescent="0.35">
      <c r="A18" s="21" t="s">
        <v>13</v>
      </c>
      <c r="B18">
        <v>3296.4</v>
      </c>
      <c r="C18">
        <v>28.17</v>
      </c>
      <c r="D18">
        <f t="shared" si="0"/>
        <v>92859.588000000003</v>
      </c>
      <c r="E18">
        <f t="shared" si="1"/>
        <v>10866252.960000001</v>
      </c>
      <c r="F18">
        <f t="shared" si="2"/>
        <v>28.178138608083916</v>
      </c>
      <c r="G18">
        <f t="shared" si="3"/>
        <v>-8.1386080839145336E-3</v>
      </c>
      <c r="H18">
        <f t="shared" si="4"/>
        <v>6.6236941543559001E-5</v>
      </c>
      <c r="I18">
        <f t="shared" si="5"/>
        <v>2.206575206611578</v>
      </c>
      <c r="J18" s="71">
        <f t="shared" si="6"/>
        <v>-9.4527982570193504E-3</v>
      </c>
      <c r="K18" s="71">
        <f t="shared" si="7"/>
        <v>-1.7291810486241597</v>
      </c>
      <c r="L18" s="71">
        <f t="shared" si="8"/>
        <v>1.7291810486241597</v>
      </c>
    </row>
    <row r="19" spans="1:19" x14ac:dyDescent="0.35">
      <c r="A19" s="21" t="s">
        <v>14</v>
      </c>
      <c r="B19">
        <v>3638.1</v>
      </c>
      <c r="C19">
        <v>29.28</v>
      </c>
      <c r="D19">
        <f t="shared" si="0"/>
        <v>106523.568</v>
      </c>
      <c r="E19">
        <f t="shared" si="1"/>
        <v>13235771.609999999</v>
      </c>
      <c r="F19">
        <f t="shared" si="2"/>
        <v>30.027249453684071</v>
      </c>
      <c r="G19">
        <f t="shared" si="3"/>
        <v>-0.74724945368406992</v>
      </c>
      <c r="H19">
        <f t="shared" si="4"/>
        <v>0.55838174603114099</v>
      </c>
      <c r="I19">
        <f t="shared" si="5"/>
        <v>0.14096611570248169</v>
      </c>
      <c r="J19" s="71">
        <f t="shared" si="6"/>
        <v>-0.86791233347434593</v>
      </c>
      <c r="K19" s="71">
        <f t="shared" si="7"/>
        <v>-1.7291810486241597</v>
      </c>
      <c r="L19" s="71">
        <f t="shared" si="8"/>
        <v>1.7291810486241597</v>
      </c>
    </row>
    <row r="20" spans="1:19" x14ac:dyDescent="0.35">
      <c r="A20" s="21" t="s">
        <v>152</v>
      </c>
      <c r="B20">
        <v>3879.3</v>
      </c>
      <c r="C20">
        <v>31.06</v>
      </c>
      <c r="D20">
        <f t="shared" si="0"/>
        <v>120491.058</v>
      </c>
      <c r="E20">
        <f t="shared" si="1"/>
        <v>15048968.490000002</v>
      </c>
      <c r="F20">
        <f t="shared" si="2"/>
        <v>31.332504168225359</v>
      </c>
      <c r="G20">
        <f t="shared" si="3"/>
        <v>-0.27250416822536039</v>
      </c>
      <c r="H20">
        <f t="shared" si="4"/>
        <v>7.4258521700195521E-2</v>
      </c>
      <c r="I20">
        <f t="shared" si="5"/>
        <v>1.9727479338842819</v>
      </c>
      <c r="J20" s="71">
        <f t="shared" si="6"/>
        <v>-0.31650706114259985</v>
      </c>
      <c r="K20" s="71">
        <f t="shared" si="7"/>
        <v>-1.7291810486241597</v>
      </c>
      <c r="L20" s="71">
        <f t="shared" si="8"/>
        <v>1.7291810486241597</v>
      </c>
    </row>
    <row r="21" spans="1:19" x14ac:dyDescent="0.35">
      <c r="A21" s="21" t="s">
        <v>153</v>
      </c>
      <c r="B21">
        <v>4502.3999999999996</v>
      </c>
      <c r="C21">
        <v>35.270000000000003</v>
      </c>
      <c r="D21">
        <f t="shared" si="0"/>
        <v>158799.64800000002</v>
      </c>
      <c r="E21">
        <f t="shared" si="1"/>
        <v>20271605.759999998</v>
      </c>
      <c r="F21">
        <f t="shared" si="2"/>
        <v>34.704412180790342</v>
      </c>
      <c r="G21">
        <f t="shared" si="3"/>
        <v>0.56558781920966084</v>
      </c>
      <c r="H21">
        <f t="shared" si="4"/>
        <v>0.31988958123833999</v>
      </c>
      <c r="I21">
        <f t="shared" si="5"/>
        <v>31.523120661157012</v>
      </c>
      <c r="J21" s="71">
        <f t="shared" si="6"/>
        <v>0.65691669834590871</v>
      </c>
      <c r="K21" s="71">
        <f t="shared" si="7"/>
        <v>-1.7291810486241597</v>
      </c>
      <c r="L21" s="71">
        <f t="shared" si="8"/>
        <v>1.7291810486241597</v>
      </c>
    </row>
    <row r="22" spans="1:19" x14ac:dyDescent="0.35">
      <c r="A22" s="21" t="s">
        <v>17</v>
      </c>
      <c r="B22">
        <v>3396.9</v>
      </c>
      <c r="C22">
        <v>27.28</v>
      </c>
      <c r="D22">
        <f t="shared" si="0"/>
        <v>92667.432000000001</v>
      </c>
      <c r="E22">
        <f t="shared" si="1"/>
        <v>11538929.610000001</v>
      </c>
      <c r="F22">
        <f t="shared" si="2"/>
        <v>28.721994739142787</v>
      </c>
      <c r="G22">
        <f t="shared" si="3"/>
        <v>-1.4419947391427854</v>
      </c>
      <c r="H22">
        <f t="shared" si="4"/>
        <v>2.0793488277154699</v>
      </c>
      <c r="I22">
        <f t="shared" si="5"/>
        <v>5.6427842975206763</v>
      </c>
      <c r="J22" s="71">
        <f t="shared" si="6"/>
        <v>-1.6748423337573677</v>
      </c>
      <c r="K22" s="71">
        <f t="shared" si="7"/>
        <v>-1.7291810486241597</v>
      </c>
      <c r="L22" s="71">
        <f t="shared" si="8"/>
        <v>1.7291810486241597</v>
      </c>
    </row>
    <row r="23" spans="1:19" x14ac:dyDescent="0.35">
      <c r="A23" s="21" t="s">
        <v>18</v>
      </c>
      <c r="B23">
        <v>3457.2</v>
      </c>
      <c r="C23">
        <v>28.72</v>
      </c>
      <c r="D23">
        <f t="shared" si="0"/>
        <v>99290.783999999985</v>
      </c>
      <c r="E23">
        <f t="shared" si="1"/>
        <v>11952231.839999998</v>
      </c>
      <c r="F23">
        <f t="shared" si="2"/>
        <v>29.048308417778106</v>
      </c>
      <c r="G23">
        <f t="shared" si="3"/>
        <v>-0.32830841777810704</v>
      </c>
      <c r="H23">
        <f t="shared" si="4"/>
        <v>0.10778641718396408</v>
      </c>
      <c r="I23">
        <f t="shared" si="5"/>
        <v>0.87507520661158034</v>
      </c>
      <c r="J23" s="71">
        <f t="shared" si="6"/>
        <v>-0.38132235971301026</v>
      </c>
      <c r="K23" s="71">
        <f t="shared" si="7"/>
        <v>-1.7291810486241597</v>
      </c>
      <c r="L23" s="71">
        <f t="shared" si="8"/>
        <v>1.7291810486241597</v>
      </c>
      <c r="N23" s="78"/>
      <c r="O23" s="78"/>
    </row>
    <row r="24" spans="1:19" x14ac:dyDescent="0.35">
      <c r="A24" s="21" t="s">
        <v>19</v>
      </c>
      <c r="B24">
        <v>3206</v>
      </c>
      <c r="C24">
        <v>27.56</v>
      </c>
      <c r="D24">
        <f t="shared" si="0"/>
        <v>88357.36</v>
      </c>
      <c r="E24">
        <f t="shared" si="1"/>
        <v>10278436</v>
      </c>
      <c r="F24">
        <f t="shared" si="2"/>
        <v>27.688938665320514</v>
      </c>
      <c r="G24">
        <f t="shared" si="3"/>
        <v>-0.1289386653205149</v>
      </c>
      <c r="H24">
        <f t="shared" si="4"/>
        <v>1.6625179414635753E-2</v>
      </c>
      <c r="I24">
        <f t="shared" si="5"/>
        <v>4.390929752066139</v>
      </c>
      <c r="J24" s="71">
        <f t="shared" si="6"/>
        <v>-0.14975916990192842</v>
      </c>
      <c r="K24" s="71">
        <f t="shared" si="7"/>
        <v>-1.7291810486241597</v>
      </c>
      <c r="L24" s="71">
        <f t="shared" si="8"/>
        <v>1.7291810486241597</v>
      </c>
    </row>
    <row r="25" spans="1:19" ht="15" thickBot="1" x14ac:dyDescent="0.4">
      <c r="A25" s="23" t="s">
        <v>20</v>
      </c>
      <c r="B25" s="35">
        <v>3356.7</v>
      </c>
      <c r="C25" s="35">
        <v>28.94</v>
      </c>
      <c r="D25" s="35">
        <f t="shared" si="0"/>
        <v>97142.898000000001</v>
      </c>
      <c r="E25" s="35">
        <f t="shared" si="1"/>
        <v>11267434.889999999</v>
      </c>
      <c r="F25" s="35">
        <f t="shared" si="2"/>
        <v>28.504452286719236</v>
      </c>
      <c r="G25" s="35">
        <f t="shared" si="3"/>
        <v>0.43554771328076569</v>
      </c>
      <c r="H25" s="35">
        <f t="shared" si="4"/>
        <v>0.18970181054410407</v>
      </c>
      <c r="I25" s="35">
        <f t="shared" si="5"/>
        <v>0.51187520661157448</v>
      </c>
      <c r="J25" s="71">
        <f t="shared" si="6"/>
        <v>0.50587823157211287</v>
      </c>
      <c r="K25" s="71">
        <f t="shared" si="7"/>
        <v>-1.7291810486241597</v>
      </c>
      <c r="L25" s="71">
        <f t="shared" si="8"/>
        <v>1.7291810486241597</v>
      </c>
    </row>
    <row r="26" spans="1:19" ht="15" thickBot="1" x14ac:dyDescent="0.4">
      <c r="A26" s="26" t="s">
        <v>122</v>
      </c>
      <c r="B26" s="50">
        <f>SUM(B4:B25)</f>
        <v>78526.700000000012</v>
      </c>
      <c r="C26" s="50">
        <f t="shared" ref="C26:J26" si="9">SUM(C4:C25)</f>
        <v>652.42000000000007</v>
      </c>
      <c r="D26" s="50">
        <f t="shared" si="9"/>
        <v>2339760.8050000002</v>
      </c>
      <c r="E26" s="50">
        <f t="shared" si="9"/>
        <v>282328476.61000001</v>
      </c>
      <c r="F26" s="50">
        <f t="shared" si="9"/>
        <v>652.41999999999996</v>
      </c>
      <c r="G26" s="50">
        <f t="shared" si="9"/>
        <v>0</v>
      </c>
      <c r="H26" s="50">
        <f t="shared" si="9"/>
        <v>15.566779981887487</v>
      </c>
      <c r="I26" s="50">
        <f t="shared" si="9"/>
        <v>75.178945454545513</v>
      </c>
      <c r="J26" s="72">
        <f t="shared" si="9"/>
        <v>0</v>
      </c>
      <c r="K26" s="72"/>
      <c r="L26" s="72"/>
      <c r="M26" s="46"/>
    </row>
    <row r="28" spans="1:19" ht="15" thickBot="1" x14ac:dyDescent="0.4"/>
    <row r="29" spans="1:19" ht="73" thickBot="1" x14ac:dyDescent="0.4">
      <c r="B29" s="26" t="s">
        <v>145</v>
      </c>
      <c r="C29" s="70" t="s">
        <v>157</v>
      </c>
      <c r="D29" s="70" t="s">
        <v>159</v>
      </c>
      <c r="E29" s="70" t="s">
        <v>158</v>
      </c>
    </row>
    <row r="30" spans="1:19" x14ac:dyDescent="0.35">
      <c r="A30">
        <v>1</v>
      </c>
      <c r="B30" s="21" t="s">
        <v>7</v>
      </c>
      <c r="C30" s="71">
        <v>-2.257599232808817</v>
      </c>
      <c r="D30" s="73">
        <f>+(A30-0.05)/$O$8</f>
        <v>4.3181818181818182E-2</v>
      </c>
      <c r="E30" s="76">
        <f>NORMSDIST(D30)</f>
        <v>0.51722170072129647</v>
      </c>
    </row>
    <row r="31" spans="1:19" x14ac:dyDescent="0.35">
      <c r="A31">
        <v>2</v>
      </c>
      <c r="B31" s="21" t="s">
        <v>17</v>
      </c>
      <c r="C31" s="71">
        <v>-1.6748423337573677</v>
      </c>
      <c r="D31" s="74">
        <f t="shared" ref="D31:D51" si="10">+(A31-0.05)/$O$8</f>
        <v>8.8636363636363638E-2</v>
      </c>
      <c r="E31" s="71">
        <f t="shared" ref="E31:E51" si="11">NORMSDIST(D31)</f>
        <v>0.53531454609740559</v>
      </c>
      <c r="N31" s="38"/>
      <c r="O31" s="38"/>
      <c r="P31" s="38"/>
      <c r="Q31" s="38"/>
      <c r="R31" s="38"/>
      <c r="S31" s="38"/>
    </row>
    <row r="32" spans="1:19" x14ac:dyDescent="0.35">
      <c r="A32">
        <v>3</v>
      </c>
      <c r="B32" s="21" t="s">
        <v>12</v>
      </c>
      <c r="C32" s="71">
        <v>-1.0172797969734553</v>
      </c>
      <c r="D32" s="74">
        <f t="shared" si="10"/>
        <v>0.13409090909090909</v>
      </c>
      <c r="E32" s="71">
        <f t="shared" si="11"/>
        <v>0.55333465589137432</v>
      </c>
    </row>
    <row r="33" spans="1:22" x14ac:dyDescent="0.35">
      <c r="A33">
        <v>4</v>
      </c>
      <c r="B33" s="21" t="s">
        <v>14</v>
      </c>
      <c r="C33" s="71">
        <v>-0.86791233347434593</v>
      </c>
      <c r="D33" s="74">
        <f t="shared" si="10"/>
        <v>0.17954545454545456</v>
      </c>
      <c r="E33" s="71">
        <f t="shared" si="11"/>
        <v>0.57124528520628859</v>
      </c>
    </row>
    <row r="34" spans="1:22" x14ac:dyDescent="0.35">
      <c r="A34">
        <v>5</v>
      </c>
      <c r="B34" s="21" t="s">
        <v>8</v>
      </c>
      <c r="C34" s="71">
        <v>-0.72710801782842738</v>
      </c>
      <c r="D34" s="74">
        <f t="shared" si="10"/>
        <v>0.22500000000000001</v>
      </c>
      <c r="E34" s="71">
        <f t="shared" si="11"/>
        <v>0.58901036286872965</v>
      </c>
    </row>
    <row r="35" spans="1:22" x14ac:dyDescent="0.35">
      <c r="A35">
        <v>6</v>
      </c>
      <c r="B35" s="21" t="s">
        <v>147</v>
      </c>
      <c r="C35" s="71">
        <v>-0.63827427897314348</v>
      </c>
      <c r="D35" s="74">
        <f t="shared" si="10"/>
        <v>0.27045454545454545</v>
      </c>
      <c r="E35" s="71">
        <f t="shared" si="11"/>
        <v>0.60659470912745772</v>
      </c>
    </row>
    <row r="36" spans="1:22" x14ac:dyDescent="0.35">
      <c r="A36">
        <v>7</v>
      </c>
      <c r="B36" s="21" t="s">
        <v>1</v>
      </c>
      <c r="C36" s="71">
        <v>-0.40435465054534764</v>
      </c>
      <c r="D36" s="74">
        <f t="shared" si="10"/>
        <v>0.31590909090909092</v>
      </c>
      <c r="E36" s="71">
        <f t="shared" si="11"/>
        <v>0.62396424425961494</v>
      </c>
      <c r="N36" s="38"/>
      <c r="O36" s="38"/>
      <c r="P36" s="38"/>
      <c r="Q36" s="38"/>
      <c r="R36" s="38"/>
      <c r="S36" s="38"/>
      <c r="T36" s="38"/>
      <c r="U36" s="38"/>
      <c r="V36" s="38"/>
    </row>
    <row r="37" spans="1:22" x14ac:dyDescent="0.35">
      <c r="A37">
        <v>8</v>
      </c>
      <c r="B37" s="21" t="s">
        <v>18</v>
      </c>
      <c r="C37" s="71">
        <v>-0.38132235971301026</v>
      </c>
      <c r="D37" s="74">
        <f t="shared" si="10"/>
        <v>0.36136363636363639</v>
      </c>
      <c r="E37" s="71">
        <f t="shared" si="11"/>
        <v>0.64108618602684553</v>
      </c>
    </row>
    <row r="38" spans="1:22" x14ac:dyDescent="0.35">
      <c r="A38">
        <v>9</v>
      </c>
      <c r="B38" s="21" t="s">
        <v>152</v>
      </c>
      <c r="C38" s="71">
        <v>-0.31650706114259985</v>
      </c>
      <c r="D38" s="74">
        <f t="shared" si="10"/>
        <v>0.4068181818181818</v>
      </c>
      <c r="E38" s="71">
        <f t="shared" si="11"/>
        <v>0.6579292340818309</v>
      </c>
    </row>
    <row r="39" spans="1:22" x14ac:dyDescent="0.35">
      <c r="A39">
        <v>10</v>
      </c>
      <c r="B39" s="21" t="s">
        <v>19</v>
      </c>
      <c r="C39" s="71">
        <v>-0.14975916990192842</v>
      </c>
      <c r="D39" s="74">
        <f t="shared" si="10"/>
        <v>0.45227272727272722</v>
      </c>
      <c r="E39" s="71">
        <f t="shared" si="11"/>
        <v>0.67446373960931716</v>
      </c>
    </row>
    <row r="40" spans="1:22" x14ac:dyDescent="0.35">
      <c r="A40">
        <v>11</v>
      </c>
      <c r="B40" s="21" t="s">
        <v>13</v>
      </c>
      <c r="C40" s="71">
        <v>-9.4527982570193504E-3</v>
      </c>
      <c r="D40" s="74">
        <f t="shared" si="10"/>
        <v>0.49772727272727268</v>
      </c>
      <c r="E40" s="71">
        <f t="shared" si="11"/>
        <v>0.69066185869144436</v>
      </c>
    </row>
    <row r="41" spans="1:22" x14ac:dyDescent="0.35">
      <c r="A41">
        <v>12</v>
      </c>
      <c r="B41" s="21" t="s">
        <v>146</v>
      </c>
      <c r="C41" s="71">
        <v>2.0715449119634743E-2</v>
      </c>
      <c r="D41" s="74">
        <f t="shared" si="10"/>
        <v>0.5431818181818181</v>
      </c>
      <c r="E41" s="71">
        <f t="shared" si="11"/>
        <v>0.70649768811139735</v>
      </c>
    </row>
    <row r="42" spans="1:22" x14ac:dyDescent="0.35">
      <c r="A42">
        <v>13</v>
      </c>
      <c r="B42" s="21" t="s">
        <v>151</v>
      </c>
      <c r="C42" s="71">
        <v>2.4786465016885056E-2</v>
      </c>
      <c r="D42" s="74">
        <f t="shared" si="10"/>
        <v>0.58863636363636362</v>
      </c>
      <c r="E42" s="71">
        <f t="shared" si="11"/>
        <v>0.72194738254812396</v>
      </c>
    </row>
    <row r="43" spans="1:22" x14ac:dyDescent="0.35">
      <c r="A43">
        <v>14</v>
      </c>
      <c r="B43" s="21" t="s">
        <v>148</v>
      </c>
      <c r="C43" s="71">
        <v>0.29213651135891855</v>
      </c>
      <c r="D43" s="74">
        <f t="shared" si="10"/>
        <v>0.63409090909090904</v>
      </c>
      <c r="E43" s="71">
        <f t="shared" si="11"/>
        <v>0.73698925236393587</v>
      </c>
    </row>
    <row r="44" spans="1:22" x14ac:dyDescent="0.35">
      <c r="A44">
        <v>15</v>
      </c>
      <c r="B44" s="21" t="s">
        <v>5</v>
      </c>
      <c r="C44" s="71">
        <v>0.49446070110119444</v>
      </c>
      <c r="D44" s="74">
        <f t="shared" si="10"/>
        <v>0.67954545454545456</v>
      </c>
      <c r="E44" s="71">
        <f t="shared" si="11"/>
        <v>0.75160384144195558</v>
      </c>
      <c r="N44" s="38"/>
      <c r="O44" s="38"/>
      <c r="P44" s="38"/>
      <c r="Q44" s="38"/>
    </row>
    <row r="45" spans="1:22" x14ac:dyDescent="0.35">
      <c r="A45">
        <v>16</v>
      </c>
      <c r="B45" s="21" t="s">
        <v>20</v>
      </c>
      <c r="C45" s="71">
        <v>0.50587823157211287</v>
      </c>
      <c r="D45" s="74">
        <f t="shared" si="10"/>
        <v>0.72499999999999998</v>
      </c>
      <c r="E45" s="71">
        <f t="shared" si="11"/>
        <v>0.76577398478730507</v>
      </c>
    </row>
    <row r="46" spans="1:22" x14ac:dyDescent="0.35">
      <c r="A46">
        <v>17</v>
      </c>
      <c r="B46" s="21" t="s">
        <v>153</v>
      </c>
      <c r="C46" s="71">
        <v>0.65691669834590871</v>
      </c>
      <c r="D46" s="74">
        <f t="shared" si="10"/>
        <v>0.77045454545454539</v>
      </c>
      <c r="E46" s="71">
        <f t="shared" si="11"/>
        <v>0.77948484586042133</v>
      </c>
    </row>
    <row r="47" spans="1:22" x14ac:dyDescent="0.35">
      <c r="A47">
        <v>18</v>
      </c>
      <c r="B47" s="21" t="s">
        <v>4</v>
      </c>
      <c r="C47" s="71">
        <v>0.89935289255157114</v>
      </c>
      <c r="D47" s="74">
        <f>+(A47-0.05)/$O$8</f>
        <v>0.81590909090909092</v>
      </c>
      <c r="E47" s="71">
        <f t="shared" si="11"/>
        <v>0.79272393385885542</v>
      </c>
    </row>
    <row r="48" spans="1:22" x14ac:dyDescent="0.35">
      <c r="A48">
        <v>19</v>
      </c>
      <c r="B48" s="21" t="s">
        <v>149</v>
      </c>
      <c r="C48" s="71">
        <v>1.1249531850920091</v>
      </c>
      <c r="D48" s="74">
        <f t="shared" si="10"/>
        <v>0.86136363636363633</v>
      </c>
      <c r="E48" s="71">
        <f t="shared" si="11"/>
        <v>0.80548110140153162</v>
      </c>
    </row>
    <row r="49" spans="1:5" x14ac:dyDescent="0.35">
      <c r="A49">
        <v>20</v>
      </c>
      <c r="B49" s="21" t="s">
        <v>150</v>
      </c>
      <c r="C49" s="71">
        <v>1.2023693934763708</v>
      </c>
      <c r="D49" s="74">
        <f t="shared" si="10"/>
        <v>0.90681818181818175</v>
      </c>
      <c r="E49" s="71">
        <f t="shared" si="11"/>
        <v>0.81774852329315428</v>
      </c>
    </row>
    <row r="50" spans="1:5" x14ac:dyDescent="0.35">
      <c r="A50">
        <v>21</v>
      </c>
      <c r="B50" s="21" t="s">
        <v>11</v>
      </c>
      <c r="C50" s="71">
        <v>1.2869215584050613</v>
      </c>
      <c r="D50" s="74">
        <f t="shared" si="10"/>
        <v>0.95227272727272727</v>
      </c>
      <c r="E50" s="71">
        <f t="shared" si="11"/>
        <v>0.82952065725309199</v>
      </c>
    </row>
    <row r="51" spans="1:5" ht="15" thickBot="1" x14ac:dyDescent="0.4">
      <c r="A51">
        <v>22</v>
      </c>
      <c r="B51" s="23" t="s">
        <v>3</v>
      </c>
      <c r="C51" s="71">
        <v>1.9359209473357952</v>
      </c>
      <c r="D51" s="75">
        <f t="shared" si="10"/>
        <v>0.99772727272727268</v>
      </c>
      <c r="E51" s="77">
        <f t="shared" si="11"/>
        <v>0.84079418767987313</v>
      </c>
    </row>
    <row r="52" spans="1:5" ht="15" thickBot="1" x14ac:dyDescent="0.4">
      <c r="B52" s="26" t="s">
        <v>122</v>
      </c>
      <c r="C52" s="72">
        <f t="shared" ref="C52" si="12">SUM(C30:C51)</f>
        <v>0</v>
      </c>
    </row>
  </sheetData>
  <sortState xmlns:xlrd2="http://schemas.microsoft.com/office/spreadsheetml/2017/richdata2" ref="B30:C51">
    <sortCondition ref="C30:C51"/>
  </sortState>
  <pageMargins left="0.7" right="0.7" top="0.75" bottom="0.75" header="0.3" footer="0.3"/>
  <pageSetup paperSize="9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33604-512A-44E5-8D79-B41202D65F8A}">
  <dimension ref="A1:H7"/>
  <sheetViews>
    <sheetView tabSelected="1" workbookViewId="0">
      <selection activeCell="B13" sqref="B13"/>
    </sheetView>
  </sheetViews>
  <sheetFormatPr defaultRowHeight="14.5" x14ac:dyDescent="0.35"/>
  <sheetData>
    <row r="1" spans="1:8" ht="15" thickBot="1" x14ac:dyDescent="0.4"/>
    <row r="2" spans="1:8" x14ac:dyDescent="0.35">
      <c r="A2" s="88"/>
      <c r="B2" s="89" t="s">
        <v>162</v>
      </c>
      <c r="C2" s="89" t="s">
        <v>163</v>
      </c>
      <c r="D2" s="89"/>
      <c r="E2" s="90" t="s">
        <v>164</v>
      </c>
      <c r="F2" s="91" t="s">
        <v>165</v>
      </c>
    </row>
    <row r="3" spans="1:8" x14ac:dyDescent="0.35">
      <c r="A3" s="21">
        <v>1</v>
      </c>
      <c r="B3" s="85">
        <v>25</v>
      </c>
      <c r="C3" s="85">
        <v>50</v>
      </c>
      <c r="D3" s="85"/>
      <c r="E3" s="85">
        <f>LN(B3)</f>
        <v>3.2188758248682006</v>
      </c>
      <c r="F3" s="86">
        <f>LN(C3)</f>
        <v>3.912023005428146</v>
      </c>
    </row>
    <row r="4" spans="1:8" x14ac:dyDescent="0.35">
      <c r="A4" s="21">
        <v>2</v>
      </c>
      <c r="B4" s="85">
        <v>20</v>
      </c>
      <c r="C4" s="85">
        <v>60</v>
      </c>
      <c r="D4" s="85"/>
      <c r="E4" s="85">
        <f t="shared" ref="E4:F7" si="0">LN(B4)</f>
        <v>2.9957322735539909</v>
      </c>
      <c r="F4" s="86">
        <f t="shared" si="0"/>
        <v>4.0943445622221004</v>
      </c>
      <c r="H4" s="33">
        <v>-0.01</v>
      </c>
    </row>
    <row r="5" spans="1:8" x14ac:dyDescent="0.35">
      <c r="A5" s="21">
        <v>3</v>
      </c>
      <c r="B5" s="85">
        <v>15</v>
      </c>
      <c r="C5" s="85">
        <v>75</v>
      </c>
      <c r="D5" s="85"/>
      <c r="E5" s="85">
        <f t="shared" si="0"/>
        <v>2.7080502011022101</v>
      </c>
      <c r="F5" s="86">
        <f t="shared" si="0"/>
        <v>4.3174881135363101</v>
      </c>
      <c r="H5" s="33">
        <f t="shared" ref="H5:H7" si="1">+B5/B4-1</f>
        <v>-0.25</v>
      </c>
    </row>
    <row r="6" spans="1:8" x14ac:dyDescent="0.35">
      <c r="A6" s="21">
        <v>4</v>
      </c>
      <c r="B6" s="85">
        <v>10</v>
      </c>
      <c r="C6" s="85">
        <v>100</v>
      </c>
      <c r="D6" s="85"/>
      <c r="E6" s="85">
        <f t="shared" si="0"/>
        <v>2.3025850929940459</v>
      </c>
      <c r="F6" s="86">
        <f t="shared" si="0"/>
        <v>4.6051701859880918</v>
      </c>
      <c r="H6" s="33">
        <f t="shared" si="1"/>
        <v>-0.33333333333333337</v>
      </c>
    </row>
    <row r="7" spans="1:8" ht="15" thickBot="1" x14ac:dyDescent="0.4">
      <c r="A7" s="23">
        <v>5</v>
      </c>
      <c r="B7" s="35">
        <v>5</v>
      </c>
      <c r="C7" s="35">
        <v>200</v>
      </c>
      <c r="D7" s="35"/>
      <c r="E7" s="35">
        <f t="shared" si="0"/>
        <v>1.6094379124341003</v>
      </c>
      <c r="F7" s="87">
        <f t="shared" si="0"/>
        <v>5.2983173665480363</v>
      </c>
      <c r="H7" s="33">
        <f t="shared" si="1"/>
        <v>-0.5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54AD9-083B-459F-A6AA-CC4780B50F81}">
  <dimension ref="A2:H28"/>
  <sheetViews>
    <sheetView topLeftCell="A4" workbookViewId="0">
      <selection activeCell="D6" sqref="D6"/>
    </sheetView>
  </sheetViews>
  <sheetFormatPr defaultRowHeight="14.5" x14ac:dyDescent="0.35"/>
  <cols>
    <col min="2" max="2" width="14.6328125" customWidth="1"/>
    <col min="6" max="6" width="1.36328125" customWidth="1"/>
  </cols>
  <sheetData>
    <row r="2" spans="1:8" x14ac:dyDescent="0.35">
      <c r="B2" t="s">
        <v>166</v>
      </c>
    </row>
    <row r="3" spans="1:8" x14ac:dyDescent="0.35">
      <c r="B3" t="s">
        <v>167</v>
      </c>
      <c r="C3" s="33">
        <v>0.6</v>
      </c>
    </row>
    <row r="4" spans="1:8" x14ac:dyDescent="0.35">
      <c r="B4" t="s">
        <v>168</v>
      </c>
      <c r="C4" s="33">
        <v>-0.02</v>
      </c>
    </row>
    <row r="7" spans="1:8" ht="15" thickBot="1" x14ac:dyDescent="0.4"/>
    <row r="8" spans="1:8" ht="15" thickBot="1" x14ac:dyDescent="0.4">
      <c r="A8" s="26" t="s">
        <v>169</v>
      </c>
      <c r="B8" s="50" t="s">
        <v>170</v>
      </c>
      <c r="C8" s="50" t="s">
        <v>171</v>
      </c>
      <c r="D8" s="96"/>
      <c r="G8" s="101" t="s">
        <v>172</v>
      </c>
      <c r="H8" s="102" t="s">
        <v>173</v>
      </c>
    </row>
    <row r="9" spans="1:8" x14ac:dyDescent="0.35">
      <c r="A9" s="21">
        <v>1</v>
      </c>
      <c r="B9" s="85">
        <v>100</v>
      </c>
      <c r="C9" s="92">
        <f>+B9*D9</f>
        <v>60</v>
      </c>
      <c r="D9" s="93">
        <f>+C3</f>
        <v>0.6</v>
      </c>
      <c r="E9" s="80"/>
      <c r="F9" s="80"/>
      <c r="G9" s="97">
        <f>LN(B9)</f>
        <v>4.6051701859880918</v>
      </c>
      <c r="H9" s="98">
        <f>LN(C9)</f>
        <v>4.0943445622221004</v>
      </c>
    </row>
    <row r="10" spans="1:8" x14ac:dyDescent="0.35">
      <c r="A10" s="21">
        <v>2</v>
      </c>
      <c r="B10" s="85">
        <v>200</v>
      </c>
      <c r="C10" s="92">
        <f t="shared" ref="C10:C28" si="0">+B10*D10</f>
        <v>111.99999999999999</v>
      </c>
      <c r="D10" s="93">
        <f>+D9+$C$4*2</f>
        <v>0.55999999999999994</v>
      </c>
      <c r="E10" s="80"/>
      <c r="F10" s="80"/>
      <c r="G10" s="97">
        <f t="shared" ref="G10:H28" si="1">LN(B10)</f>
        <v>5.2983173665480363</v>
      </c>
      <c r="H10" s="98">
        <f t="shared" si="1"/>
        <v>4.7184988712950942</v>
      </c>
    </row>
    <row r="11" spans="1:8" x14ac:dyDescent="0.35">
      <c r="A11" s="21">
        <v>3</v>
      </c>
      <c r="B11" s="85">
        <v>300</v>
      </c>
      <c r="C11" s="92">
        <f t="shared" si="0"/>
        <v>155.99999999999997</v>
      </c>
      <c r="D11" s="93">
        <f t="shared" ref="D11:D14" si="2">+D10+$C$4*2</f>
        <v>0.51999999999999991</v>
      </c>
      <c r="E11" s="80"/>
      <c r="F11" s="80"/>
      <c r="G11" s="97">
        <f t="shared" si="1"/>
        <v>5.7037824746562009</v>
      </c>
      <c r="H11" s="98">
        <f t="shared" si="1"/>
        <v>5.0498560072495371</v>
      </c>
    </row>
    <row r="12" spans="1:8" x14ac:dyDescent="0.35">
      <c r="A12" s="21">
        <v>4</v>
      </c>
      <c r="B12" s="85">
        <v>400</v>
      </c>
      <c r="C12" s="92">
        <f t="shared" si="0"/>
        <v>191.99999999999997</v>
      </c>
      <c r="D12" s="93">
        <f t="shared" si="2"/>
        <v>0.47999999999999993</v>
      </c>
      <c r="E12" s="80"/>
      <c r="F12" s="80"/>
      <c r="G12" s="97">
        <f t="shared" si="1"/>
        <v>5.9914645471079817</v>
      </c>
      <c r="H12" s="98">
        <f t="shared" si="1"/>
        <v>5.2574953720277815</v>
      </c>
    </row>
    <row r="13" spans="1:8" x14ac:dyDescent="0.35">
      <c r="A13" s="21">
        <v>5</v>
      </c>
      <c r="B13" s="85">
        <v>500</v>
      </c>
      <c r="C13" s="92">
        <f t="shared" si="0"/>
        <v>219.99999999999997</v>
      </c>
      <c r="D13" s="93">
        <f>+D12+$C$4*2</f>
        <v>0.43999999999999995</v>
      </c>
      <c r="E13" s="80"/>
      <c r="F13" s="80"/>
      <c r="G13" s="97">
        <f t="shared" si="1"/>
        <v>6.2146080984221914</v>
      </c>
      <c r="H13" s="98">
        <f t="shared" si="1"/>
        <v>5.3936275463523611</v>
      </c>
    </row>
    <row r="14" spans="1:8" x14ac:dyDescent="0.35">
      <c r="A14" s="21">
        <v>6</v>
      </c>
      <c r="B14" s="85">
        <v>600</v>
      </c>
      <c r="C14" s="92">
        <f t="shared" si="0"/>
        <v>239.99999999999997</v>
      </c>
      <c r="D14" s="93">
        <f t="shared" si="2"/>
        <v>0.39999999999999997</v>
      </c>
      <c r="E14" s="80"/>
      <c r="F14" s="80"/>
      <c r="G14" s="97">
        <f t="shared" si="1"/>
        <v>6.3969296552161463</v>
      </c>
      <c r="H14" s="98">
        <f t="shared" si="1"/>
        <v>5.4806389233419912</v>
      </c>
    </row>
    <row r="15" spans="1:8" x14ac:dyDescent="0.35">
      <c r="A15" s="21">
        <v>7</v>
      </c>
      <c r="B15" s="85">
        <v>700</v>
      </c>
      <c r="C15" s="92">
        <f t="shared" si="0"/>
        <v>265.99999999999994</v>
      </c>
      <c r="D15" s="93">
        <f t="shared" ref="D15:D20" si="3">+D14+$C$4</f>
        <v>0.37999999999999995</v>
      </c>
      <c r="E15" s="80"/>
      <c r="F15" s="80"/>
      <c r="G15" s="97">
        <f t="shared" si="1"/>
        <v>6.5510803350434044</v>
      </c>
      <c r="H15" s="98">
        <f t="shared" si="1"/>
        <v>5.5834963087816991</v>
      </c>
    </row>
    <row r="16" spans="1:8" x14ac:dyDescent="0.35">
      <c r="A16" s="21">
        <v>8</v>
      </c>
      <c r="B16" s="85">
        <v>800</v>
      </c>
      <c r="C16" s="92">
        <f t="shared" si="0"/>
        <v>287.99999999999994</v>
      </c>
      <c r="D16" s="93">
        <f t="shared" si="3"/>
        <v>0.35999999999999993</v>
      </c>
      <c r="E16" s="80"/>
      <c r="F16" s="80"/>
      <c r="G16" s="97">
        <f t="shared" si="1"/>
        <v>6.6846117276679271</v>
      </c>
      <c r="H16" s="98">
        <f t="shared" si="1"/>
        <v>5.6629604801359461</v>
      </c>
    </row>
    <row r="17" spans="1:8" x14ac:dyDescent="0.35">
      <c r="A17" s="21">
        <v>9</v>
      </c>
      <c r="B17" s="85">
        <v>900</v>
      </c>
      <c r="C17" s="92">
        <f t="shared" si="0"/>
        <v>305.99999999999994</v>
      </c>
      <c r="D17" s="93">
        <f t="shared" si="3"/>
        <v>0.33999999999999991</v>
      </c>
      <c r="E17" s="80"/>
      <c r="F17" s="80"/>
      <c r="G17" s="97">
        <f t="shared" si="1"/>
        <v>6.8023947633243109</v>
      </c>
      <c r="H17" s="98">
        <f t="shared" si="1"/>
        <v>5.7235851019523807</v>
      </c>
    </row>
    <row r="18" spans="1:8" x14ac:dyDescent="0.35">
      <c r="A18" s="21">
        <v>10</v>
      </c>
      <c r="B18" s="85">
        <v>1000</v>
      </c>
      <c r="C18" s="92">
        <f t="shared" si="0"/>
        <v>319.99999999999989</v>
      </c>
      <c r="D18" s="93">
        <f t="shared" si="3"/>
        <v>0.3199999999999999</v>
      </c>
      <c r="E18" s="80"/>
      <c r="F18" s="80"/>
      <c r="G18" s="97">
        <f t="shared" si="1"/>
        <v>6.9077552789821368</v>
      </c>
      <c r="H18" s="98">
        <f t="shared" si="1"/>
        <v>5.768320995793772</v>
      </c>
    </row>
    <row r="19" spans="1:8" x14ac:dyDescent="0.35">
      <c r="A19" s="21">
        <v>11</v>
      </c>
      <c r="B19" s="85">
        <v>1100</v>
      </c>
      <c r="C19" s="92">
        <f t="shared" si="0"/>
        <v>329.99999999999989</v>
      </c>
      <c r="D19" s="93">
        <f t="shared" si="3"/>
        <v>0.29999999999999988</v>
      </c>
      <c r="E19" s="80"/>
      <c r="F19" s="80"/>
      <c r="G19" s="97">
        <f t="shared" si="1"/>
        <v>7.0030654587864616</v>
      </c>
      <c r="H19" s="98">
        <f t="shared" si="1"/>
        <v>5.7990926544605257</v>
      </c>
    </row>
    <row r="20" spans="1:8" x14ac:dyDescent="0.35">
      <c r="A20" s="21">
        <v>12</v>
      </c>
      <c r="B20" s="85">
        <v>1200</v>
      </c>
      <c r="C20" s="92">
        <f t="shared" si="0"/>
        <v>335.99999999999983</v>
      </c>
      <c r="D20" s="93">
        <f t="shared" si="3"/>
        <v>0.27999999999999986</v>
      </c>
      <c r="E20" s="80"/>
      <c r="F20" s="80"/>
      <c r="G20" s="97">
        <f t="shared" si="1"/>
        <v>7.0900768357760917</v>
      </c>
      <c r="H20" s="98">
        <f t="shared" si="1"/>
        <v>5.8171111599632042</v>
      </c>
    </row>
    <row r="21" spans="1:8" x14ac:dyDescent="0.35">
      <c r="A21" s="21">
        <v>13</v>
      </c>
      <c r="B21" s="85">
        <v>1300</v>
      </c>
      <c r="C21" s="92">
        <f t="shared" si="0"/>
        <v>350.99999999999983</v>
      </c>
      <c r="D21" s="93">
        <f>+D20+$C$4/2</f>
        <v>0.26999999999999985</v>
      </c>
      <c r="E21" s="80"/>
      <c r="F21" s="80"/>
      <c r="G21" s="97">
        <f t="shared" si="1"/>
        <v>7.1701195434496281</v>
      </c>
      <c r="H21" s="98">
        <f t="shared" si="1"/>
        <v>5.8607862234658654</v>
      </c>
    </row>
    <row r="22" spans="1:8" x14ac:dyDescent="0.35">
      <c r="A22" s="21">
        <v>14</v>
      </c>
      <c r="B22" s="85">
        <v>1400</v>
      </c>
      <c r="C22" s="92">
        <f t="shared" si="0"/>
        <v>363.99999999999977</v>
      </c>
      <c r="D22" s="93">
        <f t="shared" ref="D22:D28" si="4">+D21+$C$4/2</f>
        <v>0.25999999999999984</v>
      </c>
      <c r="E22" s="80"/>
      <c r="F22" s="80"/>
      <c r="G22" s="97">
        <f t="shared" si="1"/>
        <v>7.2442275156033498</v>
      </c>
      <c r="H22" s="98">
        <f t="shared" si="1"/>
        <v>5.8971538676367397</v>
      </c>
    </row>
    <row r="23" spans="1:8" x14ac:dyDescent="0.35">
      <c r="A23" s="21">
        <v>15</v>
      </c>
      <c r="B23" s="85">
        <v>1500</v>
      </c>
      <c r="C23" s="92">
        <f t="shared" si="0"/>
        <v>374.99999999999977</v>
      </c>
      <c r="D23" s="93">
        <f t="shared" si="4"/>
        <v>0.24999999999999983</v>
      </c>
      <c r="E23" s="80"/>
      <c r="F23" s="80"/>
      <c r="G23" s="97">
        <f t="shared" si="1"/>
        <v>7.3132203870903014</v>
      </c>
      <c r="H23" s="98">
        <f t="shared" si="1"/>
        <v>5.9269260259704106</v>
      </c>
    </row>
    <row r="24" spans="1:8" x14ac:dyDescent="0.35">
      <c r="A24" s="21">
        <v>16</v>
      </c>
      <c r="B24" s="85">
        <v>1600</v>
      </c>
      <c r="C24" s="92">
        <f t="shared" si="0"/>
        <v>383.99999999999972</v>
      </c>
      <c r="D24" s="93">
        <f t="shared" si="4"/>
        <v>0.23999999999999982</v>
      </c>
      <c r="E24" s="80"/>
      <c r="F24" s="80"/>
      <c r="G24" s="97">
        <f t="shared" si="1"/>
        <v>7.3777589082278725</v>
      </c>
      <c r="H24" s="98">
        <f t="shared" si="1"/>
        <v>5.950642552587726</v>
      </c>
    </row>
    <row r="25" spans="1:8" x14ac:dyDescent="0.35">
      <c r="A25" s="21">
        <v>17</v>
      </c>
      <c r="B25" s="85">
        <v>1700</v>
      </c>
      <c r="C25" s="92">
        <f t="shared" si="0"/>
        <v>390.99999999999966</v>
      </c>
      <c r="D25" s="93">
        <f t="shared" si="4"/>
        <v>0.22999999999999982</v>
      </c>
      <c r="E25" s="80"/>
      <c r="F25" s="80"/>
      <c r="G25" s="97">
        <f t="shared" si="1"/>
        <v>7.4383835300443071</v>
      </c>
      <c r="H25" s="98">
        <f t="shared" si="1"/>
        <v>5.968707559985365</v>
      </c>
    </row>
    <row r="26" spans="1:8" x14ac:dyDescent="0.35">
      <c r="A26" s="21">
        <v>18</v>
      </c>
      <c r="B26" s="85">
        <v>1800</v>
      </c>
      <c r="C26" s="92">
        <f t="shared" si="0"/>
        <v>395.99999999999966</v>
      </c>
      <c r="D26" s="93">
        <f t="shared" si="4"/>
        <v>0.21999999999999981</v>
      </c>
      <c r="E26" s="80"/>
      <c r="F26" s="80"/>
      <c r="G26" s="97">
        <f t="shared" si="1"/>
        <v>7.4955419438842563</v>
      </c>
      <c r="H26" s="98">
        <f t="shared" si="1"/>
        <v>5.9814142112544797</v>
      </c>
    </row>
    <row r="27" spans="1:8" x14ac:dyDescent="0.35">
      <c r="A27" s="21">
        <v>19</v>
      </c>
      <c r="B27" s="85">
        <v>1900</v>
      </c>
      <c r="C27" s="92">
        <f t="shared" si="0"/>
        <v>398.9999999999996</v>
      </c>
      <c r="D27" s="93">
        <f t="shared" si="4"/>
        <v>0.2099999999999998</v>
      </c>
      <c r="E27" s="80"/>
      <c r="F27" s="80"/>
      <c r="G27" s="97">
        <f t="shared" si="1"/>
        <v>7.5496091651545321</v>
      </c>
      <c r="H27" s="98">
        <f t="shared" si="1"/>
        <v>5.9889614168898628</v>
      </c>
    </row>
    <row r="28" spans="1:8" ht="15" thickBot="1" x14ac:dyDescent="0.4">
      <c r="A28" s="23">
        <v>20</v>
      </c>
      <c r="B28" s="35">
        <v>2000</v>
      </c>
      <c r="C28" s="94">
        <f t="shared" si="0"/>
        <v>399.9999999999996</v>
      </c>
      <c r="D28" s="95">
        <f t="shared" si="4"/>
        <v>0.19999999999999979</v>
      </c>
      <c r="E28" s="80"/>
      <c r="F28" s="80"/>
      <c r="G28" s="99">
        <f t="shared" si="1"/>
        <v>7.6009024595420822</v>
      </c>
      <c r="H28" s="100">
        <f t="shared" si="1"/>
        <v>5.9914645471079808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Pearson_esempio</vt:lpstr>
      <vt:lpstr>Pearson_pag.235</vt:lpstr>
      <vt:lpstr>Equazione Retta</vt:lpstr>
      <vt:lpstr>Regressione_esempio1</vt:lpstr>
      <vt:lpstr>Regressione_esempio2</vt:lpstr>
      <vt:lpstr>Analisi residui esempio2</vt:lpstr>
      <vt:lpstr>Esempio 6.2</vt:lpstr>
      <vt:lpstr>Regressione_elasticità_domanda</vt:lpstr>
      <vt:lpstr>Regressione_economie_di_scala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Cannata</dc:creator>
  <cp:lastModifiedBy>CANNATA ROBERTO</cp:lastModifiedBy>
  <cp:lastPrinted>2024-09-02T12:40:28Z</cp:lastPrinted>
  <dcterms:created xsi:type="dcterms:W3CDTF">2015-06-05T18:19:34Z</dcterms:created>
  <dcterms:modified xsi:type="dcterms:W3CDTF">2024-11-17T11:00:19Z</dcterms:modified>
</cp:coreProperties>
</file>