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s-my.sharepoint.com/personal/44318_ds_units_it/Documents/Desktop/Work/Work from 2024_UNITs/Didattica/Corsi/2025-2026/CTF_25-26/Preformulazione, fisica-farmaceutica e biofarmaceutica_140fa/Seminari/"/>
    </mc:Choice>
  </mc:AlternateContent>
  <xr:revisionPtr revIDLastSave="36" documentId="8_{9A792913-9C59-46F7-A052-8EAEE7FA9472}" xr6:coauthVersionLast="47" xr6:coauthVersionMax="47" xr10:uidLastSave="{B43FC8E1-316B-4737-AB4E-91EC96402BA9}"/>
  <bookViews>
    <workbookView xWindow="-110" yWindow="-110" windowWidth="19420" windowHeight="11500" xr2:uid="{A2D459E6-214B-463B-9F56-B9B5EBDD49F0}"/>
  </bookViews>
  <sheets>
    <sheet name="Dati sperimentali" sheetId="1" r:id="rId1"/>
    <sheet name="Reta di calibrazione 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4" i="1" l="1"/>
  <c r="U34" i="1"/>
  <c r="T34" i="1"/>
  <c r="R70" i="1"/>
  <c r="R69" i="1"/>
  <c r="R68" i="1"/>
  <c r="R67" i="1"/>
  <c r="U64" i="1"/>
  <c r="T30" i="1"/>
  <c r="T33" i="1"/>
  <c r="T32" i="1"/>
  <c r="U32" i="1"/>
  <c r="T31" i="1"/>
  <c r="U31" i="1" s="1"/>
  <c r="U30" i="1"/>
  <c r="U33" i="1"/>
  <c r="S31" i="1"/>
  <c r="S32" i="1"/>
  <c r="S33" i="1"/>
  <c r="S30" i="1"/>
  <c r="R33" i="1"/>
  <c r="R32" i="1"/>
  <c r="R31" i="1"/>
  <c r="R30" i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2" i="1"/>
  <c r="O32" i="1" s="1"/>
  <c r="O31" i="1"/>
  <c r="N31" i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O24" i="1"/>
  <c r="N24" i="1"/>
  <c r="N23" i="1"/>
  <c r="O23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N16" i="1"/>
  <c r="N17" i="1"/>
  <c r="N18" i="1"/>
  <c r="N9" i="1"/>
  <c r="O15" i="1"/>
  <c r="O16" i="1"/>
  <c r="O17" i="1"/>
  <c r="O18" i="1"/>
  <c r="O9" i="1"/>
  <c r="I60" i="1"/>
  <c r="J60" i="1" s="1"/>
  <c r="H60" i="1"/>
  <c r="K60" i="1" s="1"/>
  <c r="L60" i="1" s="1"/>
  <c r="M60" i="1" s="1"/>
  <c r="I59" i="1"/>
  <c r="J59" i="1" s="1"/>
  <c r="H59" i="1"/>
  <c r="K59" i="1" s="1"/>
  <c r="L59" i="1" s="1"/>
  <c r="M59" i="1" s="1"/>
  <c r="I58" i="1"/>
  <c r="J58" i="1" s="1"/>
  <c r="H58" i="1"/>
  <c r="K58" i="1" s="1"/>
  <c r="L58" i="1" s="1"/>
  <c r="M58" i="1" s="1"/>
  <c r="I57" i="1"/>
  <c r="J57" i="1" s="1"/>
  <c r="H57" i="1"/>
  <c r="K57" i="1" s="1"/>
  <c r="L57" i="1" s="1"/>
  <c r="M57" i="1" s="1"/>
  <c r="K56" i="1"/>
  <c r="L56" i="1" s="1"/>
  <c r="M56" i="1" s="1"/>
  <c r="J56" i="1"/>
  <c r="I56" i="1"/>
  <c r="H56" i="1"/>
  <c r="I55" i="1"/>
  <c r="J55" i="1" s="1"/>
  <c r="H55" i="1"/>
  <c r="K55" i="1" s="1"/>
  <c r="L55" i="1" s="1"/>
  <c r="M55" i="1" s="1"/>
  <c r="I54" i="1"/>
  <c r="J54" i="1" s="1"/>
  <c r="H54" i="1"/>
  <c r="K54" i="1" s="1"/>
  <c r="L54" i="1" s="1"/>
  <c r="M54" i="1" s="1"/>
  <c r="I53" i="1"/>
  <c r="J53" i="1" s="1"/>
  <c r="H53" i="1"/>
  <c r="K53" i="1" s="1"/>
  <c r="L53" i="1" s="1"/>
  <c r="M53" i="1" s="1"/>
  <c r="I52" i="1"/>
  <c r="J52" i="1" s="1"/>
  <c r="H52" i="1"/>
  <c r="K52" i="1" s="1"/>
  <c r="L52" i="1" s="1"/>
  <c r="M52" i="1" s="1"/>
  <c r="I51" i="1"/>
  <c r="J51" i="1" s="1"/>
  <c r="H51" i="1"/>
  <c r="K51" i="1" s="1"/>
  <c r="L51" i="1" s="1"/>
  <c r="M51" i="1" s="1"/>
  <c r="I46" i="1"/>
  <c r="J46" i="1" s="1"/>
  <c r="H46" i="1"/>
  <c r="K46" i="1" s="1"/>
  <c r="L46" i="1" s="1"/>
  <c r="M46" i="1" s="1"/>
  <c r="I45" i="1"/>
  <c r="J45" i="1" s="1"/>
  <c r="H45" i="1"/>
  <c r="K45" i="1" s="1"/>
  <c r="L45" i="1" s="1"/>
  <c r="M45" i="1" s="1"/>
  <c r="K44" i="1"/>
  <c r="L44" i="1" s="1"/>
  <c r="M44" i="1" s="1"/>
  <c r="J44" i="1"/>
  <c r="I44" i="1"/>
  <c r="H44" i="1"/>
  <c r="I43" i="1"/>
  <c r="J43" i="1" s="1"/>
  <c r="H43" i="1"/>
  <c r="K43" i="1" s="1"/>
  <c r="L43" i="1" s="1"/>
  <c r="M43" i="1" s="1"/>
  <c r="I42" i="1"/>
  <c r="J42" i="1" s="1"/>
  <c r="H42" i="1"/>
  <c r="K42" i="1" s="1"/>
  <c r="L42" i="1" s="1"/>
  <c r="M42" i="1" s="1"/>
  <c r="I41" i="1"/>
  <c r="J41" i="1" s="1"/>
  <c r="H41" i="1"/>
  <c r="K41" i="1" s="1"/>
  <c r="L41" i="1" s="1"/>
  <c r="M41" i="1" s="1"/>
  <c r="I40" i="1"/>
  <c r="J40" i="1" s="1"/>
  <c r="H40" i="1"/>
  <c r="K40" i="1" s="1"/>
  <c r="L40" i="1" s="1"/>
  <c r="M40" i="1" s="1"/>
  <c r="I39" i="1"/>
  <c r="J39" i="1" s="1"/>
  <c r="H39" i="1"/>
  <c r="K39" i="1" s="1"/>
  <c r="L39" i="1" s="1"/>
  <c r="M39" i="1" s="1"/>
  <c r="I38" i="1"/>
  <c r="J38" i="1" s="1"/>
  <c r="H38" i="1"/>
  <c r="K38" i="1" s="1"/>
  <c r="L38" i="1" s="1"/>
  <c r="M38" i="1" s="1"/>
  <c r="K37" i="1"/>
  <c r="L37" i="1" s="1"/>
  <c r="M37" i="1" s="1"/>
  <c r="J37" i="1"/>
  <c r="I37" i="1"/>
  <c r="H37" i="1"/>
  <c r="I32" i="1"/>
  <c r="J32" i="1" s="1"/>
  <c r="H32" i="1"/>
  <c r="K32" i="1" s="1"/>
  <c r="L32" i="1" s="1"/>
  <c r="M32" i="1" s="1"/>
  <c r="I31" i="1"/>
  <c r="J31" i="1" s="1"/>
  <c r="H31" i="1"/>
  <c r="K31" i="1" s="1"/>
  <c r="L31" i="1" s="1"/>
  <c r="M31" i="1" s="1"/>
  <c r="I30" i="1"/>
  <c r="J30" i="1" s="1"/>
  <c r="H30" i="1"/>
  <c r="K30" i="1" s="1"/>
  <c r="L30" i="1" s="1"/>
  <c r="M30" i="1" s="1"/>
  <c r="I29" i="1"/>
  <c r="J29" i="1" s="1"/>
  <c r="H29" i="1"/>
  <c r="K29" i="1" s="1"/>
  <c r="L29" i="1" s="1"/>
  <c r="M29" i="1" s="1"/>
  <c r="K28" i="1"/>
  <c r="L28" i="1" s="1"/>
  <c r="M28" i="1" s="1"/>
  <c r="J28" i="1"/>
  <c r="I28" i="1"/>
  <c r="H28" i="1"/>
  <c r="I27" i="1"/>
  <c r="J27" i="1" s="1"/>
  <c r="H27" i="1"/>
  <c r="K27" i="1" s="1"/>
  <c r="L27" i="1" s="1"/>
  <c r="M27" i="1" s="1"/>
  <c r="I26" i="1"/>
  <c r="J26" i="1" s="1"/>
  <c r="H26" i="1"/>
  <c r="K26" i="1" s="1"/>
  <c r="L26" i="1" s="1"/>
  <c r="M26" i="1" s="1"/>
  <c r="I25" i="1"/>
  <c r="J25" i="1" s="1"/>
  <c r="H25" i="1"/>
  <c r="K25" i="1" s="1"/>
  <c r="L25" i="1" s="1"/>
  <c r="M25" i="1" s="1"/>
  <c r="I24" i="1"/>
  <c r="J24" i="1" s="1"/>
  <c r="H24" i="1"/>
  <c r="K24" i="1" s="1"/>
  <c r="L24" i="1" s="1"/>
  <c r="M24" i="1" s="1"/>
  <c r="I23" i="1"/>
  <c r="J23" i="1" s="1"/>
  <c r="H23" i="1"/>
  <c r="K23" i="1" s="1"/>
  <c r="L23" i="1" s="1"/>
  <c r="M23" i="1" s="1"/>
  <c r="J18" i="1"/>
  <c r="M18" i="1" s="1"/>
  <c r="J9" i="1"/>
  <c r="M9" i="1" s="1"/>
  <c r="I10" i="1"/>
  <c r="J10" i="1" s="1"/>
  <c r="I11" i="1"/>
  <c r="J11" i="1" s="1"/>
  <c r="I12" i="1"/>
  <c r="I13" i="1"/>
  <c r="I14" i="1"/>
  <c r="I15" i="1"/>
  <c r="I16" i="1"/>
  <c r="I17" i="1"/>
  <c r="I18" i="1"/>
  <c r="I9" i="1"/>
  <c r="H10" i="1"/>
  <c r="K10" i="1" s="1"/>
  <c r="L10" i="1" s="1"/>
  <c r="H11" i="1"/>
  <c r="K11" i="1" s="1"/>
  <c r="L11" i="1" s="1"/>
  <c r="H12" i="1"/>
  <c r="K12" i="1" s="1"/>
  <c r="L12" i="1" s="1"/>
  <c r="H13" i="1"/>
  <c r="K13" i="1" s="1"/>
  <c r="L13" i="1" s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9" i="1"/>
  <c r="K9" i="1" s="1"/>
  <c r="L9" i="1" s="1"/>
  <c r="C11" i="2"/>
  <c r="M11" i="1" l="1"/>
  <c r="M10" i="1"/>
  <c r="M14" i="1"/>
  <c r="J13" i="1"/>
  <c r="M13" i="1" s="1"/>
  <c r="J12" i="1"/>
  <c r="M12" i="1" s="1"/>
  <c r="J17" i="1"/>
  <c r="M17" i="1" s="1"/>
  <c r="J15" i="1"/>
  <c r="M15" i="1" s="1"/>
  <c r="J14" i="1"/>
  <c r="J16" i="1"/>
  <c r="M16" i="1" s="1"/>
</calcChain>
</file>

<file path=xl/sharedStrings.xml><?xml version="1.0" encoding="utf-8"?>
<sst xmlns="http://schemas.openxmlformats.org/spreadsheetml/2006/main" count="110" uniqueCount="44">
  <si>
    <t>Conc ASA</t>
  </si>
  <si>
    <t>ABS</t>
  </si>
  <si>
    <t>tempo</t>
  </si>
  <si>
    <t>P1</t>
  </si>
  <si>
    <t>P2</t>
  </si>
  <si>
    <t>P3</t>
  </si>
  <si>
    <t>min</t>
  </si>
  <si>
    <t>%</t>
  </si>
  <si>
    <t>Tem</t>
  </si>
  <si>
    <t>°C</t>
  </si>
  <si>
    <t>Temp</t>
  </si>
  <si>
    <r>
      <rPr>
        <sz val="11"/>
        <color theme="1"/>
        <rFont val="Calibri"/>
        <family val="2"/>
      </rPr>
      <t>λ</t>
    </r>
    <r>
      <rPr>
        <vertAlign val="subscript"/>
        <sz val="11"/>
        <color theme="1"/>
        <rFont val="Calibri"/>
        <family val="2"/>
      </rPr>
      <t>MAX</t>
    </r>
  </si>
  <si>
    <t>nm</t>
  </si>
  <si>
    <t xml:space="preserve">ε </t>
  </si>
  <si>
    <r>
      <t>(%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</si>
  <si>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SD</t>
  </si>
  <si>
    <t>[ASA]</t>
  </si>
  <si>
    <t>ln[ASA]</t>
  </si>
  <si>
    <t>K</t>
  </si>
  <si>
    <t>Kelvin</t>
  </si>
  <si>
    <t>1/T</t>
  </si>
  <si>
    <t>Ea/R</t>
  </si>
  <si>
    <t>lnA</t>
  </si>
  <si>
    <t>ASA</t>
  </si>
  <si>
    <t>media ABS</t>
  </si>
  <si>
    <t>[SA]</t>
  </si>
  <si>
    <t>Vol</t>
  </si>
  <si>
    <t>ml</t>
  </si>
  <si>
    <t>[ASA] tempo zero</t>
  </si>
  <si>
    <t>Fattore diluizione</t>
  </si>
  <si>
    <t>g/mL</t>
  </si>
  <si>
    <t>100 mg/mL</t>
  </si>
  <si>
    <t xml:space="preserve">SD </t>
  </si>
  <si>
    <t xml:space="preserve">SD [ASA] </t>
  </si>
  <si>
    <t xml:space="preserve">SD ln[ASA] </t>
  </si>
  <si>
    <t>k</t>
  </si>
  <si>
    <t>T</t>
  </si>
  <si>
    <r>
      <t>Kelvn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</si>
  <si>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lnK</t>
  </si>
  <si>
    <t>A</t>
  </si>
  <si>
    <t>min-1</t>
  </si>
  <si>
    <t>t1/2</t>
  </si>
  <si>
    <t>ore</t>
  </si>
  <si>
    <t>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</si>
</sst>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0.0"/>
    <numFmt numFmtId="166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2" fillId="0" borderId="0" xfId="0" applyFont="1"/>
    <xf numFmtId="2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" fontId="0" fillId="0" borderId="0" xfId="0" applyNumberFormat="1"/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1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1" fillId="2" borderId="1" xfId="0" applyNumberFormat="1" applyFont="1" applyFill="1" applyBorder="1"/>
    <xf numFmtId="2" fontId="6" fillId="3" borderId="0" xfId="0" applyNumberFormat="1" applyFont="1" applyFill="1"/>
    <xf numFmtId="0" fontId="6" fillId="3" borderId="0" xfId="0" applyFont="1" applyFill="1"/>
    <xf numFmtId="0" fontId="0" fillId="4" borderId="1" xfId="0" applyFill="1" applyBorder="1" applyAlignment="1">
      <alignment horizontal="center"/>
    </xf>
    <xf numFmtId="11" fontId="0" fillId="4" borderId="1" xfId="0" applyNumberForma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'Dati sperimentali'!$B$5:$C$5</c:f>
              <c:strCache>
                <c:ptCount val="1"/>
                <c:pt idx="0">
                  <c:v>50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'Dati sperimentali'!$D$9:$D$18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xVal>
          <c:yVal>
            <c:numRef>
              <c:f>'Dati sperimentali'!$N$9:$N$18</c:f>
              <c:numCache>
                <c:formatCode>General</c:formatCode>
                <c:ptCount val="10"/>
                <c:pt idx="0">
                  <c:v>-1.4575330366273863E-2</c:v>
                </c:pt>
                <c:pt idx="1">
                  <c:v>-1.6844988190089782E-2</c:v>
                </c:pt>
                <c:pt idx="2">
                  <c:v>-1.9526572201489442E-2</c:v>
                </c:pt>
                <c:pt idx="3">
                  <c:v>-2.1916254261980544E-2</c:v>
                </c:pt>
                <c:pt idx="4">
                  <c:v>-2.4175404095293174E-2</c:v>
                </c:pt>
                <c:pt idx="5">
                  <c:v>-2.6904067652559566E-2</c:v>
                </c:pt>
                <c:pt idx="6">
                  <c:v>-2.9119756174411648E-2</c:v>
                </c:pt>
                <c:pt idx="7">
                  <c:v>-3.197180801854678E-2</c:v>
                </c:pt>
                <c:pt idx="8">
                  <c:v>-3.4556641443651108E-2</c:v>
                </c:pt>
                <c:pt idx="9">
                  <c:v>-3.6678994468088963E-2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83-4F72-85E4-195578260186}"/>
            </c:ext>
          </c:extLst>
        </c:ser>
        <c:ser>
          <c:idx val="1"/>
          <c:order val="1"/>
          <c:tx>
            <c:strRef>
              <c:f>'Dati sperimentali'!$B$21:$C$21</c:f>
              <c:strCache>
                <c:ptCount val="1"/>
                <c:pt idx="0">
                  <c:v>60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'Dati sperimentali'!$D$23:$D$32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xVal>
          <c:yVal>
            <c:numRef>
              <c:f>'Dati sperimentali'!$N$23:$N$32</c:f>
              <c:numCache>
                <c:formatCode>General</c:formatCode>
                <c:ptCount val="10"/>
                <c:pt idx="0">
                  <c:v>-1.809008240967732E-2</c:v>
                </c:pt>
                <c:pt idx="1">
                  <c:v>-2.4039166169168635E-2</c:v>
                </c:pt>
                <c:pt idx="2">
                  <c:v>-3.0188322616249062E-2</c:v>
                </c:pt>
                <c:pt idx="3">
                  <c:v>-3.6375525260987258E-2</c:v>
                </c:pt>
                <c:pt idx="4">
                  <c:v>-4.2046278068166333E-2</c:v>
                </c:pt>
                <c:pt idx="5">
                  <c:v>-4.8586705774974384E-2</c:v>
                </c:pt>
                <c:pt idx="6">
                  <c:v>-5.4636297113879136E-2</c:v>
                </c:pt>
                <c:pt idx="7">
                  <c:v>-6.0807503736739217E-2</c:v>
                </c:pt>
                <c:pt idx="8">
                  <c:v>-6.6448348094262269E-2</c:v>
                </c:pt>
                <c:pt idx="9">
                  <c:v>-7.2778927009790606E-2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83-4F72-85E4-195578260186}"/>
            </c:ext>
          </c:extLst>
        </c:ser>
        <c:ser>
          <c:idx val="2"/>
          <c:order val="2"/>
          <c:tx>
            <c:strRef>
              <c:f>'Dati sperimentali'!$B$35:$C$35</c:f>
              <c:strCache>
                <c:ptCount val="1"/>
                <c:pt idx="0">
                  <c:v>70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'Dati sperimentali'!$D$37:$D$46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xVal>
          <c:yVal>
            <c:numRef>
              <c:f>'Dati sperimentali'!$N$37:$N$46</c:f>
              <c:numCache>
                <c:formatCode>General</c:formatCode>
                <c:ptCount val="10"/>
                <c:pt idx="0">
                  <c:v>-2.6002785312670942E-2</c:v>
                </c:pt>
                <c:pt idx="1">
                  <c:v>-4.0549396291785257E-2</c:v>
                </c:pt>
                <c:pt idx="2">
                  <c:v>-5.5085874237976264E-2</c:v>
                </c:pt>
                <c:pt idx="3">
                  <c:v>-6.8924477491917532E-2</c:v>
                </c:pt>
                <c:pt idx="4">
                  <c:v>-8.3246312300966172E-2</c:v>
                </c:pt>
                <c:pt idx="5">
                  <c:v>-9.6808801911708292E-2</c:v>
                </c:pt>
                <c:pt idx="6">
                  <c:v>-0.10889550055381522</c:v>
                </c:pt>
                <c:pt idx="7">
                  <c:v>-0.12558348876112699</c:v>
                </c:pt>
                <c:pt idx="8">
                  <c:v>-0.13707908844237135</c:v>
                </c:pt>
                <c:pt idx="9">
                  <c:v>-0.15248079777048862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83-4F72-85E4-195578260186}"/>
            </c:ext>
          </c:extLst>
        </c:ser>
        <c:ser>
          <c:idx val="3"/>
          <c:order val="3"/>
          <c:tx>
            <c:strRef>
              <c:f>'Dati sperimentali'!$B$49:$C$49</c:f>
              <c:strCache>
                <c:ptCount val="1"/>
                <c:pt idx="0">
                  <c:v>80 °C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'Dati sperimentali'!$D$51:$D$60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xVal>
          <c:yVal>
            <c:numRef>
              <c:f>'Dati sperimentali'!$N$51:$N$60</c:f>
              <c:numCache>
                <c:formatCode>General</c:formatCode>
                <c:ptCount val="10"/>
                <c:pt idx="0">
                  <c:v>-4.1519341912314399E-2</c:v>
                </c:pt>
                <c:pt idx="1">
                  <c:v>-7.1235363931765203E-2</c:v>
                </c:pt>
                <c:pt idx="2">
                  <c:v>-0.10056654933913391</c:v>
                </c:pt>
                <c:pt idx="3">
                  <c:v>-0.13060224400458229</c:v>
                </c:pt>
                <c:pt idx="4">
                  <c:v>-0.15963168012619483</c:v>
                </c:pt>
                <c:pt idx="5">
                  <c:v>-0.18686425631070155</c:v>
                </c:pt>
                <c:pt idx="6">
                  <c:v>-0.21862536642393771</c:v>
                </c:pt>
                <c:pt idx="7">
                  <c:v>-0.24247350068173068</c:v>
                </c:pt>
                <c:pt idx="8">
                  <c:v>-0.27566112924967157</c:v>
                </c:pt>
                <c:pt idx="9">
                  <c:v>-0.30734426913640978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83-4F72-85E4-195578260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2633248"/>
        <c:axId val="1792633664"/>
      </c:scatterChart>
      <c:valAx>
        <c:axId val="179263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Tempo</a:t>
                </a:r>
                <a:r>
                  <a:rPr lang="it-IT" baseline="0"/>
                  <a:t> (min)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2633664"/>
        <c:crosses val="autoZero"/>
        <c:crossBetween val="midCat"/>
      </c:valAx>
      <c:valAx>
        <c:axId val="179263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Ln[ASA]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2633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Arrhenius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84406467263881E-2"/>
          <c:y val="7.4365131212151478E-2"/>
          <c:w val="0.88596657947877"/>
          <c:h val="0.8435711562700498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8403651036157793E-3"/>
                  <c:y val="-0.2562344611445209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'Dati sperimentali'!$S$30:$S$34</c:f>
              <c:numCache>
                <c:formatCode>General</c:formatCode>
                <c:ptCount val="5"/>
                <c:pt idx="0">
                  <c:v>3.0959752321981426E-3</c:v>
                </c:pt>
                <c:pt idx="1">
                  <c:v>3.003003003003003E-3</c:v>
                </c:pt>
                <c:pt idx="2">
                  <c:v>2.9154518950437317E-3</c:v>
                </c:pt>
                <c:pt idx="3">
                  <c:v>2.8328611898016999E-3</c:v>
                </c:pt>
                <c:pt idx="4">
                  <c:v>3.3557046979865771E-3</c:v>
                </c:pt>
              </c:numCache>
            </c:numRef>
          </c:xVal>
          <c:yVal>
            <c:numRef>
              <c:f>'Dati sperimentali'!$U$30:$U$34</c:f>
              <c:numCache>
                <c:formatCode>0.00</c:formatCode>
                <c:ptCount val="5"/>
                <c:pt idx="0">
                  <c:v>-7.6082508521880312</c:v>
                </c:pt>
                <c:pt idx="1">
                  <c:v>-6.7119069125339079</c:v>
                </c:pt>
                <c:pt idx="2">
                  <c:v>-5.8824857466887055</c:v>
                </c:pt>
                <c:pt idx="3">
                  <c:v>-5.1417298862054359</c:v>
                </c:pt>
                <c:pt idx="4">
                  <c:v>-10.034026845637587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B0-4D40-B8FF-B21EC3B28EE3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axId val="1451566352"/>
        <c:axId val="414456672"/>
      </c:scatterChart>
      <c:valAx>
        <c:axId val="145156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1/T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4456672"/>
        <c:crosses val="autoZero"/>
        <c:crossBetween val="midCat"/>
      </c:valAx>
      <c:valAx>
        <c:axId val="4144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Lnk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1566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Retta di calibrzione ASA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738605574141679"/>
                  <c:y val="8.975496201778518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'Reta di calibrazione SA'!$B$5:$B$8</c:f>
              <c:numCache>
                <c:formatCode>0.00E+00</c:formatCode>
                <c:ptCount val="4"/>
                <c:pt idx="0">
                  <c:v>3.0000000000000001E-5</c:v>
                </c:pt>
                <c:pt idx="1">
                  <c:v>1E-3</c:v>
                </c:pt>
                <c:pt idx="2">
                  <c:v>2E-3</c:v>
                </c:pt>
                <c:pt idx="3">
                  <c:v>3.5000000000000001E-3</c:v>
                </c:pt>
              </c:numCache>
            </c:numRef>
          </c:xVal>
          <c:yVal>
            <c:numRef>
              <c:f>'Reta di calibrazione SA'!$C$5:$C$8</c:f>
              <c:numCache>
                <c:formatCode>#,##0.00\ _€</c:formatCode>
                <c:ptCount val="4"/>
                <c:pt idx="0">
                  <c:v>8.0000000000000002E-3</c:v>
                </c:pt>
                <c:pt idx="1">
                  <c:v>0.2777</c:v>
                </c:pt>
                <c:pt idx="2">
                  <c:v>0.56740000000000002</c:v>
                </c:pt>
                <c:pt idx="3">
                  <c:v>1.0948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DE-46E0-966E-4957DD55E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1579872"/>
        <c:axId val="1451580288"/>
      </c:scatterChart>
      <c:valAx>
        <c:axId val="1451579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Conc ASA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1580288"/>
        <c:crosses val="autoZero"/>
        <c:crossBetween val="midCat"/>
      </c:valAx>
      <c:valAx>
        <c:axId val="14515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1579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469900</xdr:colOff>
          <xdr:row>62</xdr:row>
          <xdr:rowOff>57150</xdr:rowOff>
        </xdr:from>
        <xdr:to>
          <xdr:col>10</xdr:col>
          <xdr:colOff>698500</xdr:colOff>
          <xdr:row>67</xdr:row>
          <xdr:rowOff>88900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15</xdr:col>
      <xdr:colOff>190500</xdr:colOff>
      <xdr:row>0</xdr:row>
      <xdr:rowOff>161925</xdr:rowOff>
    </xdr:from>
    <xdr:to>
      <xdr:col>27</xdr:col>
      <xdr:colOff>133351</xdr:colOff>
      <xdr:row>25</xdr:row>
      <xdr:rowOff>85725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314324</xdr:colOff>
      <xdr:row>35</xdr:row>
      <xdr:rowOff>61911</xdr:rowOff>
    </xdr:from>
    <xdr:to>
      <xdr:col>28</xdr:col>
      <xdr:colOff>476249</xdr:colOff>
      <xdr:row>63</xdr:row>
      <xdr:rowOff>44450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12700</xdr:colOff>
      <xdr:row>45</xdr:row>
      <xdr:rowOff>6350</xdr:rowOff>
    </xdr:from>
    <xdr:to>
      <xdr:col>17</xdr:col>
      <xdr:colOff>736600</xdr:colOff>
      <xdr:row>47</xdr:row>
      <xdr:rowOff>31750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77C784F-8309-4CCE-9D2F-13A103380262}"/>
            </a:ext>
          </a:extLst>
        </xdr:cNvPr>
        <xdr:cNvSpPr txBox="1"/>
      </xdr:nvSpPr>
      <xdr:spPr>
        <a:xfrm>
          <a:off x="12084050" y="8318500"/>
          <a:ext cx="723900" cy="39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353 K</a:t>
          </a:r>
        </a:p>
      </xdr:txBody>
    </xdr:sp>
    <xdr:clientData/>
  </xdr:twoCellAnchor>
  <xdr:twoCellAnchor>
    <xdr:from>
      <xdr:col>18</xdr:col>
      <xdr:colOff>133350</xdr:colOff>
      <xdr:row>46</xdr:row>
      <xdr:rowOff>69850</xdr:rowOff>
    </xdr:from>
    <xdr:to>
      <xdr:col>18</xdr:col>
      <xdr:colOff>857250</xdr:colOff>
      <xdr:row>48</xdr:row>
      <xdr:rowOff>95250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2EB663D2-6AD1-4040-BBFA-47A5A5689034}"/>
            </a:ext>
          </a:extLst>
        </xdr:cNvPr>
        <xdr:cNvSpPr txBox="1"/>
      </xdr:nvSpPr>
      <xdr:spPr>
        <a:xfrm>
          <a:off x="13042900" y="8566150"/>
          <a:ext cx="723900" cy="39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343 K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0.2596</cdr:x>
      <cdr:y>0.55301</cdr:y>
    </cdr:from>
    <cdr:to>
      <cdr:x>0.34191</cdr:x>
      <cdr:y>0.63975</cdr:y>
    </cdr:to>
    <cdr:sp macro="" textlink="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id="{377C784F-8309-4CCE-9D2F-13A103380262}"/>
            </a:ext>
          </a:extLst>
        </cdr:cNvPr>
        <cdr:cNvSpPr txBox="1"/>
      </cdr:nvSpPr>
      <cdr:spPr>
        <a:xfrm xmlns:a="http://schemas.openxmlformats.org/drawingml/2006/main">
          <a:off x="2394351" y="2841756"/>
          <a:ext cx="759180" cy="4457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333 K</a:t>
          </a:r>
        </a:p>
      </cdr:txBody>
    </cdr:sp>
  </cdr:relSizeAnchor>
  <cdr:relSizeAnchor xmlns:cdr="http://schemas.openxmlformats.org/drawingml/2006/chartDrawing">
    <cdr:from>
      <cdr:x>0.40437</cdr:x>
      <cdr:y>0.62779</cdr:y>
    </cdr:from>
    <cdr:to>
      <cdr:x>0.48668</cdr:x>
      <cdr:y>0.71453</cdr:y>
    </cdr:to>
    <cdr:sp macro="" textlink="">
      <cdr:nvSpPr>
        <cdr:cNvPr id="3" name="CasellaDiTesto 1">
          <a:extLst xmlns:a="http://schemas.openxmlformats.org/drawingml/2006/main">
            <a:ext uri="{FF2B5EF4-FFF2-40B4-BE49-F238E27FC236}">
              <a16:creationId xmlns:a16="http://schemas.microsoft.com/office/drawing/2014/main" id="{9D3EB658-1592-4330-BC1A-223AE9A2AD72}"/>
            </a:ext>
          </a:extLst>
        </cdr:cNvPr>
        <cdr:cNvSpPr txBox="1"/>
      </cdr:nvSpPr>
      <cdr:spPr>
        <a:xfrm xmlns:a="http://schemas.openxmlformats.org/drawingml/2006/main">
          <a:off x="3729616" y="3226054"/>
          <a:ext cx="759181" cy="4457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323 K</a:t>
          </a:r>
        </a:p>
      </cdr:txBody>
    </cdr:sp>
  </cdr:relSizeAnchor>
  <cdr:relSizeAnchor xmlns:cdr="http://schemas.openxmlformats.org/drawingml/2006/chartDrawing">
    <cdr:from>
      <cdr:x>0.8179</cdr:x>
      <cdr:y>0.66481</cdr:y>
    </cdr:from>
    <cdr:to>
      <cdr:x>0.90021</cdr:x>
      <cdr:y>0.75156</cdr:y>
    </cdr:to>
    <cdr:sp macro="" textlink="">
      <cdr:nvSpPr>
        <cdr:cNvPr id="5" name="CasellaDiTesto 1">
          <a:extLst xmlns:a="http://schemas.openxmlformats.org/drawingml/2006/main">
            <a:ext uri="{FF2B5EF4-FFF2-40B4-BE49-F238E27FC236}">
              <a16:creationId xmlns:a16="http://schemas.microsoft.com/office/drawing/2014/main" id="{2E59CBDE-3208-40C1-8E6C-3350F4DF2356}"/>
            </a:ext>
          </a:extLst>
        </cdr:cNvPr>
        <cdr:cNvSpPr txBox="1"/>
      </cdr:nvSpPr>
      <cdr:spPr>
        <a:xfrm xmlns:a="http://schemas.openxmlformats.org/drawingml/2006/main">
          <a:off x="7543800" y="3416300"/>
          <a:ext cx="759181" cy="44575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 b="1">
              <a:solidFill>
                <a:srgbClr val="FF0000"/>
              </a:solidFill>
            </a:rPr>
            <a:t>298 K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114300</xdr:rowOff>
    </xdr:from>
    <xdr:to>
      <xdr:col>16</xdr:col>
      <xdr:colOff>152399</xdr:colOff>
      <xdr:row>21</xdr:row>
      <xdr:rowOff>114300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EA58-DC12-4734-9C73-F6870E7D836F}">
  <dimension ref="A1:U70"/>
  <sheetViews>
    <sheetView tabSelected="1" topLeftCell="O1" workbookViewId="0">
      <selection activeCell="R34" sqref="R34:U34"/>
    </sheetView>
  </sheetViews>
  <sheetFormatPr defaultRowHeight="14.5" x14ac:dyDescent="0.35"/>
  <cols>
    <col min="1" max="1" width="16.7265625" bestFit="1" customWidth="1"/>
    <col min="4" max="4" width="9.1796875" style="6"/>
    <col min="5" max="6" width="9.1796875" style="7"/>
    <col min="7" max="7" width="10.54296875" style="7" bestFit="1" customWidth="1"/>
    <col min="8" max="8" width="10.54296875" style="6" bestFit="1" customWidth="1"/>
    <col min="9" max="10" width="10.54296875" style="6" customWidth="1"/>
    <col min="11" max="11" width="12.81640625" style="6" customWidth="1"/>
    <col min="12" max="12" width="9.1796875" style="6"/>
    <col min="15" max="15" width="12" bestFit="1" customWidth="1"/>
    <col min="18" max="18" width="12" bestFit="1" customWidth="1"/>
    <col min="19" max="19" width="19.453125" customWidth="1"/>
    <col min="21" max="21" width="11" bestFit="1" customWidth="1"/>
  </cols>
  <sheetData>
    <row r="1" spans="1:15" x14ac:dyDescent="0.35">
      <c r="A1" t="s">
        <v>23</v>
      </c>
      <c r="B1" s="8">
        <v>1</v>
      </c>
      <c r="C1" t="s">
        <v>7</v>
      </c>
      <c r="E1" s="7">
        <v>0.1</v>
      </c>
      <c r="F1" s="7" t="s">
        <v>30</v>
      </c>
      <c r="G1" s="7" t="s">
        <v>31</v>
      </c>
    </row>
    <row r="2" spans="1:15" x14ac:dyDescent="0.35">
      <c r="A2" t="s">
        <v>26</v>
      </c>
      <c r="B2">
        <v>50</v>
      </c>
      <c r="C2" t="s">
        <v>27</v>
      </c>
    </row>
    <row r="3" spans="1:15" x14ac:dyDescent="0.35">
      <c r="A3" t="s">
        <v>28</v>
      </c>
    </row>
    <row r="5" spans="1:15" x14ac:dyDescent="0.35">
      <c r="A5" t="s">
        <v>8</v>
      </c>
      <c r="B5">
        <v>50</v>
      </c>
      <c r="C5" s="3" t="s">
        <v>9</v>
      </c>
    </row>
    <row r="6" spans="1:15" x14ac:dyDescent="0.35">
      <c r="A6" t="s">
        <v>29</v>
      </c>
      <c r="B6">
        <v>250</v>
      </c>
    </row>
    <row r="7" spans="1:15" x14ac:dyDescent="0.35">
      <c r="D7" s="6" t="s">
        <v>2</v>
      </c>
      <c r="E7" s="7" t="s">
        <v>3</v>
      </c>
      <c r="F7" s="7" t="s">
        <v>4</v>
      </c>
      <c r="G7" s="7" t="s">
        <v>5</v>
      </c>
      <c r="H7" s="6" t="s">
        <v>24</v>
      </c>
      <c r="I7" s="6" t="s">
        <v>15</v>
      </c>
      <c r="J7" s="6" t="s">
        <v>32</v>
      </c>
      <c r="K7" s="6" t="s">
        <v>25</v>
      </c>
      <c r="L7" s="6" t="s">
        <v>16</v>
      </c>
      <c r="M7" s="6" t="s">
        <v>33</v>
      </c>
      <c r="N7" s="6" t="s">
        <v>17</v>
      </c>
      <c r="O7" s="6" t="s">
        <v>34</v>
      </c>
    </row>
    <row r="8" spans="1:15" x14ac:dyDescent="0.35">
      <c r="D8" s="6" t="s">
        <v>6</v>
      </c>
      <c r="E8" s="7" t="s">
        <v>1</v>
      </c>
      <c r="F8" s="7" t="s">
        <v>1</v>
      </c>
      <c r="G8" s="7" t="s">
        <v>1</v>
      </c>
      <c r="J8" s="6" t="s">
        <v>7</v>
      </c>
      <c r="K8" s="6" t="s">
        <v>7</v>
      </c>
    </row>
    <row r="9" spans="1:15" x14ac:dyDescent="0.35">
      <c r="D9" s="6">
        <v>5</v>
      </c>
      <c r="E9" s="7">
        <v>1.83E-2</v>
      </c>
      <c r="F9" s="7">
        <v>1.77E-2</v>
      </c>
      <c r="G9" s="7">
        <v>1.84E-2</v>
      </c>
      <c r="H9" s="9">
        <f>AVERAGE(E9:G9)</f>
        <v>1.8133333333333335E-2</v>
      </c>
      <c r="I9" s="11">
        <f>_xlfn.STDEV.P(E9:G9)</f>
        <v>3.0912061651652324E-4</v>
      </c>
      <c r="J9" s="12">
        <f>I9/H9*100</f>
        <v>1.7047092822602381</v>
      </c>
      <c r="K9" s="9">
        <f t="shared" ref="K9:K18" si="0">(H9/313.3)*$B$6</f>
        <v>1.4469624428130651E-2</v>
      </c>
      <c r="L9" s="10">
        <f t="shared" ref="L9:L18" si="1">$B$1-K9</f>
        <v>0.9855303755718694</v>
      </c>
      <c r="M9">
        <f>L9*J9/100</f>
        <v>1.6800427791867845E-2</v>
      </c>
      <c r="N9">
        <f>LN(L9)</f>
        <v>-1.4575330366273863E-2</v>
      </c>
      <c r="O9">
        <f>ABS(N9*J9/100)</f>
        <v>2.4846700967396567E-4</v>
      </c>
    </row>
    <row r="10" spans="1:15" x14ac:dyDescent="0.35">
      <c r="D10" s="6">
        <v>10</v>
      </c>
      <c r="E10" s="7">
        <v>2.0899999999999998E-2</v>
      </c>
      <c r="F10" s="7">
        <v>2.0799999999999999E-2</v>
      </c>
      <c r="G10" s="7">
        <v>2.1100000000000001E-2</v>
      </c>
      <c r="H10" s="9">
        <f t="shared" ref="H10:H18" si="2">AVERAGE(E10:G10)</f>
        <v>2.0933333333333332E-2</v>
      </c>
      <c r="I10" s="11">
        <f t="shared" ref="I10:I18" si="3">_xlfn.STDEV.P(E10:G10)</f>
        <v>1.2472191289246551E-4</v>
      </c>
      <c r="J10" s="12">
        <f t="shared" ref="J10:J18" si="4">I10/H10*100</f>
        <v>0.59580531636528111</v>
      </c>
      <c r="K10" s="9">
        <f t="shared" si="0"/>
        <v>1.670390467070965E-2</v>
      </c>
      <c r="L10" s="10">
        <f t="shared" si="1"/>
        <v>0.9832960953292903</v>
      </c>
      <c r="M10">
        <f t="shared" ref="M10:M18" si="5">L10*J10/100</f>
        <v>5.8585304115841338E-3</v>
      </c>
      <c r="N10">
        <f t="shared" ref="N10:N18" si="6">LN(L10)</f>
        <v>-1.6844988190089782E-2</v>
      </c>
      <c r="O10">
        <f t="shared" ref="O10:O18" si="7">ABS(N10*J10/100)</f>
        <v>1.0036333517765866E-4</v>
      </c>
    </row>
    <row r="11" spans="1:15" x14ac:dyDescent="0.35">
      <c r="D11" s="6">
        <v>15</v>
      </c>
      <c r="E11" s="7">
        <v>2.4500000000000001E-2</v>
      </c>
      <c r="F11" s="7">
        <v>2.4199999999999999E-2</v>
      </c>
      <c r="G11" s="7">
        <v>2.4E-2</v>
      </c>
      <c r="H11" s="9">
        <f t="shared" si="2"/>
        <v>2.4233333333333332E-2</v>
      </c>
      <c r="I11" s="11">
        <f t="shared" si="3"/>
        <v>2.0548046676563281E-4</v>
      </c>
      <c r="J11" s="12">
        <f t="shared" si="4"/>
        <v>0.84792489724470199</v>
      </c>
      <c r="K11" s="9">
        <f t="shared" si="0"/>
        <v>1.9337163528034895E-2</v>
      </c>
      <c r="L11" s="10">
        <f t="shared" si="1"/>
        <v>0.98066283647196506</v>
      </c>
      <c r="M11">
        <f t="shared" si="5"/>
        <v>8.3152843484718894E-3</v>
      </c>
      <c r="N11">
        <f t="shared" si="6"/>
        <v>-1.9526572201489442E-2</v>
      </c>
      <c r="O11">
        <f t="shared" si="7"/>
        <v>1.6557066727489189E-4</v>
      </c>
    </row>
    <row r="12" spans="1:15" x14ac:dyDescent="0.35">
      <c r="D12" s="6">
        <v>20</v>
      </c>
      <c r="E12" s="7">
        <v>2.7900000000000001E-2</v>
      </c>
      <c r="F12" s="7">
        <v>2.7199999999999998E-2</v>
      </c>
      <c r="G12" s="7">
        <v>2.64E-2</v>
      </c>
      <c r="H12" s="9">
        <f t="shared" si="2"/>
        <v>2.7166666666666662E-2</v>
      </c>
      <c r="I12" s="11">
        <f t="shared" si="3"/>
        <v>6.1282587702834166E-4</v>
      </c>
      <c r="J12" s="12">
        <f t="shared" si="4"/>
        <v>2.2558007743374544</v>
      </c>
      <c r="K12" s="9">
        <f t="shared" si="0"/>
        <v>2.1677838067879557E-2</v>
      </c>
      <c r="L12" s="10">
        <f t="shared" si="1"/>
        <v>0.9783221619321204</v>
      </c>
      <c r="M12">
        <f t="shared" si="5"/>
        <v>2.2068998904379696E-2</v>
      </c>
      <c r="N12">
        <f t="shared" si="6"/>
        <v>-2.1916254261980544E-2</v>
      </c>
      <c r="O12">
        <f t="shared" si="7"/>
        <v>4.9438703334752244E-4</v>
      </c>
    </row>
    <row r="13" spans="1:15" x14ac:dyDescent="0.35">
      <c r="D13" s="6">
        <v>25</v>
      </c>
      <c r="E13" s="7">
        <v>3.09E-2</v>
      </c>
      <c r="F13" s="7">
        <v>2.9399999999999999E-2</v>
      </c>
      <c r="G13" s="7">
        <v>2.9499999999999998E-2</v>
      </c>
      <c r="H13" s="9">
        <f t="shared" si="2"/>
        <v>2.9933333333333329E-2</v>
      </c>
      <c r="I13" s="11">
        <f t="shared" si="3"/>
        <v>6.84754619472472E-4</v>
      </c>
      <c r="J13" s="12">
        <f t="shared" si="4"/>
        <v>2.2875989514670558</v>
      </c>
      <c r="K13" s="9">
        <f t="shared" si="0"/>
        <v>2.3885519736142138E-2</v>
      </c>
      <c r="L13" s="10">
        <f t="shared" si="1"/>
        <v>0.97611448026385783</v>
      </c>
      <c r="M13">
        <f t="shared" si="5"/>
        <v>2.2329584615634116E-2</v>
      </c>
      <c r="N13">
        <f t="shared" si="6"/>
        <v>-2.4175404095293174E-2</v>
      </c>
      <c r="O13">
        <f t="shared" si="7"/>
        <v>5.5303629059685032E-4</v>
      </c>
    </row>
    <row r="14" spans="1:15" x14ac:dyDescent="0.35">
      <c r="D14" s="6">
        <v>30</v>
      </c>
      <c r="E14" s="7">
        <v>3.39E-2</v>
      </c>
      <c r="F14" s="7">
        <v>3.3399999999999999E-2</v>
      </c>
      <c r="G14" s="7">
        <v>3.2500000000000001E-2</v>
      </c>
      <c r="H14" s="9">
        <f t="shared" si="2"/>
        <v>3.3266666666666667E-2</v>
      </c>
      <c r="I14" s="11">
        <f t="shared" si="3"/>
        <v>5.7927157323275815E-4</v>
      </c>
      <c r="J14" s="12">
        <f t="shared" si="4"/>
        <v>1.7412973143269284</v>
      </c>
      <c r="K14" s="9">
        <f t="shared" si="0"/>
        <v>2.6545377167783806E-2</v>
      </c>
      <c r="L14" s="10">
        <f t="shared" si="1"/>
        <v>0.97345462283221618</v>
      </c>
      <c r="M14">
        <f t="shared" si="5"/>
        <v>1.695073920356871E-2</v>
      </c>
      <c r="N14">
        <f t="shared" si="6"/>
        <v>-2.6904067652559566E-2</v>
      </c>
      <c r="O14">
        <f t="shared" si="7"/>
        <v>4.6847980747871958E-4</v>
      </c>
    </row>
    <row r="15" spans="1:15" x14ac:dyDescent="0.35">
      <c r="D15" s="6">
        <v>35</v>
      </c>
      <c r="E15" s="7">
        <v>3.7499999999999999E-2</v>
      </c>
      <c r="F15" s="7">
        <v>3.5200000000000002E-2</v>
      </c>
      <c r="G15" s="7">
        <v>3.5200000000000002E-2</v>
      </c>
      <c r="H15" s="9">
        <f t="shared" si="2"/>
        <v>3.5966666666666668E-2</v>
      </c>
      <c r="I15" s="11">
        <f t="shared" si="3"/>
        <v>1.0842303978193712E-3</v>
      </c>
      <c r="J15" s="12">
        <f t="shared" si="4"/>
        <v>3.0145423479685949</v>
      </c>
      <c r="K15" s="9">
        <f t="shared" si="0"/>
        <v>2.8699861687413557E-2</v>
      </c>
      <c r="L15" s="10">
        <f t="shared" si="1"/>
        <v>0.97130013831258644</v>
      </c>
      <c r="M15">
        <f t="shared" si="5"/>
        <v>2.9280253995310455E-2</v>
      </c>
      <c r="N15">
        <f t="shared" si="6"/>
        <v>-2.9119756174411648E-2</v>
      </c>
      <c r="O15">
        <f t="shared" si="7"/>
        <v>8.7782738150283884E-4</v>
      </c>
    </row>
    <row r="16" spans="1:15" x14ac:dyDescent="0.35">
      <c r="D16" s="6">
        <v>40</v>
      </c>
      <c r="E16" s="7">
        <v>4.0899999999999999E-2</v>
      </c>
      <c r="F16" s="7">
        <v>3.8600000000000002E-2</v>
      </c>
      <c r="G16" s="7">
        <v>3.8800000000000001E-2</v>
      </c>
      <c r="H16" s="9">
        <f t="shared" si="2"/>
        <v>3.9433333333333334E-2</v>
      </c>
      <c r="I16" s="11">
        <f t="shared" si="3"/>
        <v>1.0402991022884808E-3</v>
      </c>
      <c r="J16" s="12">
        <f t="shared" si="4"/>
        <v>2.6381211385168575</v>
      </c>
      <c r="K16" s="9">
        <f t="shared" si="0"/>
        <v>3.1466113416320884E-2</v>
      </c>
      <c r="L16" s="10">
        <f t="shared" si="1"/>
        <v>0.96853388658367912</v>
      </c>
      <c r="M16">
        <f t="shared" si="5"/>
        <v>2.5551097195662925E-2</v>
      </c>
      <c r="N16">
        <f t="shared" si="6"/>
        <v>-3.197180801854678E-2</v>
      </c>
      <c r="O16">
        <f t="shared" si="7"/>
        <v>8.4345502570331026E-4</v>
      </c>
    </row>
    <row r="17" spans="1:21" x14ac:dyDescent="0.35">
      <c r="D17" s="6">
        <v>45</v>
      </c>
      <c r="E17" s="7">
        <v>4.3200000000000002E-2</v>
      </c>
      <c r="F17" s="7">
        <v>4.19E-2</v>
      </c>
      <c r="G17" s="7">
        <v>4.2599999999999999E-2</v>
      </c>
      <c r="H17" s="9">
        <f t="shared" si="2"/>
        <v>4.2566666666666669E-2</v>
      </c>
      <c r="I17" s="11">
        <f t="shared" si="3"/>
        <v>5.3124591501697523E-4</v>
      </c>
      <c r="J17" s="12">
        <f t="shared" si="4"/>
        <v>1.248032689938078</v>
      </c>
      <c r="K17" s="9">
        <f t="shared" si="0"/>
        <v>3.3966379402064054E-2</v>
      </c>
      <c r="L17" s="10">
        <f t="shared" si="1"/>
        <v>0.96603362059793596</v>
      </c>
      <c r="M17">
        <f t="shared" si="5"/>
        <v>1.2056415380854628E-2</v>
      </c>
      <c r="N17">
        <f t="shared" si="6"/>
        <v>-3.4556641443651108E-2</v>
      </c>
      <c r="O17">
        <f t="shared" si="7"/>
        <v>4.312781817614556E-4</v>
      </c>
    </row>
    <row r="18" spans="1:21" x14ac:dyDescent="0.35">
      <c r="D18" s="6">
        <v>50</v>
      </c>
      <c r="E18" s="7">
        <v>4.7E-2</v>
      </c>
      <c r="F18" s="7">
        <v>4.3999999999999997E-2</v>
      </c>
      <c r="G18" s="7">
        <v>4.4400000000000002E-2</v>
      </c>
      <c r="H18" s="9">
        <f t="shared" si="2"/>
        <v>4.5133333333333331E-2</v>
      </c>
      <c r="I18" s="11">
        <f t="shared" si="3"/>
        <v>1.3299958228840008E-3</v>
      </c>
      <c r="J18" s="12">
        <f t="shared" si="4"/>
        <v>2.946814969462336</v>
      </c>
      <c r="K18" s="9">
        <f t="shared" si="0"/>
        <v>3.6014469624428128E-2</v>
      </c>
      <c r="L18" s="10">
        <f t="shared" si="1"/>
        <v>0.96398553037557189</v>
      </c>
      <c r="M18">
        <f t="shared" si="5"/>
        <v>2.8406869912558249E-2</v>
      </c>
      <c r="N18">
        <f t="shared" si="6"/>
        <v>-3.6678994468088963E-2</v>
      </c>
      <c r="O18">
        <f t="shared" si="7"/>
        <v>1.0808620996339078E-3</v>
      </c>
    </row>
    <row r="21" spans="1:21" x14ac:dyDescent="0.35">
      <c r="A21" t="s">
        <v>8</v>
      </c>
      <c r="B21">
        <v>60</v>
      </c>
      <c r="C21" s="3" t="s">
        <v>9</v>
      </c>
      <c r="D21" s="6" t="s">
        <v>2</v>
      </c>
      <c r="E21" s="7" t="s">
        <v>3</v>
      </c>
      <c r="F21" s="7" t="s">
        <v>4</v>
      </c>
      <c r="G21" s="7" t="s">
        <v>5</v>
      </c>
      <c r="H21" s="6" t="s">
        <v>24</v>
      </c>
      <c r="I21" s="6" t="s">
        <v>15</v>
      </c>
      <c r="J21" s="6" t="s">
        <v>32</v>
      </c>
      <c r="K21" s="6" t="s">
        <v>25</v>
      </c>
      <c r="L21" s="6" t="s">
        <v>16</v>
      </c>
      <c r="M21" s="6" t="s">
        <v>33</v>
      </c>
      <c r="N21" s="6" t="s">
        <v>17</v>
      </c>
      <c r="O21" s="6" t="s">
        <v>34</v>
      </c>
    </row>
    <row r="22" spans="1:21" x14ac:dyDescent="0.35">
      <c r="D22" s="6" t="s">
        <v>6</v>
      </c>
      <c r="E22" s="7" t="s">
        <v>1</v>
      </c>
      <c r="F22" s="7" t="s">
        <v>1</v>
      </c>
      <c r="G22" s="7" t="s">
        <v>1</v>
      </c>
      <c r="J22" s="6" t="s">
        <v>7</v>
      </c>
      <c r="K22" s="6" t="s">
        <v>7</v>
      </c>
    </row>
    <row r="23" spans="1:21" x14ac:dyDescent="0.35">
      <c r="D23" s="6">
        <v>5</v>
      </c>
      <c r="E23" s="7">
        <v>2.2200000000000001E-2</v>
      </c>
      <c r="F23" s="7">
        <v>2.2499999999999999E-2</v>
      </c>
      <c r="G23" s="7">
        <v>2.2700000000000001E-2</v>
      </c>
      <c r="H23" s="9">
        <f>AVERAGE(E23:G23)</f>
        <v>2.2466666666666666E-2</v>
      </c>
      <c r="I23" s="11">
        <f>_xlfn.STDEV.P(E23:G23)</f>
        <v>2.0548046676563262E-4</v>
      </c>
      <c r="J23" s="12">
        <f>I23/H23*100</f>
        <v>0.91460148412002651</v>
      </c>
      <c r="K23" s="9">
        <f t="shared" ref="K23:K32" si="8">(H23/313.3)*$B$6</f>
        <v>1.7927439089264814E-2</v>
      </c>
      <c r="L23" s="10">
        <f t="shared" ref="L23:L32" si="9">$B$1-K23</f>
        <v>0.98207256091073514</v>
      </c>
      <c r="M23">
        <f>L23*J23/100</f>
        <v>8.9820502172251356E-3</v>
      </c>
      <c r="N23">
        <f>LN(L23)</f>
        <v>-1.809008240967732E-2</v>
      </c>
      <c r="O23">
        <f>ABS(N23*J23/100)</f>
        <v>1.6545216219744464E-4</v>
      </c>
    </row>
    <row r="24" spans="1:21" x14ac:dyDescent="0.35">
      <c r="D24" s="6">
        <v>10</v>
      </c>
      <c r="E24" s="7">
        <v>3.0300000000000001E-2</v>
      </c>
      <c r="F24" s="7">
        <v>2.9000000000000001E-2</v>
      </c>
      <c r="G24" s="7">
        <v>0.03</v>
      </c>
      <c r="H24" s="9">
        <f t="shared" ref="H24:H32" si="10">AVERAGE(E24:G24)</f>
        <v>2.9766666666666667E-2</v>
      </c>
      <c r="I24" s="11">
        <f t="shared" ref="I24:I32" si="11">_xlfn.STDEV.P(E24:G24)</f>
        <v>5.5577773335110155E-4</v>
      </c>
      <c r="J24" s="12">
        <f t="shared" ref="J24:J32" si="12">I24/H24*100</f>
        <v>1.8671144457483815</v>
      </c>
      <c r="K24" s="9">
        <f t="shared" si="8"/>
        <v>2.3752526864560058E-2</v>
      </c>
      <c r="L24" s="10">
        <f t="shared" si="9"/>
        <v>0.97624747313543991</v>
      </c>
      <c r="M24">
        <f t="shared" ref="M24:M32" si="13">L24*J24/100</f>
        <v>1.8227657597165346E-2</v>
      </c>
      <c r="N24">
        <f t="shared" ref="N24:N32" si="14">LN(L24)</f>
        <v>-2.4039166169168635E-2</v>
      </c>
      <c r="O24">
        <f t="shared" ref="O24:O32" si="15">ABS(N24*J24/100)</f>
        <v>4.4883874418200542E-4</v>
      </c>
    </row>
    <row r="25" spans="1:21" x14ac:dyDescent="0.35">
      <c r="D25" s="6">
        <v>15</v>
      </c>
      <c r="E25" s="7">
        <v>3.7100000000000001E-2</v>
      </c>
      <c r="F25" s="7">
        <v>3.5999999999999997E-2</v>
      </c>
      <c r="G25" s="7">
        <v>3.8699999999999998E-2</v>
      </c>
      <c r="H25" s="9">
        <f t="shared" si="10"/>
        <v>3.7266666666666663E-2</v>
      </c>
      <c r="I25" s="11">
        <f t="shared" si="11"/>
        <v>1.1085526098877263E-3</v>
      </c>
      <c r="J25" s="12">
        <f t="shared" si="12"/>
        <v>2.9746492215234164</v>
      </c>
      <c r="K25" s="9">
        <f t="shared" si="8"/>
        <v>2.9737206085753799E-2</v>
      </c>
      <c r="L25" s="10">
        <f t="shared" si="9"/>
        <v>0.97026279391424619</v>
      </c>
      <c r="M25">
        <f t="shared" si="13"/>
        <v>2.8861914645901474E-2</v>
      </c>
      <c r="N25">
        <f t="shared" si="14"/>
        <v>-3.0188322616249062E-2</v>
      </c>
      <c r="O25">
        <f t="shared" si="15"/>
        <v>8.9799670369523021E-4</v>
      </c>
    </row>
    <row r="26" spans="1:21" x14ac:dyDescent="0.35">
      <c r="D26" s="6">
        <v>20</v>
      </c>
      <c r="E26" s="7">
        <v>4.5199999999999997E-2</v>
      </c>
      <c r="F26" s="7">
        <v>4.3700000000000003E-2</v>
      </c>
      <c r="G26" s="7">
        <v>4.5400000000000003E-2</v>
      </c>
      <c r="H26" s="9">
        <f t="shared" si="10"/>
        <v>4.476666666666667E-2</v>
      </c>
      <c r="I26" s="11">
        <f t="shared" si="11"/>
        <v>7.586537784494017E-4</v>
      </c>
      <c r="J26" s="12">
        <f t="shared" si="12"/>
        <v>1.6946845386062583</v>
      </c>
      <c r="K26" s="9">
        <f t="shared" si="8"/>
        <v>3.5721885306947546E-2</v>
      </c>
      <c r="L26" s="10">
        <f t="shared" si="9"/>
        <v>0.96427811469305247</v>
      </c>
      <c r="M26">
        <f t="shared" si="13"/>
        <v>1.6341472118867082E-2</v>
      </c>
      <c r="N26">
        <f t="shared" si="14"/>
        <v>-3.6375525260987258E-2</v>
      </c>
      <c r="O26">
        <f t="shared" si="15"/>
        <v>6.1645040243476492E-4</v>
      </c>
    </row>
    <row r="27" spans="1:21" x14ac:dyDescent="0.35">
      <c r="D27" s="6">
        <v>25</v>
      </c>
      <c r="E27" s="7">
        <v>5.16E-2</v>
      </c>
      <c r="F27" s="7">
        <v>5.0599999999999999E-2</v>
      </c>
      <c r="G27" s="7">
        <v>5.2600000000000001E-2</v>
      </c>
      <c r="H27" s="9">
        <f t="shared" si="10"/>
        <v>5.16E-2</v>
      </c>
      <c r="I27" s="11">
        <f t="shared" si="11"/>
        <v>8.1649658092772682E-4</v>
      </c>
      <c r="J27" s="12">
        <f t="shared" si="12"/>
        <v>1.5823577149762149</v>
      </c>
      <c r="K27" s="9">
        <f t="shared" si="8"/>
        <v>4.1174593041812958E-2</v>
      </c>
      <c r="L27" s="10">
        <f t="shared" si="9"/>
        <v>0.95882540695818708</v>
      </c>
      <c r="M27">
        <f t="shared" si="13"/>
        <v>1.5172047800154962E-2</v>
      </c>
      <c r="N27">
        <f t="shared" si="14"/>
        <v>-4.2046278068166333E-2</v>
      </c>
      <c r="O27">
        <f t="shared" si="15"/>
        <v>6.6532252487198212E-4</v>
      </c>
    </row>
    <row r="28" spans="1:21" x14ac:dyDescent="0.35">
      <c r="D28" s="6">
        <v>30</v>
      </c>
      <c r="E28" s="7">
        <v>6.08E-2</v>
      </c>
      <c r="F28" s="7">
        <v>5.7500000000000002E-2</v>
      </c>
      <c r="G28" s="7">
        <v>0.06</v>
      </c>
      <c r="H28" s="9">
        <f t="shared" si="10"/>
        <v>5.9433333333333338E-2</v>
      </c>
      <c r="I28" s="11">
        <f t="shared" si="11"/>
        <v>1.405544576153866E-3</v>
      </c>
      <c r="J28" s="12">
        <f t="shared" si="12"/>
        <v>2.3649095504551867</v>
      </c>
      <c r="K28" s="9">
        <f t="shared" si="8"/>
        <v>4.7425258006170874E-2</v>
      </c>
      <c r="L28" s="10">
        <f t="shared" si="9"/>
        <v>0.95257474199382908</v>
      </c>
      <c r="M28">
        <f t="shared" si="13"/>
        <v>2.2527531048635918E-2</v>
      </c>
      <c r="N28">
        <f t="shared" si="14"/>
        <v>-4.8586705774974384E-2</v>
      </c>
      <c r="O28">
        <f t="shared" si="15"/>
        <v>1.1490316451239308E-3</v>
      </c>
      <c r="R28" s="13" t="s">
        <v>36</v>
      </c>
      <c r="S28" s="13" t="s">
        <v>20</v>
      </c>
      <c r="T28" s="13" t="s">
        <v>18</v>
      </c>
      <c r="U28" s="13" t="s">
        <v>38</v>
      </c>
    </row>
    <row r="29" spans="1:21" ht="16.5" x14ac:dyDescent="0.35">
      <c r="D29" s="6">
        <v>35</v>
      </c>
      <c r="E29" s="7">
        <v>6.6199999999999995E-2</v>
      </c>
      <c r="F29" s="7">
        <v>6.4500000000000002E-2</v>
      </c>
      <c r="G29" s="7">
        <v>6.9199999999999998E-2</v>
      </c>
      <c r="H29" s="9">
        <f t="shared" si="10"/>
        <v>6.6633333333333322E-2</v>
      </c>
      <c r="I29" s="11">
        <f t="shared" si="11"/>
        <v>1.943078885571955E-3</v>
      </c>
      <c r="J29" s="12">
        <f t="shared" si="12"/>
        <v>2.9160763665412035</v>
      </c>
      <c r="K29" s="9">
        <f t="shared" si="8"/>
        <v>5.3170550058516848E-2</v>
      </c>
      <c r="L29" s="10">
        <f t="shared" si="9"/>
        <v>0.9468294499414831</v>
      </c>
      <c r="M29">
        <f t="shared" si="13"/>
        <v>2.7610269821195663E-2</v>
      </c>
      <c r="N29">
        <f t="shared" si="14"/>
        <v>-5.4636297113879136E-2</v>
      </c>
      <c r="O29">
        <f t="shared" si="15"/>
        <v>1.593236147691063E-3</v>
      </c>
      <c r="R29" s="13" t="s">
        <v>19</v>
      </c>
      <c r="S29" s="13" t="s">
        <v>37</v>
      </c>
      <c r="T29" s="13" t="s">
        <v>40</v>
      </c>
      <c r="U29" s="17"/>
    </row>
    <row r="30" spans="1:21" x14ac:dyDescent="0.35">
      <c r="D30" s="6">
        <v>40</v>
      </c>
      <c r="E30" s="7">
        <v>7.4200000000000002E-2</v>
      </c>
      <c r="F30" s="7">
        <v>7.1199999999999999E-2</v>
      </c>
      <c r="G30" s="7">
        <v>7.6399999999999996E-2</v>
      </c>
      <c r="H30" s="9">
        <f t="shared" si="10"/>
        <v>7.3933333333333337E-2</v>
      </c>
      <c r="I30" s="11">
        <f t="shared" si="11"/>
        <v>2.1312489817527694E-3</v>
      </c>
      <c r="J30" s="12">
        <f t="shared" si="12"/>
        <v>2.8826631854185338</v>
      </c>
      <c r="K30" s="9">
        <f t="shared" si="8"/>
        <v>5.8995637833812106E-2</v>
      </c>
      <c r="L30" s="10">
        <f t="shared" si="9"/>
        <v>0.94100436216618788</v>
      </c>
      <c r="M30">
        <f t="shared" si="13"/>
        <v>2.7125986321347186E-2</v>
      </c>
      <c r="N30">
        <f t="shared" si="14"/>
        <v>-6.0807503736739217E-2</v>
      </c>
      <c r="O30">
        <f t="shared" si="15"/>
        <v>1.7528755241909806E-3</v>
      </c>
      <c r="R30" s="14">
        <f>273+B5</f>
        <v>323</v>
      </c>
      <c r="S30" s="15">
        <f>1/R30</f>
        <v>3.0959752321981426E-3</v>
      </c>
      <c r="T30" s="16">
        <f>-SLOPE(N9:N18,D9:D18)</f>
        <v>4.9633927038922603E-4</v>
      </c>
      <c r="U30" s="18">
        <f>LN(T30)</f>
        <v>-7.6082508521880312</v>
      </c>
    </row>
    <row r="31" spans="1:21" x14ac:dyDescent="0.35">
      <c r="D31" s="6">
        <v>45</v>
      </c>
      <c r="E31" s="7">
        <v>8.1000000000000003E-2</v>
      </c>
      <c r="F31" s="7">
        <v>7.9100000000000004E-2</v>
      </c>
      <c r="G31" s="7">
        <v>8.1600000000000006E-2</v>
      </c>
      <c r="H31" s="9">
        <f t="shared" si="10"/>
        <v>8.0566666666666675E-2</v>
      </c>
      <c r="I31" s="11">
        <f t="shared" si="11"/>
        <v>1.065624490876386E-3</v>
      </c>
      <c r="J31" s="12">
        <f t="shared" si="12"/>
        <v>1.322661759465932</v>
      </c>
      <c r="K31" s="9">
        <f t="shared" si="8"/>
        <v>6.4288754122779027E-2</v>
      </c>
      <c r="L31" s="10">
        <f t="shared" si="9"/>
        <v>0.93571124587722099</v>
      </c>
      <c r="M31">
        <f t="shared" si="13"/>
        <v>1.2376294828240243E-2</v>
      </c>
      <c r="N31">
        <f t="shared" si="14"/>
        <v>-6.6448348094262269E-2</v>
      </c>
      <c r="O31">
        <f t="shared" si="15"/>
        <v>8.7888689003961639E-4</v>
      </c>
      <c r="R31" s="14">
        <f>273+B21</f>
        <v>333</v>
      </c>
      <c r="S31" s="15">
        <f t="shared" ref="S31:S34" si="16">1/R31</f>
        <v>3.003003003003003E-3</v>
      </c>
      <c r="T31" s="16">
        <f>-SLOPE(N23:N32,D23:D32)</f>
        <v>1.2163424530237689E-3</v>
      </c>
      <c r="U31" s="18">
        <f t="shared" ref="U31:U34" si="17">LN(T31)</f>
        <v>-6.7119069125339079</v>
      </c>
    </row>
    <row r="32" spans="1:21" x14ac:dyDescent="0.35">
      <c r="D32" s="6">
        <v>50</v>
      </c>
      <c r="E32" s="7">
        <v>8.7999999999999995E-2</v>
      </c>
      <c r="F32" s="7">
        <v>8.4599999999999995E-2</v>
      </c>
      <c r="G32" s="7">
        <v>9.1300000000000006E-2</v>
      </c>
      <c r="H32" s="9">
        <f t="shared" si="10"/>
        <v>8.7966666666666651E-2</v>
      </c>
      <c r="I32" s="11">
        <f t="shared" si="11"/>
        <v>2.7353650985238237E-3</v>
      </c>
      <c r="J32" s="12">
        <f t="shared" si="12"/>
        <v>3.1095472889622862</v>
      </c>
      <c r="K32" s="9">
        <f t="shared" si="8"/>
        <v>7.01936376210235E-2</v>
      </c>
      <c r="L32" s="10">
        <f t="shared" si="9"/>
        <v>0.92980636237897651</v>
      </c>
      <c r="M32">
        <f t="shared" si="13"/>
        <v>2.8912768533954317E-2</v>
      </c>
      <c r="N32">
        <f t="shared" si="14"/>
        <v>-7.2778927009790606E-2</v>
      </c>
      <c r="O32">
        <f t="shared" si="15"/>
        <v>2.2630951517687847E-3</v>
      </c>
      <c r="R32" s="14">
        <f>273+B35</f>
        <v>343</v>
      </c>
      <c r="S32" s="15">
        <f t="shared" si="16"/>
        <v>2.9154518950437317E-3</v>
      </c>
      <c r="T32" s="16">
        <f>-SLOPE(N37:N46,D37:D46)</f>
        <v>2.787846774044425E-3</v>
      </c>
      <c r="U32" s="18">
        <f t="shared" si="17"/>
        <v>-5.8824857466887055</v>
      </c>
    </row>
    <row r="33" spans="1:21" x14ac:dyDescent="0.35">
      <c r="R33" s="14">
        <f>273+B49</f>
        <v>353</v>
      </c>
      <c r="S33" s="15">
        <f t="shared" si="16"/>
        <v>2.8328611898016999E-3</v>
      </c>
      <c r="T33" s="16">
        <f>-SLOPE(N51:N60,D51:D60)</f>
        <v>5.8475653362397096E-3</v>
      </c>
      <c r="U33" s="18">
        <f t="shared" si="17"/>
        <v>-5.1417298862054359</v>
      </c>
    </row>
    <row r="34" spans="1:21" x14ac:dyDescent="0.35">
      <c r="R34" s="21">
        <v>298</v>
      </c>
      <c r="S34" s="24">
        <f t="shared" si="16"/>
        <v>3.3557046979865771E-3</v>
      </c>
      <c r="T34" s="22">
        <f>R67</f>
        <v>4.3881100389031684E-5</v>
      </c>
      <c r="U34" s="23">
        <f t="shared" si="17"/>
        <v>-10.034026845637587</v>
      </c>
    </row>
    <row r="35" spans="1:21" x14ac:dyDescent="0.35">
      <c r="A35" t="s">
        <v>10</v>
      </c>
      <c r="B35">
        <v>70</v>
      </c>
      <c r="C35" s="3" t="s">
        <v>9</v>
      </c>
      <c r="D35" s="6" t="s">
        <v>2</v>
      </c>
      <c r="E35" s="7" t="s">
        <v>3</v>
      </c>
      <c r="F35" s="7" t="s">
        <v>4</v>
      </c>
      <c r="G35" s="7" t="s">
        <v>5</v>
      </c>
      <c r="H35" s="6" t="s">
        <v>24</v>
      </c>
      <c r="I35" s="6" t="s">
        <v>15</v>
      </c>
      <c r="J35" s="6" t="s">
        <v>32</v>
      </c>
      <c r="K35" s="6" t="s">
        <v>25</v>
      </c>
      <c r="L35" s="6" t="s">
        <v>16</v>
      </c>
      <c r="M35" s="6" t="s">
        <v>33</v>
      </c>
      <c r="N35" s="6" t="s">
        <v>17</v>
      </c>
      <c r="O35" s="6" t="s">
        <v>34</v>
      </c>
    </row>
    <row r="36" spans="1:21" x14ac:dyDescent="0.35">
      <c r="D36" s="6" t="s">
        <v>6</v>
      </c>
      <c r="E36" s="7" t="s">
        <v>1</v>
      </c>
      <c r="F36" s="7" t="s">
        <v>1</v>
      </c>
      <c r="G36" s="7" t="s">
        <v>1</v>
      </c>
      <c r="J36" s="6" t="s">
        <v>7</v>
      </c>
      <c r="K36" s="6" t="s">
        <v>7</v>
      </c>
    </row>
    <row r="37" spans="1:21" x14ac:dyDescent="0.35">
      <c r="D37" s="6">
        <v>5</v>
      </c>
      <c r="E37" s="7">
        <v>3.15E-2</v>
      </c>
      <c r="F37" s="7">
        <v>3.2000000000000001E-2</v>
      </c>
      <c r="G37" s="7">
        <v>3.3000000000000002E-2</v>
      </c>
      <c r="H37" s="9">
        <f>AVERAGE(E37:G37)</f>
        <v>3.216666666666667E-2</v>
      </c>
      <c r="I37" s="11">
        <f>_xlfn.STDEV.P(E37:G37)</f>
        <v>6.2360956446232412E-4</v>
      </c>
      <c r="J37" s="12">
        <f>I37/H37*100</f>
        <v>1.9386825838206965</v>
      </c>
      <c r="K37" s="9">
        <f t="shared" ref="K37:K46" si="18">(H37/313.3)*$B$6</f>
        <v>2.566762421534206E-2</v>
      </c>
      <c r="L37" s="10">
        <f t="shared" ref="L37:L46" si="19">$B$1-K37</f>
        <v>0.97433237578465792</v>
      </c>
      <c r="M37">
        <f>L37*J37/100</f>
        <v>1.8889212077863583E-2</v>
      </c>
      <c r="N37">
        <f>LN(L37)</f>
        <v>-2.6002785312670942E-2</v>
      </c>
      <c r="O37">
        <f>ABS(N37*J37/100)</f>
        <v>5.0411147016503756E-4</v>
      </c>
    </row>
    <row r="38" spans="1:21" x14ac:dyDescent="0.35">
      <c r="D38" s="6">
        <v>10</v>
      </c>
      <c r="E38" s="7">
        <v>4.9200000000000001E-2</v>
      </c>
      <c r="F38" s="7">
        <v>5.0299999999999997E-2</v>
      </c>
      <c r="G38" s="7">
        <v>4.99E-2</v>
      </c>
      <c r="H38" s="9">
        <f t="shared" ref="H38:H46" si="20">AVERAGE(E38:G38)</f>
        <v>4.9800000000000004E-2</v>
      </c>
      <c r="I38" s="11">
        <f t="shared" ref="I38:I46" si="21">_xlfn.STDEV.P(E38:G38)</f>
        <v>4.5460605656619398E-4</v>
      </c>
      <c r="J38" s="12">
        <f t="shared" ref="J38:J46" si="22">I38/H38*100</f>
        <v>0.91286356740199592</v>
      </c>
      <c r="K38" s="9">
        <f t="shared" si="18"/>
        <v>3.9738270028726465E-2</v>
      </c>
      <c r="L38" s="10">
        <f t="shared" si="19"/>
        <v>0.96026172997127357</v>
      </c>
      <c r="M38">
        <f t="shared" ref="M38:M46" si="23">L38*J38/100</f>
        <v>8.7658794846118895E-3</v>
      </c>
      <c r="N38">
        <f t="shared" ref="N38:N46" si="24">LN(L38)</f>
        <v>-4.0549396291785257E-2</v>
      </c>
      <c r="O38">
        <f t="shared" ref="O38:O46" si="25">ABS(N38*J38/100)</f>
        <v>3.7016066554916354E-4</v>
      </c>
    </row>
    <row r="39" spans="1:21" x14ac:dyDescent="0.35">
      <c r="D39" s="6">
        <v>15</v>
      </c>
      <c r="E39" s="7">
        <v>6.5500000000000003E-2</v>
      </c>
      <c r="F39" s="7">
        <v>6.7199999999999996E-2</v>
      </c>
      <c r="G39" s="7">
        <v>6.88E-2</v>
      </c>
      <c r="H39" s="9">
        <f t="shared" si="20"/>
        <v>6.7166666666666666E-2</v>
      </c>
      <c r="I39" s="11">
        <f t="shared" si="21"/>
        <v>1.3474255287605147E-3</v>
      </c>
      <c r="J39" s="12">
        <f t="shared" si="22"/>
        <v>2.0060925986508904</v>
      </c>
      <c r="K39" s="9">
        <f t="shared" si="18"/>
        <v>5.3596127247579527E-2</v>
      </c>
      <c r="L39" s="10">
        <f t="shared" si="19"/>
        <v>0.94640387275242044</v>
      </c>
      <c r="M39">
        <f t="shared" si="23"/>
        <v>1.8985738044631696E-2</v>
      </c>
      <c r="N39">
        <f t="shared" si="24"/>
        <v>-5.5085874237976264E-2</v>
      </c>
      <c r="O39">
        <f t="shared" si="25"/>
        <v>1.1050736459901794E-3</v>
      </c>
    </row>
    <row r="40" spans="1:21" x14ac:dyDescent="0.35">
      <c r="D40" s="6">
        <v>20</v>
      </c>
      <c r="E40" s="7">
        <v>8.1799999999999998E-2</v>
      </c>
      <c r="F40" s="7">
        <v>8.2799999999999999E-2</v>
      </c>
      <c r="G40" s="7">
        <v>8.5800000000000001E-2</v>
      </c>
      <c r="H40" s="9">
        <f t="shared" si="20"/>
        <v>8.3466666666666675E-2</v>
      </c>
      <c r="I40" s="11">
        <f t="shared" si="21"/>
        <v>1.6996731711975963E-3</v>
      </c>
      <c r="J40" s="12">
        <f t="shared" si="22"/>
        <v>2.0363496460035098</v>
      </c>
      <c r="K40" s="9">
        <f t="shared" si="18"/>
        <v>6.6602830088307266E-2</v>
      </c>
      <c r="L40" s="10">
        <f t="shared" si="19"/>
        <v>0.93339716991169275</v>
      </c>
      <c r="M40">
        <f t="shared" si="23"/>
        <v>1.9007229965303532E-2</v>
      </c>
      <c r="N40">
        <f t="shared" si="24"/>
        <v>-6.8924477491917532E-2</v>
      </c>
      <c r="O40">
        <f t="shared" si="25"/>
        <v>1.4035433534164315E-3</v>
      </c>
    </row>
    <row r="41" spans="1:21" x14ac:dyDescent="0.35">
      <c r="D41" s="6">
        <v>25</v>
      </c>
      <c r="E41" s="7">
        <v>9.7500000000000003E-2</v>
      </c>
      <c r="F41" s="7">
        <v>0.1004</v>
      </c>
      <c r="G41" s="7">
        <v>0.1024</v>
      </c>
      <c r="H41" s="9">
        <f t="shared" si="20"/>
        <v>0.10010000000000001</v>
      </c>
      <c r="I41" s="11">
        <f t="shared" si="21"/>
        <v>2.0116328359486152E-3</v>
      </c>
      <c r="J41" s="12">
        <f t="shared" si="22"/>
        <v>2.0096232127358791</v>
      </c>
      <c r="K41" s="9">
        <f t="shared" si="18"/>
        <v>7.9875518672199178E-2</v>
      </c>
      <c r="L41" s="10">
        <f t="shared" si="19"/>
        <v>0.92012448132780078</v>
      </c>
      <c r="M41">
        <f t="shared" si="23"/>
        <v>1.8491035162829093E-2</v>
      </c>
      <c r="N41">
        <f t="shared" si="24"/>
        <v>-8.3246312300966172E-2</v>
      </c>
      <c r="O41">
        <f t="shared" si="25"/>
        <v>1.6729372157468197E-3</v>
      </c>
    </row>
    <row r="42" spans="1:21" x14ac:dyDescent="0.35">
      <c r="D42" s="6">
        <v>30</v>
      </c>
      <c r="E42" s="7">
        <v>0.1113</v>
      </c>
      <c r="F42" s="7">
        <v>0.11749999999999999</v>
      </c>
      <c r="G42" s="7">
        <v>0.1181</v>
      </c>
      <c r="H42" s="9">
        <f t="shared" si="20"/>
        <v>0.11563333333333332</v>
      </c>
      <c r="I42" s="11">
        <f t="shared" si="21"/>
        <v>3.0739045022396007E-3</v>
      </c>
      <c r="J42" s="12">
        <f t="shared" si="22"/>
        <v>2.6583204112766801</v>
      </c>
      <c r="K42" s="9">
        <f t="shared" si="18"/>
        <v>9.2270454303649316E-2</v>
      </c>
      <c r="L42" s="10">
        <f t="shared" si="19"/>
        <v>0.90772954569635067</v>
      </c>
      <c r="M42">
        <f t="shared" si="23"/>
        <v>2.4130359792435167E-2</v>
      </c>
      <c r="N42">
        <f t="shared" si="24"/>
        <v>-9.6808801911708292E-2</v>
      </c>
      <c r="O42">
        <f t="shared" si="25"/>
        <v>2.5734881411313502E-3</v>
      </c>
    </row>
    <row r="43" spans="1:21" x14ac:dyDescent="0.35">
      <c r="D43" s="6">
        <v>35</v>
      </c>
      <c r="E43" s="7">
        <v>0.12479999999999999</v>
      </c>
      <c r="F43" s="7">
        <v>0.13100000000000001</v>
      </c>
      <c r="G43" s="7">
        <v>0.1321</v>
      </c>
      <c r="H43" s="9">
        <f t="shared" si="20"/>
        <v>0.1293</v>
      </c>
      <c r="I43" s="11">
        <f t="shared" si="21"/>
        <v>3.2135131346653434E-3</v>
      </c>
      <c r="J43" s="12">
        <f t="shared" si="22"/>
        <v>2.4853156493931503</v>
      </c>
      <c r="K43" s="9">
        <f t="shared" si="18"/>
        <v>0.10317586977338014</v>
      </c>
      <c r="L43" s="10">
        <f t="shared" si="19"/>
        <v>0.89682413022661989</v>
      </c>
      <c r="M43">
        <f t="shared" si="23"/>
        <v>2.2288910456056188E-2</v>
      </c>
      <c r="N43">
        <f t="shared" si="24"/>
        <v>-0.10889550055381522</v>
      </c>
      <c r="O43">
        <f t="shared" si="25"/>
        <v>2.7063969167489743E-3</v>
      </c>
    </row>
    <row r="44" spans="1:21" x14ac:dyDescent="0.35">
      <c r="D44" s="6">
        <v>40</v>
      </c>
      <c r="E44" s="7">
        <v>0.14269999999999999</v>
      </c>
      <c r="F44" s="7">
        <v>0.14960000000000001</v>
      </c>
      <c r="G44" s="7">
        <v>0.15140000000000001</v>
      </c>
      <c r="H44" s="9">
        <f t="shared" si="20"/>
        <v>0.1479</v>
      </c>
      <c r="I44" s="11">
        <f t="shared" si="21"/>
        <v>3.7496666518505419E-3</v>
      </c>
      <c r="J44" s="12">
        <f t="shared" si="22"/>
        <v>2.5352715698786623</v>
      </c>
      <c r="K44" s="9">
        <f t="shared" si="18"/>
        <v>0.11801787424194063</v>
      </c>
      <c r="L44" s="10">
        <f t="shared" si="19"/>
        <v>0.88198212575805934</v>
      </c>
      <c r="M44">
        <f t="shared" si="23"/>
        <v>2.2360642085755549E-2</v>
      </c>
      <c r="N44">
        <f t="shared" si="24"/>
        <v>-0.12558348876112699</v>
      </c>
      <c r="O44">
        <f t="shared" si="25"/>
        <v>3.1838824870226178E-3</v>
      </c>
    </row>
    <row r="45" spans="1:21" x14ac:dyDescent="0.35">
      <c r="D45" s="6">
        <v>45</v>
      </c>
      <c r="E45" s="7">
        <v>0.15529999999999999</v>
      </c>
      <c r="F45" s="7">
        <v>0.16220000000000001</v>
      </c>
      <c r="G45" s="7">
        <v>0.1641</v>
      </c>
      <c r="H45" s="9">
        <f t="shared" si="20"/>
        <v>0.16053333333333333</v>
      </c>
      <c r="I45" s="11">
        <f t="shared" si="21"/>
        <v>3.7809463835864667E-3</v>
      </c>
      <c r="J45" s="12">
        <f t="shared" si="22"/>
        <v>2.3552406874500416</v>
      </c>
      <c r="K45" s="9">
        <f t="shared" si="18"/>
        <v>0.12809873390786253</v>
      </c>
      <c r="L45" s="10">
        <f t="shared" si="19"/>
        <v>0.87190126609213747</v>
      </c>
      <c r="M45">
        <f t="shared" si="23"/>
        <v>2.0535373373394075E-2</v>
      </c>
      <c r="N45">
        <f t="shared" si="24"/>
        <v>-0.13707908844237135</v>
      </c>
      <c r="O45">
        <f t="shared" si="25"/>
        <v>3.2285424649803572E-3</v>
      </c>
    </row>
    <row r="46" spans="1:21" x14ac:dyDescent="0.35">
      <c r="D46" s="6">
        <v>50</v>
      </c>
      <c r="E46" s="7">
        <v>0.17430000000000001</v>
      </c>
      <c r="F46" s="7">
        <v>0.1797</v>
      </c>
      <c r="G46" s="7">
        <v>0.1777</v>
      </c>
      <c r="H46" s="9">
        <f t="shared" si="20"/>
        <v>0.17723333333333333</v>
      </c>
      <c r="I46" s="11">
        <f t="shared" si="21"/>
        <v>2.2291004663067267E-3</v>
      </c>
      <c r="J46" s="12">
        <f t="shared" si="22"/>
        <v>1.2577207821929999</v>
      </c>
      <c r="K46" s="9">
        <f t="shared" si="18"/>
        <v>0.14142461964038724</v>
      </c>
      <c r="L46" s="10">
        <f t="shared" si="19"/>
        <v>0.85857538035961278</v>
      </c>
      <c r="M46">
        <f t="shared" si="23"/>
        <v>1.0798480989575445E-2</v>
      </c>
      <c r="N46">
        <f t="shared" si="24"/>
        <v>-0.15248079777048862</v>
      </c>
      <c r="O46">
        <f t="shared" si="25"/>
        <v>1.9177826824131159E-3</v>
      </c>
    </row>
    <row r="49" spans="1:21" x14ac:dyDescent="0.35">
      <c r="A49" t="s">
        <v>10</v>
      </c>
      <c r="B49">
        <v>80</v>
      </c>
      <c r="C49" s="3" t="s">
        <v>9</v>
      </c>
      <c r="D49" s="6" t="s">
        <v>2</v>
      </c>
      <c r="E49" s="7" t="s">
        <v>3</v>
      </c>
      <c r="F49" s="7" t="s">
        <v>4</v>
      </c>
      <c r="G49" s="7" t="s">
        <v>5</v>
      </c>
      <c r="H49" s="6" t="s">
        <v>24</v>
      </c>
      <c r="I49" s="6" t="s">
        <v>15</v>
      </c>
      <c r="J49" s="6" t="s">
        <v>32</v>
      </c>
      <c r="K49" s="6" t="s">
        <v>25</v>
      </c>
      <c r="L49" s="6" t="s">
        <v>16</v>
      </c>
      <c r="M49" s="6" t="s">
        <v>33</v>
      </c>
      <c r="N49" s="6" t="s">
        <v>17</v>
      </c>
      <c r="O49" s="6" t="s">
        <v>34</v>
      </c>
    </row>
    <row r="50" spans="1:21" x14ac:dyDescent="0.35">
      <c r="D50" s="6" t="s">
        <v>6</v>
      </c>
      <c r="E50" s="7" t="s">
        <v>1</v>
      </c>
      <c r="F50" s="7" t="s">
        <v>1</v>
      </c>
      <c r="G50" s="7" t="s">
        <v>1</v>
      </c>
      <c r="J50" s="6" t="s">
        <v>7</v>
      </c>
      <c r="K50" s="6" t="s">
        <v>7</v>
      </c>
    </row>
    <row r="51" spans="1:21" x14ac:dyDescent="0.35">
      <c r="D51" s="6">
        <v>5</v>
      </c>
      <c r="E51" s="7">
        <v>5.0900000000000001E-2</v>
      </c>
      <c r="F51" s="7">
        <v>5.1299999999999998E-2</v>
      </c>
      <c r="G51" s="7">
        <v>5.0700000000000002E-2</v>
      </c>
      <c r="H51" s="9">
        <f>AVERAGE(E51:G51)</f>
        <v>5.0966666666666667E-2</v>
      </c>
      <c r="I51" s="11">
        <f>_xlfn.STDEV.P(E51:G51)</f>
        <v>2.4944382578492792E-4</v>
      </c>
      <c r="J51" s="12">
        <f>I51/H51*100</f>
        <v>0.48942542665453481</v>
      </c>
      <c r="K51" s="9">
        <f t="shared" ref="K51:K60" si="26">(H51/313.3)*$B$6</f>
        <v>4.0669220129801044E-2</v>
      </c>
      <c r="L51" s="10">
        <f t="shared" ref="L51:L60" si="27">$B$1-K51</f>
        <v>0.95933077987019899</v>
      </c>
      <c r="M51">
        <f>L51*J51/100</f>
        <v>4.6952087624079972E-3</v>
      </c>
      <c r="N51">
        <f>LN(L51)</f>
        <v>-4.1519341912314399E-2</v>
      </c>
      <c r="O51">
        <f>ABS(N51*J51/100)</f>
        <v>2.0320621629849986E-4</v>
      </c>
    </row>
    <row r="52" spans="1:21" x14ac:dyDescent="0.35">
      <c r="D52" s="6">
        <v>10</v>
      </c>
      <c r="E52" s="7">
        <v>8.9099999999999999E-2</v>
      </c>
      <c r="F52" s="7">
        <v>8.4699999999999998E-2</v>
      </c>
      <c r="G52" s="7">
        <v>8.4699999999999998E-2</v>
      </c>
      <c r="H52" s="9">
        <f t="shared" ref="H52:H60" si="28">AVERAGE(E52:G52)</f>
        <v>8.6166666666666669E-2</v>
      </c>
      <c r="I52" s="11">
        <f t="shared" ref="I52:I60" si="29">_xlfn.STDEV.P(E52:G52)</f>
        <v>2.0741798914805398E-3</v>
      </c>
      <c r="J52" s="12">
        <f t="shared" ref="J52:J60" si="30">I52/H52*100</f>
        <v>2.4071720210605876</v>
      </c>
      <c r="K52" s="9">
        <f t="shared" si="26"/>
        <v>6.8757314607937006E-2</v>
      </c>
      <c r="L52" s="10">
        <f t="shared" si="27"/>
        <v>0.93124268539206301</v>
      </c>
      <c r="M52">
        <f t="shared" ref="M52:M60" si="31">L52*J52/100</f>
        <v>2.241661337093101E-2</v>
      </c>
      <c r="N52">
        <f t="shared" ref="N52:N60" si="32">LN(L52)</f>
        <v>-7.1235363931765203E-2</v>
      </c>
      <c r="O52">
        <f t="shared" ref="O52:O60" si="33">ABS(N52*J52/100)</f>
        <v>1.7147577496661372E-3</v>
      </c>
    </row>
    <row r="53" spans="1:21" x14ac:dyDescent="0.35">
      <c r="D53" s="6">
        <v>15</v>
      </c>
      <c r="E53" s="7">
        <v>0.1229</v>
      </c>
      <c r="F53" s="7">
        <v>0.11890000000000001</v>
      </c>
      <c r="G53" s="7">
        <v>0.1179</v>
      </c>
      <c r="H53" s="9">
        <f t="shared" si="28"/>
        <v>0.11990000000000001</v>
      </c>
      <c r="I53" s="11">
        <f t="shared" si="29"/>
        <v>2.1602468994692823E-3</v>
      </c>
      <c r="J53" s="12">
        <f t="shared" si="30"/>
        <v>1.8017071722012363</v>
      </c>
      <c r="K53" s="9">
        <f t="shared" si="26"/>
        <v>9.5675071816150647E-2</v>
      </c>
      <c r="L53" s="10">
        <f t="shared" si="27"/>
        <v>0.90432492818384935</v>
      </c>
      <c r="M53">
        <f t="shared" si="31"/>
        <v>1.6293287091092092E-2</v>
      </c>
      <c r="N53">
        <f t="shared" si="32"/>
        <v>-0.10056654933913391</v>
      </c>
      <c r="O53">
        <f t="shared" si="33"/>
        <v>1.8119147322784707E-3</v>
      </c>
    </row>
    <row r="54" spans="1:21" x14ac:dyDescent="0.35">
      <c r="D54" s="6">
        <v>20</v>
      </c>
      <c r="E54" s="7">
        <v>0.15490000000000001</v>
      </c>
      <c r="F54" s="7">
        <v>0.15260000000000001</v>
      </c>
      <c r="G54" s="7">
        <v>0.15279999999999999</v>
      </c>
      <c r="H54" s="9">
        <f t="shared" si="28"/>
        <v>0.15343333333333334</v>
      </c>
      <c r="I54" s="11">
        <f t="shared" si="29"/>
        <v>1.0402991022884851E-3</v>
      </c>
      <c r="J54" s="12">
        <f t="shared" si="30"/>
        <v>0.67801375339245173</v>
      </c>
      <c r="K54" s="9">
        <f t="shared" si="26"/>
        <v>0.12243323757846579</v>
      </c>
      <c r="L54" s="10">
        <f t="shared" si="27"/>
        <v>0.8775667624215342</v>
      </c>
      <c r="M54">
        <f t="shared" si="31"/>
        <v>5.9500233444188637E-3</v>
      </c>
      <c r="N54">
        <f t="shared" si="32"/>
        <v>-0.13060224400458229</v>
      </c>
      <c r="O54">
        <f t="shared" si="33"/>
        <v>8.855011765902367E-4</v>
      </c>
    </row>
    <row r="55" spans="1:21" x14ac:dyDescent="0.35">
      <c r="D55" s="6">
        <v>25</v>
      </c>
      <c r="E55" s="7">
        <v>0.1895</v>
      </c>
      <c r="F55" s="7">
        <v>0.1835</v>
      </c>
      <c r="G55" s="7">
        <v>0.1817</v>
      </c>
      <c r="H55" s="9">
        <f t="shared" si="28"/>
        <v>0.18489999999999998</v>
      </c>
      <c r="I55" s="11">
        <f t="shared" si="29"/>
        <v>3.3346664001066145E-3</v>
      </c>
      <c r="J55" s="12">
        <f t="shared" si="30"/>
        <v>1.8034972418099593</v>
      </c>
      <c r="K55" s="9">
        <f t="shared" si="26"/>
        <v>0.14754229173316308</v>
      </c>
      <c r="L55" s="10">
        <f t="shared" si="27"/>
        <v>0.85245770826683698</v>
      </c>
      <c r="M55">
        <f t="shared" si="31"/>
        <v>1.5374051256188794E-2</v>
      </c>
      <c r="N55">
        <f t="shared" si="32"/>
        <v>-0.15963168012619483</v>
      </c>
      <c r="O55">
        <f t="shared" si="33"/>
        <v>2.8789529481308205E-3</v>
      </c>
    </row>
    <row r="56" spans="1:21" x14ac:dyDescent="0.35">
      <c r="D56" s="6">
        <v>30</v>
      </c>
      <c r="E56" s="7">
        <v>0.21490000000000001</v>
      </c>
      <c r="F56" s="7">
        <v>0.21149999999999999</v>
      </c>
      <c r="G56" s="7">
        <v>0.21440000000000001</v>
      </c>
      <c r="H56" s="9">
        <f t="shared" si="28"/>
        <v>0.21360000000000001</v>
      </c>
      <c r="I56" s="11">
        <f t="shared" si="29"/>
        <v>1.4988884770611476E-3</v>
      </c>
      <c r="J56" s="12">
        <f t="shared" si="30"/>
        <v>0.70172681510353341</v>
      </c>
      <c r="K56" s="9">
        <f t="shared" si="26"/>
        <v>0.17044366421959783</v>
      </c>
      <c r="L56" s="10">
        <f t="shared" si="27"/>
        <v>0.82955633578040211</v>
      </c>
      <c r="M56">
        <f t="shared" si="31"/>
        <v>5.8212192545613892E-3</v>
      </c>
      <c r="N56">
        <f t="shared" si="32"/>
        <v>-0.18686425631070155</v>
      </c>
      <c r="O56">
        <f t="shared" si="33"/>
        <v>1.3112765943759893E-3</v>
      </c>
    </row>
    <row r="57" spans="1:21" x14ac:dyDescent="0.35">
      <c r="D57" s="6">
        <v>35</v>
      </c>
      <c r="E57" s="7">
        <v>0.24879999999999999</v>
      </c>
      <c r="F57" s="7">
        <v>0.2404</v>
      </c>
      <c r="G57" s="7">
        <v>0.24909999999999999</v>
      </c>
      <c r="H57" s="9">
        <f t="shared" si="28"/>
        <v>0.24609999999999999</v>
      </c>
      <c r="I57" s="11">
        <f t="shared" si="29"/>
        <v>4.0323690307311841E-3</v>
      </c>
      <c r="J57" s="12">
        <f t="shared" si="30"/>
        <v>1.6385083424344513</v>
      </c>
      <c r="K57" s="9">
        <f t="shared" si="26"/>
        <v>0.19637727417810405</v>
      </c>
      <c r="L57" s="10">
        <f t="shared" si="27"/>
        <v>0.80362272582189598</v>
      </c>
      <c r="M57">
        <f t="shared" si="31"/>
        <v>1.3167425404290903E-2</v>
      </c>
      <c r="N57">
        <f t="shared" si="32"/>
        <v>-0.21862536642393771</v>
      </c>
      <c r="O57">
        <f t="shared" si="33"/>
        <v>3.582194867534107E-3</v>
      </c>
    </row>
    <row r="58" spans="1:21" x14ac:dyDescent="0.35">
      <c r="D58" s="6">
        <v>40</v>
      </c>
      <c r="E58" s="7">
        <v>0.27200000000000002</v>
      </c>
      <c r="F58" s="7">
        <v>0.27</v>
      </c>
      <c r="G58" s="7">
        <v>0.26750000000000002</v>
      </c>
      <c r="H58" s="9">
        <f t="shared" si="28"/>
        <v>0.26983333333333337</v>
      </c>
      <c r="I58" s="11">
        <f t="shared" si="29"/>
        <v>1.8408935028645453E-3</v>
      </c>
      <c r="J58" s="12">
        <f t="shared" si="30"/>
        <v>0.68223354028333971</v>
      </c>
      <c r="K58" s="9">
        <f t="shared" si="26"/>
        <v>0.21531545909139271</v>
      </c>
      <c r="L58" s="10">
        <f t="shared" si="27"/>
        <v>0.78468454090860729</v>
      </c>
      <c r="M58">
        <f t="shared" si="31"/>
        <v>5.3533811234968628E-3</v>
      </c>
      <c r="N58">
        <f t="shared" si="32"/>
        <v>-0.24247350068173068</v>
      </c>
      <c r="O58">
        <f t="shared" si="33"/>
        <v>1.6542355479499192E-3</v>
      </c>
    </row>
    <row r="59" spans="1:21" x14ac:dyDescent="0.35">
      <c r="D59" s="6">
        <v>45</v>
      </c>
      <c r="E59" s="7">
        <v>0.29899999999999999</v>
      </c>
      <c r="F59" s="7">
        <v>0.30109999999999998</v>
      </c>
      <c r="G59" s="7">
        <v>0.30570000000000003</v>
      </c>
      <c r="H59" s="9">
        <f t="shared" si="28"/>
        <v>0.30193333333333333</v>
      </c>
      <c r="I59" s="11">
        <f t="shared" si="29"/>
        <v>2.7980151695244601E-3</v>
      </c>
      <c r="J59" s="12">
        <f t="shared" si="30"/>
        <v>0.9266996587075933</v>
      </c>
      <c r="K59" s="9">
        <f t="shared" si="26"/>
        <v>0.24092988615810193</v>
      </c>
      <c r="L59" s="10">
        <f t="shared" si="27"/>
        <v>0.75907011384189804</v>
      </c>
      <c r="M59">
        <f t="shared" si="31"/>
        <v>7.0343001543242091E-3</v>
      </c>
      <c r="N59">
        <f t="shared" si="32"/>
        <v>-0.27566112924967157</v>
      </c>
      <c r="O59">
        <f t="shared" si="33"/>
        <v>2.5545507439462042E-3</v>
      </c>
    </row>
    <row r="60" spans="1:21" x14ac:dyDescent="0.35">
      <c r="D60" s="6">
        <v>50</v>
      </c>
      <c r="E60" s="7">
        <v>0.33800000000000002</v>
      </c>
      <c r="F60" s="7">
        <v>0.32729999999999998</v>
      </c>
      <c r="G60" s="7">
        <v>0.32950000000000002</v>
      </c>
      <c r="H60" s="9">
        <f t="shared" si="28"/>
        <v>0.33160000000000001</v>
      </c>
      <c r="I60" s="11">
        <f t="shared" si="29"/>
        <v>4.6137475729245096E-3</v>
      </c>
      <c r="J60" s="12">
        <f t="shared" si="30"/>
        <v>1.3913593404476807</v>
      </c>
      <c r="K60" s="9">
        <f t="shared" si="26"/>
        <v>0.26460261729971274</v>
      </c>
      <c r="L60" s="10">
        <f t="shared" si="27"/>
        <v>0.73539738270028732</v>
      </c>
      <c r="M60">
        <f t="shared" si="31"/>
        <v>1.0232020173608225E-2</v>
      </c>
      <c r="N60">
        <f t="shared" si="32"/>
        <v>-0.30734426913640978</v>
      </c>
      <c r="O60">
        <f t="shared" si="33"/>
        <v>4.276263195960096E-3</v>
      </c>
    </row>
    <row r="64" spans="1:21" x14ac:dyDescent="0.35">
      <c r="Q64" t="s">
        <v>22</v>
      </c>
      <c r="R64">
        <v>21.47</v>
      </c>
      <c r="T64" t="s">
        <v>39</v>
      </c>
      <c r="U64">
        <f>EXP(R64)</f>
        <v>2110097517.0968292</v>
      </c>
    </row>
    <row r="65" spans="17:19" x14ac:dyDescent="0.35">
      <c r="Q65" t="s">
        <v>21</v>
      </c>
      <c r="R65">
        <v>-9388.2000000000007</v>
      </c>
    </row>
    <row r="66" spans="17:19" x14ac:dyDescent="0.35">
      <c r="S66" s="4"/>
    </row>
    <row r="67" spans="17:19" x14ac:dyDescent="0.35">
      <c r="Q67" t="s">
        <v>35</v>
      </c>
      <c r="R67" s="1">
        <f>U64*(EXP(R65*1/298))</f>
        <v>4.3881100389031684E-5</v>
      </c>
      <c r="S67" s="4"/>
    </row>
    <row r="68" spans="17:19" x14ac:dyDescent="0.35">
      <c r="Q68" t="s">
        <v>41</v>
      </c>
      <c r="R68" s="4">
        <f>LN(2)/R67</f>
        <v>15796.030054278246</v>
      </c>
      <c r="S68" t="s">
        <v>6</v>
      </c>
    </row>
    <row r="69" spans="17:19" x14ac:dyDescent="0.35">
      <c r="R69" s="4">
        <f>R68/60</f>
        <v>263.26716757130413</v>
      </c>
      <c r="S69" t="s">
        <v>42</v>
      </c>
    </row>
    <row r="70" spans="17:19" x14ac:dyDescent="0.35">
      <c r="R70" s="19">
        <f>R69/24</f>
        <v>10.969465315471005</v>
      </c>
      <c r="S70" s="20" t="s">
        <v>43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2050" r:id="rId4">
          <objectPr defaultSize="0" r:id="rId5">
            <anchor moveWithCells="1">
              <from>
                <xdr:col>1</xdr:col>
                <xdr:colOff>469900</xdr:colOff>
                <xdr:row>62</xdr:row>
                <xdr:rowOff>57150</xdr:rowOff>
              </from>
              <to>
                <xdr:col>10</xdr:col>
                <xdr:colOff>698500</xdr:colOff>
                <xdr:row>67</xdr:row>
                <xdr:rowOff>88900</xdr:rowOff>
              </to>
            </anchor>
          </objectPr>
        </oleObject>
      </mc:Choice>
      <mc:Fallback>
        <oleObject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E2E6B-CDE2-450E-9010-5E806ADA869E}">
  <dimension ref="B1:D11"/>
  <sheetViews>
    <sheetView workbookViewId="0">
      <selection activeCell="U22" sqref="U22"/>
    </sheetView>
  </sheetViews>
  <sheetFormatPr defaultRowHeight="14.5" x14ac:dyDescent="0.35"/>
  <sheetData>
    <row r="1" spans="2:4" ht="16.5" x14ac:dyDescent="0.45">
      <c r="B1" s="3" t="s">
        <v>11</v>
      </c>
      <c r="C1">
        <v>303</v>
      </c>
      <c r="D1" t="s">
        <v>12</v>
      </c>
    </row>
    <row r="3" spans="2:4" x14ac:dyDescent="0.35">
      <c r="B3" t="s">
        <v>0</v>
      </c>
      <c r="C3" t="s">
        <v>1</v>
      </c>
    </row>
    <row r="4" spans="2:4" x14ac:dyDescent="0.35">
      <c r="B4" t="s">
        <v>7</v>
      </c>
    </row>
    <row r="5" spans="2:4" x14ac:dyDescent="0.35">
      <c r="B5" s="1">
        <v>3.0000000000000001E-5</v>
      </c>
      <c r="C5" s="2">
        <v>8.0000000000000002E-3</v>
      </c>
    </row>
    <row r="6" spans="2:4" x14ac:dyDescent="0.35">
      <c r="B6" s="1">
        <v>1E-3</v>
      </c>
      <c r="C6" s="2">
        <v>0.2777</v>
      </c>
    </row>
    <row r="7" spans="2:4" x14ac:dyDescent="0.35">
      <c r="B7" s="1">
        <v>2E-3</v>
      </c>
      <c r="C7" s="2">
        <v>0.56740000000000002</v>
      </c>
    </row>
    <row r="8" spans="2:4" x14ac:dyDescent="0.35">
      <c r="B8" s="1">
        <v>3.5000000000000001E-3</v>
      </c>
      <c r="C8" s="2">
        <v>1.0948</v>
      </c>
    </row>
    <row r="11" spans="2:4" ht="16.5" x14ac:dyDescent="0.35">
      <c r="B11" s="3" t="s">
        <v>13</v>
      </c>
      <c r="C11" s="5">
        <f>SLOPE(C5:C8,B5:B8)</f>
        <v>313.25975715689214</v>
      </c>
      <c r="D11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sperimentali</vt:lpstr>
      <vt:lpstr>Reta di calibrazione SA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CAGNO MASSIMILIANO PIO</dc:creator>
  <cp:lastModifiedBy>DI CAGNO MASSIMILIANO PIO</cp:lastModifiedBy>
  <dcterms:created xsi:type="dcterms:W3CDTF">2025-11-07T09:44:01Z</dcterms:created>
  <dcterms:modified xsi:type="dcterms:W3CDTF">2025-11-10T11:37:03Z</dcterms:modified>
</cp:coreProperties>
</file>