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ET\25-26\Esercizi\CoplanarManifold\"/>
    </mc:Choice>
  </mc:AlternateContent>
  <xr:revisionPtr revIDLastSave="0" documentId="13_ncr:1_{DC481982-7D65-4DB4-A277-B464614ACE4C}" xr6:coauthVersionLast="47" xr6:coauthVersionMax="47" xr10:uidLastSave="{00000000-0000-0000-0000-000000000000}"/>
  <bookViews>
    <workbookView xWindow="-108" yWindow="-108" windowWidth="23256" windowHeight="12456" tabRatio="524" activeTab="3" xr2:uid="{00000000-000D-0000-FFFF-FFFF00000000}"/>
  </bookViews>
  <sheets>
    <sheet name=" Termolog" sheetId="6" r:id="rId1"/>
    <sheet name="terminal power" sheetId="1" r:id="rId2"/>
    <sheet name="fitting losses " sheetId="5" r:id="rId3"/>
    <sheet name="sizing" sheetId="2" r:id="rId4"/>
    <sheet name="manifold" sheetId="9" r:id="rId5"/>
    <sheet name="radiator" sheetId="8" r:id="rId6"/>
  </sheets>
  <definedNames>
    <definedName name="cp">sizing!$B$3</definedName>
    <definedName name="csi_c">sizing!$L$23</definedName>
    <definedName name="csi_cald">manifold!$B$17</definedName>
    <definedName name="D">sizing!$B$4</definedName>
    <definedName name="Dc">sizing!$L$21</definedName>
    <definedName name="DP_cg">sizing!$L$24</definedName>
    <definedName name="DPC">sizing!$B$5</definedName>
    <definedName name="Dpvmax">sizing!$M$1</definedName>
    <definedName name="Dt">sizing!$G$4</definedName>
    <definedName name="Dtheta_n">sizing!$M$3</definedName>
    <definedName name="eta_e">'terminal power'!$A$1</definedName>
    <definedName name="eta_r">'terminal power'!$A$2</definedName>
    <definedName name="kv_intercett">manifold!$B$15</definedName>
    <definedName name="kv_valv">manifold!$B$16</definedName>
    <definedName name="mu">sizing!$B$2</definedName>
    <definedName name="n">sizing!$M$2</definedName>
    <definedName name="rho">sizing!$B$1</definedName>
    <definedName name="t_mi">sizing!$Q$5</definedName>
    <definedName name="vc">sizing!$L$22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9" l="1"/>
  <c r="T10" i="2"/>
  <c r="T11" i="2"/>
  <c r="T12" i="2"/>
  <c r="T13" i="2"/>
  <c r="T14" i="2"/>
  <c r="T15" i="2"/>
  <c r="T16" i="2"/>
  <c r="T17" i="2"/>
  <c r="T9" i="2"/>
  <c r="B6" i="1"/>
  <c r="B9" i="1"/>
  <c r="B10" i="1"/>
  <c r="C10" i="1" s="1"/>
  <c r="B11" i="1"/>
  <c r="C11" i="1" s="1"/>
  <c r="B12" i="1"/>
  <c r="A6" i="1"/>
  <c r="A7" i="1"/>
  <c r="A8" i="1"/>
  <c r="A9" i="1"/>
  <c r="A10" i="1"/>
  <c r="A11" i="1"/>
  <c r="A12" i="1"/>
  <c r="A13" i="1"/>
  <c r="A5" i="1"/>
  <c r="H18" i="6"/>
  <c r="B13" i="1" s="1"/>
  <c r="H17" i="6"/>
  <c r="H16" i="6"/>
  <c r="H15" i="6"/>
  <c r="H14" i="6"/>
  <c r="H13" i="6"/>
  <c r="H12" i="6"/>
  <c r="B7" i="1" s="1"/>
  <c r="H11" i="6"/>
  <c r="H10" i="6"/>
  <c r="D3" i="5"/>
  <c r="D4" i="5"/>
  <c r="D5" i="5"/>
  <c r="D6" i="5"/>
  <c r="D2" i="5"/>
  <c r="E6" i="1"/>
  <c r="E7" i="1"/>
  <c r="E8" i="1"/>
  <c r="E9" i="1"/>
  <c r="E10" i="1"/>
  <c r="E11" i="1"/>
  <c r="E12" i="1"/>
  <c r="E13" i="1"/>
  <c r="E5" i="1"/>
  <c r="D6" i="1"/>
  <c r="D7" i="1"/>
  <c r="D8" i="1"/>
  <c r="D9" i="1"/>
  <c r="D10" i="1"/>
  <c r="D11" i="1"/>
  <c r="D12" i="1"/>
  <c r="D13" i="1"/>
  <c r="D5" i="1"/>
  <c r="E19" i="6"/>
  <c r="G19" i="6"/>
  <c r="B13" i="9"/>
  <c r="B8" i="9"/>
  <c r="C9" i="1" l="1"/>
  <c r="B5" i="1"/>
  <c r="C5" i="1" s="1"/>
  <c r="C12" i="1"/>
  <c r="B8" i="1"/>
  <c r="C8" i="1" s="1"/>
  <c r="C13" i="1"/>
  <c r="C7" i="1"/>
  <c r="F19" i="6"/>
  <c r="C6" i="1"/>
  <c r="A10" i="2"/>
  <c r="A11" i="2"/>
  <c r="A12" i="2"/>
  <c r="A13" i="2"/>
  <c r="A14" i="2"/>
  <c r="A15" i="2"/>
  <c r="A16" i="2"/>
  <c r="A17" i="2"/>
  <c r="H19" i="6" l="1"/>
  <c r="C10" i="2"/>
  <c r="C11" i="2"/>
  <c r="C12" i="2"/>
  <c r="C13" i="2"/>
  <c r="C14" i="2"/>
  <c r="C15" i="2"/>
  <c r="C16" i="2"/>
  <c r="C17" i="2"/>
  <c r="C9" i="2"/>
  <c r="D10" i="2"/>
  <c r="D11" i="2"/>
  <c r="D12" i="2"/>
  <c r="D13" i="2"/>
  <c r="D14" i="2"/>
  <c r="D15" i="2"/>
  <c r="D16" i="2"/>
  <c r="D17" i="2"/>
  <c r="D9" i="2"/>
  <c r="B10" i="2"/>
  <c r="B11" i="2"/>
  <c r="B12" i="2"/>
  <c r="B13" i="2"/>
  <c r="B14" i="2"/>
  <c r="B15" i="2"/>
  <c r="B16" i="2"/>
  <c r="B17" i="2"/>
  <c r="B9" i="2"/>
  <c r="A9" i="2"/>
  <c r="D7" i="5" l="1"/>
  <c r="P19" i="2" l="1"/>
  <c r="V19" i="2" l="1"/>
  <c r="X22" i="2" l="1"/>
  <c r="X21" i="2" l="1"/>
  <c r="B7" i="9" s="1"/>
  <c r="B9" i="9" l="1"/>
  <c r="B10" i="9" s="1"/>
  <c r="B11" i="9"/>
  <c r="B14" i="9"/>
  <c r="B19" i="9" s="1"/>
  <c r="B20" i="9" s="1"/>
  <c r="B21" i="9" s="1"/>
  <c r="B23" i="9" l="1"/>
  <c r="B29" i="9"/>
  <c r="B22" i="9"/>
  <c r="B24" i="9" l="1"/>
  <c r="B25" i="9" s="1"/>
  <c r="B27" i="9" s="1"/>
  <c r="B28" i="9" s="1"/>
</calcChain>
</file>

<file path=xl/sharedStrings.xml><?xml version="1.0" encoding="utf-8"?>
<sst xmlns="http://schemas.openxmlformats.org/spreadsheetml/2006/main" count="169" uniqueCount="124">
  <si>
    <t>phi</t>
  </si>
  <si>
    <t>phi_re</t>
  </si>
  <si>
    <t>rho</t>
  </si>
  <si>
    <t>kg/m^3</t>
  </si>
  <si>
    <t>mu</t>
  </si>
  <si>
    <t>kg m/s</t>
  </si>
  <si>
    <t>Dcoll</t>
  </si>
  <si>
    <t>m</t>
  </si>
  <si>
    <t>csi_c</t>
  </si>
  <si>
    <t>Pa</t>
  </si>
  <si>
    <t>n</t>
  </si>
  <si>
    <t>csi</t>
  </si>
  <si>
    <t>Dt</t>
  </si>
  <si>
    <t>L</t>
  </si>
  <si>
    <t>u</t>
  </si>
  <si>
    <t>Re</t>
  </si>
  <si>
    <t>Fa</t>
  </si>
  <si>
    <t>r</t>
  </si>
  <si>
    <t>Dpd</t>
  </si>
  <si>
    <t>Dpc</t>
  </si>
  <si>
    <t>Dp</t>
  </si>
  <si>
    <t>Dpv</t>
  </si>
  <si>
    <t>W</t>
  </si>
  <si>
    <t>M^3/s</t>
  </si>
  <si>
    <t>m/s</t>
  </si>
  <si>
    <t>Pa/m</t>
  </si>
  <si>
    <t>sum csi</t>
  </si>
  <si>
    <t>perdite di carico concentrate</t>
  </si>
  <si>
    <t>n*csi</t>
  </si>
  <si>
    <t>cp</t>
  </si>
  <si>
    <t>J/(kg K)</t>
  </si>
  <si>
    <t>Dptot</t>
  </si>
  <si>
    <t>Dtheta</t>
  </si>
  <si>
    <t>tm_term</t>
  </si>
  <si>
    <t>Dtheta_amb</t>
  </si>
  <si>
    <t>phi_n</t>
  </si>
  <si>
    <t>Dtheta_n</t>
  </si>
  <si>
    <t>°C</t>
  </si>
  <si>
    <t>K</t>
  </si>
  <si>
    <t>differenza temperatura nominale</t>
  </si>
  <si>
    <t>kvs</t>
  </si>
  <si>
    <t>Dpvj</t>
  </si>
  <si>
    <t>-</t>
  </si>
  <si>
    <t>kv_v</t>
  </si>
  <si>
    <t>phi_el</t>
  </si>
  <si>
    <t>phi termolog</t>
  </si>
  <si>
    <t xml:space="preserve">   Carichi termici totali</t>
  </si>
  <si>
    <t xml:space="preserve">   EDIFICIO RRT</t>
  </si>
  <si>
    <t>Δθp</t>
  </si>
  <si>
    <t>Фt</t>
  </si>
  <si>
    <t>Фv</t>
  </si>
  <si>
    <t>Фrh</t>
  </si>
  <si>
    <t>Фhl</t>
  </si>
  <si>
    <t>S</t>
  </si>
  <si>
    <t>Dpvs</t>
  </si>
  <si>
    <t>Dptot_vs</t>
  </si>
  <si>
    <t>t_amb</t>
  </si>
  <si>
    <t>m^3/s</t>
  </si>
  <si>
    <t>theta_i</t>
  </si>
  <si>
    <t>Dp_max</t>
  </si>
  <si>
    <t>G'</t>
  </si>
  <si>
    <t>G_d</t>
  </si>
  <si>
    <t>Dp_des</t>
  </si>
  <si>
    <t>DG %</t>
  </si>
  <si>
    <t>A-R</t>
  </si>
  <si>
    <t>d</t>
  </si>
  <si>
    <t>G</t>
  </si>
  <si>
    <t>m^2</t>
  </si>
  <si>
    <t>Dpcoll</t>
  </si>
  <si>
    <t>Gh</t>
  </si>
  <si>
    <t>m^3/h</t>
  </si>
  <si>
    <t>di</t>
  </si>
  <si>
    <t>sumcsi</t>
  </si>
  <si>
    <t>kv valvola</t>
  </si>
  <si>
    <t>DPv</t>
  </si>
  <si>
    <t>Zona riscaldata - Locale</t>
  </si>
  <si>
    <t>coefficienti totali da caldaia a collettore</t>
  </si>
  <si>
    <t>valvola di zona</t>
  </si>
  <si>
    <t xml:space="preserve"> </t>
  </si>
  <si>
    <t xml:space="preserve">collettore </t>
  </si>
  <si>
    <t>kv intercettazione</t>
  </si>
  <si>
    <t>kv_intercettazione</t>
  </si>
  <si>
    <t>csi caldaia</t>
  </si>
  <si>
    <t>Dpvi</t>
  </si>
  <si>
    <t>DP_pompa</t>
  </si>
  <si>
    <t>G_tot</t>
  </si>
  <si>
    <t>DP_coll</t>
  </si>
  <si>
    <t>m/ca</t>
  </si>
  <si>
    <t>l/h</t>
  </si>
  <si>
    <t>Totale</t>
  </si>
  <si>
    <t>Boiler Manifold</t>
  </si>
  <si>
    <t>csi manifold</t>
  </si>
  <si>
    <t>pipe diameter</t>
  </si>
  <si>
    <t>Exercise zone - L1</t>
  </si>
  <si>
    <t>Exercise zone - K</t>
  </si>
  <si>
    <t>Exercise zone - S</t>
  </si>
  <si>
    <t>Exercise zone - B1</t>
  </si>
  <si>
    <t>Exercise zone - L3</t>
  </si>
  <si>
    <t>Exercise zone - L2</t>
  </si>
  <si>
    <t>Exercise zone - C</t>
  </si>
  <si>
    <t>Exercise zone - B2</t>
  </si>
  <si>
    <t>emission efficiency</t>
  </si>
  <si>
    <t>sharp curve</t>
  </si>
  <si>
    <t>normal curve</t>
  </si>
  <si>
    <t>lockshield</t>
  </si>
  <si>
    <t>radiator</t>
  </si>
  <si>
    <t>manifolds outlets in/out</t>
  </si>
  <si>
    <t>total</t>
  </si>
  <si>
    <t>density</t>
  </si>
  <si>
    <t>dynamic viscosity</t>
  </si>
  <si>
    <t>manifold diameter</t>
  </si>
  <si>
    <t>loss manifold in/out</t>
  </si>
  <si>
    <t>temperature difference</t>
  </si>
  <si>
    <t>3/8 squadra</t>
  </si>
  <si>
    <t>Dpmax</t>
  </si>
  <si>
    <t>control efficiency</t>
  </si>
  <si>
    <t>kv_needed</t>
  </si>
  <si>
    <t>position</t>
  </si>
  <si>
    <t>G_true</t>
  </si>
  <si>
    <t>nelements</t>
  </si>
  <si>
    <t>elements required</t>
  </si>
  <si>
    <t>width</t>
  </si>
  <si>
    <t>radiator exponent</t>
  </si>
  <si>
    <t>inlet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</si>
</sst>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00"/>
  </numFmts>
  <fonts count="10" x14ac:knownFonts="1">
    <font>
      <sz val="10"/>
      <name val="Arial"/>
      <family val="2"/>
    </font>
    <font>
      <sz val="10"/>
      <color indexed="10"/>
      <name val="Arial"/>
      <family val="2"/>
    </font>
    <font>
      <b/>
      <sz val="8"/>
      <color indexed="8"/>
      <name val="Microsoft Sans Serif"/>
    </font>
    <font>
      <sz val="8"/>
      <color indexed="8"/>
      <name val="Microsoft Sans Serif"/>
    </font>
    <font>
      <sz val="8"/>
      <color rgb="FF000000"/>
      <name val="Tahoma"/>
    </font>
    <font>
      <sz val="10"/>
      <color indexed="8"/>
      <name val="Microsoft Sans Serif"/>
      <family val="2"/>
    </font>
    <font>
      <sz val="9"/>
      <color rgb="FF000000"/>
      <name val="Segoe UI"/>
    </font>
    <font>
      <sz val="9"/>
      <color rgb="FF505050"/>
      <name val="Segoe UI"/>
    </font>
    <font>
      <b/>
      <sz val="9"/>
      <color rgb="FF505050"/>
      <name val="Segoe U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0" xfId="0" applyNumberFormat="1" applyFont="1"/>
    <xf numFmtId="2" fontId="0" fillId="0" borderId="0" xfId="0" applyNumberFormat="1"/>
    <xf numFmtId="11" fontId="0" fillId="0" borderId="0" xfId="0" applyNumberFormat="1"/>
    <xf numFmtId="20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7" fontId="0" fillId="0" borderId="0" xfId="0" applyNumberFormat="1"/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166" fontId="0" fillId="0" borderId="0" xfId="0" applyNumberFormat="1"/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11" fontId="0" fillId="3" borderId="0" xfId="0" applyNumberFormat="1" applyFill="1"/>
    <xf numFmtId="0" fontId="8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0" fillId="0" borderId="0" xfId="0" applyNumberFormat="1" applyFill="1"/>
    <xf numFmtId="2" fontId="0" fillId="0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sizing!$M$9:$M$17</c:f>
              <c:numCache>
                <c:formatCode>0.0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0D04-427F-AC5F-3C2BFBEB398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sizing!$O$9:$O$17</c:f>
              <c:numCache>
                <c:formatCode>0.00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0D04-427F-AC5F-3C2BFBEB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324223"/>
        <c:axId val="1724325183"/>
      </c:barChart>
      <c:catAx>
        <c:axId val="1724324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25183"/>
        <c:crosses val="autoZero"/>
        <c:auto val="1"/>
        <c:lblAlgn val="ctr"/>
        <c:lblOffset val="100"/>
        <c:noMultiLvlLbl val="0"/>
      </c:catAx>
      <c:valAx>
        <c:axId val="172432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2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sizing!$M$9:$M$17</c:f>
              <c:numCache>
                <c:formatCode>0.0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2913-41E5-8E51-8753C74B90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sizing!$Q$9:$Q$17</c:f>
              <c:numCache>
                <c:formatCode>0.0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2913-41E5-8E51-8753C74B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331423"/>
        <c:axId val="1724331903"/>
      </c:barChart>
      <c:catAx>
        <c:axId val="17243314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31903"/>
        <c:crosses val="autoZero"/>
        <c:auto val="1"/>
        <c:lblAlgn val="ctr"/>
        <c:lblOffset val="100"/>
        <c:noMultiLvlLbl val="0"/>
      </c:catAx>
      <c:valAx>
        <c:axId val="172433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3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sizing!$M$9:$M$17</c:f>
              <c:numCache>
                <c:formatCode>0.0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9806-4EE9-9811-DF3D0491A6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sizing!$U$9:$U$17</c:f>
              <c:numCache>
                <c:formatCode>0.0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9806-4EE9-9811-DF3D0491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691231"/>
        <c:axId val="239694111"/>
      </c:barChart>
      <c:catAx>
        <c:axId val="2396912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94111"/>
        <c:crosses val="autoZero"/>
        <c:auto val="1"/>
        <c:lblAlgn val="ctr"/>
        <c:lblOffset val="100"/>
        <c:noMultiLvlLbl val="0"/>
      </c:catAx>
      <c:valAx>
        <c:axId val="23969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9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99061</xdr:colOff>
      <xdr:row>18</xdr:row>
      <xdr:rowOff>112018</xdr:rowOff>
    </xdr:from>
    <xdr:to>
      <xdr:col>35</xdr:col>
      <xdr:colOff>45721</xdr:colOff>
      <xdr:row>42</xdr:row>
      <xdr:rowOff>84226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59EE714-9752-4864-AC56-8CB0ECD8D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0621" y="3129538"/>
          <a:ext cx="3040380" cy="39955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39757</xdr:rowOff>
    </xdr:from>
    <xdr:to>
      <xdr:col>8</xdr:col>
      <xdr:colOff>39419</xdr:colOff>
      <xdr:row>23</xdr:row>
      <xdr:rowOff>109024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27F1B21-9D5D-01F3-D589-0F0961D2B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9583" y="3352800"/>
          <a:ext cx="2663349" cy="566224"/>
        </a:xfrm>
        <a:prstGeom prst="rect">
          <a:avLst/>
        </a:prstGeom>
      </xdr:spPr>
    </xdr:pic>
    <xdr:clientData/>
  </xdr:twoCellAnchor>
  <xdr:twoCellAnchor editAs="oneCell">
    <xdr:from>
      <xdr:col>7</xdr:col>
      <xdr:colOff>364435</xdr:colOff>
      <xdr:row>21</xdr:row>
      <xdr:rowOff>159026</xdr:rowOff>
    </xdr:from>
    <xdr:to>
      <xdr:col>10</xdr:col>
      <xdr:colOff>353145</xdr:colOff>
      <xdr:row>25</xdr:row>
      <xdr:rowOff>110739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5C83B03-59BE-0430-E18C-AC68977F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8348" y="3637722"/>
          <a:ext cx="1897023" cy="614321"/>
        </a:xfrm>
        <a:prstGeom prst="rect">
          <a:avLst/>
        </a:prstGeom>
      </xdr:spPr>
    </xdr:pic>
    <xdr:clientData/>
  </xdr:twoCellAnchor>
  <xdr:twoCellAnchor>
    <xdr:from>
      <xdr:col>7</xdr:col>
      <xdr:colOff>601980</xdr:colOff>
      <xdr:row>26</xdr:row>
      <xdr:rowOff>110490</xdr:rowOff>
    </xdr:from>
    <xdr:to>
      <xdr:col>14</xdr:col>
      <xdr:colOff>548640</xdr:colOff>
      <xdr:row>43</xdr:row>
      <xdr:rowOff>3810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D00EA44-9CE9-D258-2AFC-825AB8AF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800100</xdr:colOff>
      <xdr:row>27</xdr:row>
      <xdr:rowOff>19050</xdr:rowOff>
    </xdr:from>
    <xdr:to>
      <xdr:col>21</xdr:col>
      <xdr:colOff>563880</xdr:colOff>
      <xdr:row>43</xdr:row>
      <xdr:rowOff>80010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6C34A02-F7A3-B6A9-5AFC-AF8A4ECC1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601980</xdr:colOff>
      <xdr:row>26</xdr:row>
      <xdr:rowOff>156210</xdr:rowOff>
    </xdr:from>
    <xdr:to>
      <xdr:col>28</xdr:col>
      <xdr:colOff>525780</xdr:colOff>
      <xdr:row>43</xdr:row>
      <xdr:rowOff>49530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E84C963-D9D9-D23E-9CAC-66A934EB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420140</xdr:colOff>
      <xdr:row>30</xdr:row>
      <xdr:rowOff>122366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2540" cy="51515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20</xdr:col>
      <xdr:colOff>366795</xdr:colOff>
      <xdr:row>64</xdr:row>
      <xdr:rowOff>122395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64480"/>
          <a:ext cx="11949195" cy="548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zoomScale="115" zoomScaleNormal="115" workbookViewId="0">
      <selection activeCell="K10" sqref="K10"/>
    </sheetView>
  </sheetViews>
  <sheetFormatPr defaultRowHeight="13.2" x14ac:dyDescent="0.25"/>
  <cols>
    <col min="1" max="1" width="21" customWidth="1"/>
    <col min="5" max="5" width="9.33203125" bestFit="1" customWidth="1"/>
    <col min="6" max="7" width="12.5546875" customWidth="1"/>
    <col min="8" max="8" width="11.44140625" customWidth="1"/>
  </cols>
  <sheetData>
    <row r="1" spans="1:15" x14ac:dyDescent="0.25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7"/>
      <c r="B2" s="7"/>
      <c r="C2" s="8"/>
      <c r="D2" s="7"/>
      <c r="E2" s="7"/>
      <c r="F2" s="9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34" t="s">
        <v>47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5">
      <c r="A4" s="7"/>
      <c r="B4" s="7"/>
      <c r="C4" s="8"/>
      <c r="D4" s="7"/>
      <c r="E4" s="7"/>
      <c r="F4" s="9"/>
      <c r="G4" s="8"/>
      <c r="H4" s="8"/>
      <c r="I4" s="8"/>
      <c r="J4" s="8"/>
      <c r="K4" s="8"/>
      <c r="L4" s="8"/>
      <c r="M4" s="8"/>
      <c r="N4" s="8"/>
      <c r="O4" s="8"/>
    </row>
    <row r="7" spans="1:15" x14ac:dyDescent="0.25">
      <c r="A7" s="23"/>
    </row>
    <row r="8" spans="1:15" x14ac:dyDescent="0.25">
      <c r="A8" s="24"/>
      <c r="B8" s="24"/>
      <c r="C8" s="25"/>
      <c r="D8" s="25"/>
      <c r="E8" s="25"/>
      <c r="F8" s="25"/>
      <c r="G8" s="25"/>
    </row>
    <row r="9" spans="1:15" x14ac:dyDescent="0.25">
      <c r="A9" s="24" t="s">
        <v>75</v>
      </c>
      <c r="B9" t="s">
        <v>13</v>
      </c>
      <c r="C9" t="s">
        <v>58</v>
      </c>
      <c r="D9" s="25" t="s">
        <v>48</v>
      </c>
      <c r="E9" s="25" t="s">
        <v>49</v>
      </c>
      <c r="F9" s="25" t="s">
        <v>50</v>
      </c>
      <c r="G9" s="25" t="s">
        <v>51</v>
      </c>
      <c r="H9" s="25" t="s">
        <v>52</v>
      </c>
    </row>
    <row r="10" spans="1:15" x14ac:dyDescent="0.25">
      <c r="A10" s="19" t="s">
        <v>93</v>
      </c>
      <c r="B10" s="19">
        <v>14.2</v>
      </c>
      <c r="C10" s="20">
        <v>20</v>
      </c>
      <c r="D10" s="20">
        <v>25</v>
      </c>
      <c r="E10" s="21">
        <v>699.50199999999995</v>
      </c>
      <c r="F10" s="21">
        <v>209.79599999999999</v>
      </c>
      <c r="G10" s="22">
        <v>201.08</v>
      </c>
      <c r="H10" s="11">
        <f>SUM(E10:G10)</f>
        <v>1110.3779999999999</v>
      </c>
      <c r="J10" s="19"/>
      <c r="L10" s="19"/>
    </row>
    <row r="11" spans="1:15" x14ac:dyDescent="0.25">
      <c r="A11" s="19" t="s">
        <v>94</v>
      </c>
      <c r="B11" s="19">
        <v>16.2</v>
      </c>
      <c r="C11" s="20">
        <v>20</v>
      </c>
      <c r="D11" s="20">
        <v>25</v>
      </c>
      <c r="E11" s="21">
        <v>652.755</v>
      </c>
      <c r="F11" s="21">
        <v>565.12099999999998</v>
      </c>
      <c r="G11" s="22">
        <v>180.62</v>
      </c>
      <c r="H11" s="11">
        <f t="shared" ref="H11:H18" si="0">SUM(E11:G11)</f>
        <v>1398.4960000000001</v>
      </c>
      <c r="J11" s="19"/>
      <c r="L11" s="19"/>
    </row>
    <row r="12" spans="1:15" x14ac:dyDescent="0.25">
      <c r="A12" s="19" t="s">
        <v>95</v>
      </c>
      <c r="B12" s="19">
        <v>14.6</v>
      </c>
      <c r="C12" s="20">
        <v>20</v>
      </c>
      <c r="D12" s="20">
        <v>25</v>
      </c>
      <c r="E12" s="21">
        <v>622.41800000000001</v>
      </c>
      <c r="F12" s="21">
        <v>275.28300000000002</v>
      </c>
      <c r="G12" s="21">
        <v>263.89</v>
      </c>
      <c r="H12" s="11">
        <f t="shared" si="0"/>
        <v>1161.5909999999999</v>
      </c>
      <c r="J12" s="19"/>
      <c r="L12" s="19"/>
    </row>
    <row r="13" spans="1:15" x14ac:dyDescent="0.25">
      <c r="A13" s="19" t="s">
        <v>95</v>
      </c>
      <c r="B13" s="19">
        <v>14.6</v>
      </c>
      <c r="C13" s="20">
        <v>20</v>
      </c>
      <c r="D13" s="20">
        <v>25</v>
      </c>
      <c r="E13" s="21">
        <v>622.41800000000001</v>
      </c>
      <c r="F13" s="21">
        <v>275.28300000000002</v>
      </c>
      <c r="G13" s="22">
        <v>263.89</v>
      </c>
      <c r="H13" s="11">
        <f t="shared" si="0"/>
        <v>1161.5909999999999</v>
      </c>
      <c r="J13" s="19"/>
      <c r="L13" s="19"/>
    </row>
    <row r="14" spans="1:15" x14ac:dyDescent="0.25">
      <c r="A14" s="19" t="s">
        <v>96</v>
      </c>
      <c r="B14" s="19">
        <v>13.4</v>
      </c>
      <c r="C14" s="20">
        <v>24</v>
      </c>
      <c r="D14" s="20">
        <v>29</v>
      </c>
      <c r="E14" s="22">
        <v>291.14999999999998</v>
      </c>
      <c r="F14" s="21">
        <v>376.84399999999999</v>
      </c>
      <c r="G14" s="22">
        <v>77.88</v>
      </c>
      <c r="H14" s="11">
        <f t="shared" si="0"/>
        <v>745.87399999999991</v>
      </c>
      <c r="J14" s="19"/>
      <c r="L14" s="19"/>
    </row>
    <row r="15" spans="1:15" x14ac:dyDescent="0.25">
      <c r="A15" s="19" t="s">
        <v>97</v>
      </c>
      <c r="B15" s="19">
        <v>17.3</v>
      </c>
      <c r="C15" s="20">
        <v>20</v>
      </c>
      <c r="D15" s="20">
        <v>25</v>
      </c>
      <c r="E15" s="21">
        <v>636.928</v>
      </c>
      <c r="F15" s="21">
        <v>195.17599999999999</v>
      </c>
      <c r="G15" s="22">
        <v>187.11</v>
      </c>
      <c r="H15" s="11">
        <f t="shared" si="0"/>
        <v>1019.2140000000001</v>
      </c>
      <c r="J15" s="19"/>
      <c r="L15" s="19"/>
    </row>
    <row r="16" spans="1:15" x14ac:dyDescent="0.25">
      <c r="A16" s="19" t="s">
        <v>98</v>
      </c>
      <c r="B16" s="19">
        <v>17.2</v>
      </c>
      <c r="C16" s="20">
        <v>20</v>
      </c>
      <c r="D16" s="20">
        <v>25</v>
      </c>
      <c r="E16" s="21">
        <v>480.05599999999998</v>
      </c>
      <c r="F16" s="21">
        <v>174.08600000000001</v>
      </c>
      <c r="G16" s="22">
        <v>166.87</v>
      </c>
      <c r="H16" s="11">
        <f t="shared" si="0"/>
        <v>821.01200000000006</v>
      </c>
      <c r="J16" s="19"/>
      <c r="L16" s="19"/>
    </row>
    <row r="17" spans="1:13" x14ac:dyDescent="0.25">
      <c r="A17" s="19" t="s">
        <v>99</v>
      </c>
      <c r="B17" s="19">
        <v>2</v>
      </c>
      <c r="C17" s="20">
        <v>20</v>
      </c>
      <c r="D17" s="20">
        <v>25</v>
      </c>
      <c r="E17" s="21">
        <v>441.24400000000003</v>
      </c>
      <c r="F17" s="21">
        <v>168.416</v>
      </c>
      <c r="G17" s="22">
        <v>161.47999999999999</v>
      </c>
      <c r="H17" s="11">
        <f t="shared" si="0"/>
        <v>771.1400000000001</v>
      </c>
      <c r="J17" s="19"/>
      <c r="L17" s="19"/>
    </row>
    <row r="18" spans="1:13" x14ac:dyDescent="0.25">
      <c r="A18" s="19" t="s">
        <v>100</v>
      </c>
      <c r="B18" s="19">
        <v>13.4</v>
      </c>
      <c r="C18" s="20">
        <v>24</v>
      </c>
      <c r="D18" s="20">
        <v>29</v>
      </c>
      <c r="E18" s="21">
        <v>232.059</v>
      </c>
      <c r="F18" s="21">
        <v>250.566</v>
      </c>
      <c r="G18" s="22">
        <v>51.81</v>
      </c>
      <c r="H18" s="11">
        <f t="shared" si="0"/>
        <v>534.43499999999995</v>
      </c>
      <c r="I18" s="30"/>
      <c r="J18" s="31"/>
      <c r="K18" s="30"/>
      <c r="L18" s="31"/>
      <c r="M18" s="30"/>
    </row>
    <row r="19" spans="1:13" x14ac:dyDescent="0.25">
      <c r="A19" s="29" t="s">
        <v>89</v>
      </c>
      <c r="D19" s="29"/>
      <c r="E19" s="32">
        <f>SUM(E10:E18)</f>
        <v>4678.5300000000007</v>
      </c>
      <c r="F19" s="32">
        <f>SUM(F10:F18)</f>
        <v>2490.5709999999999</v>
      </c>
      <c r="G19" s="32">
        <f>SUM(G10:G18)</f>
        <v>1554.63</v>
      </c>
      <c r="H19" s="32">
        <f>SUM(H10:H18)</f>
        <v>8723.7309999999998</v>
      </c>
    </row>
    <row r="21" spans="1:13" x14ac:dyDescent="0.25">
      <c r="E21" s="11"/>
      <c r="F21" s="11"/>
      <c r="G21" s="11"/>
      <c r="H21" s="11"/>
    </row>
  </sheetData>
  <mergeCells count="2">
    <mergeCell ref="A1:O1"/>
    <mergeCell ref="A3:O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zoomScale="160" zoomScaleNormal="160" workbookViewId="0">
      <selection activeCell="D5" sqref="D5"/>
    </sheetView>
  </sheetViews>
  <sheetFormatPr defaultColWidth="11.5546875" defaultRowHeight="13.2" x14ac:dyDescent="0.25"/>
  <cols>
    <col min="1" max="1" width="22.44140625" customWidth="1"/>
  </cols>
  <sheetData>
    <row r="1" spans="1:7" x14ac:dyDescent="0.25">
      <c r="A1" s="1">
        <v>0.96</v>
      </c>
      <c r="B1" t="s">
        <v>101</v>
      </c>
    </row>
    <row r="2" spans="1:7" x14ac:dyDescent="0.25">
      <c r="A2" s="1">
        <v>0.93</v>
      </c>
      <c r="B2" t="s">
        <v>115</v>
      </c>
    </row>
    <row r="4" spans="1:7" x14ac:dyDescent="0.25">
      <c r="B4" t="s">
        <v>45</v>
      </c>
      <c r="C4" t="s">
        <v>1</v>
      </c>
      <c r="D4" t="s">
        <v>13</v>
      </c>
      <c r="E4" t="s">
        <v>58</v>
      </c>
    </row>
    <row r="5" spans="1:7" x14ac:dyDescent="0.25">
      <c r="A5" s="19" t="str">
        <f>' Termolog'!A10</f>
        <v>Exercise zone - L1</v>
      </c>
      <c r="B5" s="21">
        <f>' Termolog'!H10</f>
        <v>1110.3779999999999</v>
      </c>
      <c r="C5" s="2">
        <f t="shared" ref="C5:C13" si="0">B5/eta_e/eta_r</f>
        <v>1243.7029569892472</v>
      </c>
      <c r="D5">
        <f>' Termolog'!B10</f>
        <v>14.2</v>
      </c>
      <c r="E5">
        <f>' Termolog'!C10</f>
        <v>20</v>
      </c>
      <c r="G5" s="2"/>
    </row>
    <row r="6" spans="1:7" x14ac:dyDescent="0.25">
      <c r="A6" s="19" t="str">
        <f>' Termolog'!A11</f>
        <v>Exercise zone - K</v>
      </c>
      <c r="B6" s="21">
        <f>' Termolog'!H11</f>
        <v>1398.4960000000001</v>
      </c>
      <c r="C6" s="2">
        <f t="shared" si="0"/>
        <v>1566.4157706093192</v>
      </c>
      <c r="D6">
        <f>' Termolog'!B11</f>
        <v>16.2</v>
      </c>
      <c r="E6">
        <f>' Termolog'!C11</f>
        <v>20</v>
      </c>
      <c r="G6" s="2"/>
    </row>
    <row r="7" spans="1:7" x14ac:dyDescent="0.25">
      <c r="A7" s="19" t="str">
        <f>' Termolog'!A12</f>
        <v>Exercise zone - S</v>
      </c>
      <c r="B7" s="21">
        <f>' Termolog'!H12</f>
        <v>1161.5909999999999</v>
      </c>
      <c r="C7" s="2">
        <f t="shared" si="0"/>
        <v>1301.0651881720428</v>
      </c>
      <c r="D7">
        <f>' Termolog'!B12</f>
        <v>14.6</v>
      </c>
      <c r="E7">
        <f>' Termolog'!C12</f>
        <v>20</v>
      </c>
      <c r="G7" s="2"/>
    </row>
    <row r="8" spans="1:7" x14ac:dyDescent="0.25">
      <c r="A8" s="19" t="str">
        <f>' Termolog'!A13</f>
        <v>Exercise zone - S</v>
      </c>
      <c r="B8" s="21">
        <f>' Termolog'!H13</f>
        <v>1161.5909999999999</v>
      </c>
      <c r="C8" s="2">
        <f t="shared" si="0"/>
        <v>1301.0651881720428</v>
      </c>
      <c r="D8">
        <f>' Termolog'!B13</f>
        <v>14.6</v>
      </c>
      <c r="E8">
        <f>' Termolog'!C13</f>
        <v>20</v>
      </c>
      <c r="G8" s="2"/>
    </row>
    <row r="9" spans="1:7" x14ac:dyDescent="0.25">
      <c r="A9" s="19" t="str">
        <f>' Termolog'!A14</f>
        <v>Exercise zone - B1</v>
      </c>
      <c r="B9" s="21">
        <f>' Termolog'!H14</f>
        <v>745.87399999999991</v>
      </c>
      <c r="C9" s="2">
        <f t="shared" si="0"/>
        <v>835.43234767025069</v>
      </c>
      <c r="D9">
        <f>' Termolog'!B14</f>
        <v>13.4</v>
      </c>
      <c r="E9">
        <f>' Termolog'!C14</f>
        <v>24</v>
      </c>
      <c r="G9" s="2"/>
    </row>
    <row r="10" spans="1:7" x14ac:dyDescent="0.25">
      <c r="A10" s="19" t="str">
        <f>' Termolog'!A15</f>
        <v>Exercise zone - L3</v>
      </c>
      <c r="B10" s="21">
        <f>' Termolog'!H15</f>
        <v>1019.2140000000001</v>
      </c>
      <c r="C10" s="2">
        <f t="shared" si="0"/>
        <v>1141.5927419354839</v>
      </c>
      <c r="D10">
        <f>' Termolog'!B15</f>
        <v>17.3</v>
      </c>
      <c r="E10">
        <f>' Termolog'!C15</f>
        <v>20</v>
      </c>
      <c r="G10" s="2"/>
    </row>
    <row r="11" spans="1:7" x14ac:dyDescent="0.25">
      <c r="A11" s="19" t="str">
        <f>' Termolog'!A16</f>
        <v>Exercise zone - L2</v>
      </c>
      <c r="B11" s="21">
        <f>' Termolog'!H16</f>
        <v>821.01200000000006</v>
      </c>
      <c r="C11" s="2">
        <f t="shared" si="0"/>
        <v>919.59229390681003</v>
      </c>
      <c r="D11">
        <f>' Termolog'!B16</f>
        <v>17.2</v>
      </c>
      <c r="E11">
        <f>' Termolog'!C16</f>
        <v>20</v>
      </c>
      <c r="G11" s="2"/>
    </row>
    <row r="12" spans="1:7" x14ac:dyDescent="0.25">
      <c r="A12" s="19" t="str">
        <f>' Termolog'!A17</f>
        <v>Exercise zone - C</v>
      </c>
      <c r="B12" s="21">
        <f>' Termolog'!H17</f>
        <v>771.1400000000001</v>
      </c>
      <c r="C12" s="2">
        <f t="shared" si="0"/>
        <v>863.73207885304669</v>
      </c>
      <c r="D12">
        <f>' Termolog'!B17</f>
        <v>2</v>
      </c>
      <c r="E12">
        <f>' Termolog'!C17</f>
        <v>20</v>
      </c>
      <c r="G12" s="2"/>
    </row>
    <row r="13" spans="1:7" x14ac:dyDescent="0.25">
      <c r="A13" s="19" t="str">
        <f>' Termolog'!A18</f>
        <v>Exercise zone - B2</v>
      </c>
      <c r="B13" s="21">
        <f>' Termolog'!H18</f>
        <v>534.43499999999995</v>
      </c>
      <c r="C13" s="2">
        <f t="shared" si="0"/>
        <v>598.60551075268813</v>
      </c>
      <c r="D13">
        <f>' Termolog'!B18</f>
        <v>13.4</v>
      </c>
      <c r="E13">
        <f>' Termolog'!C18</f>
        <v>24</v>
      </c>
    </row>
    <row r="14" spans="1:7" x14ac:dyDescent="0.25">
      <c r="C14" s="2"/>
      <c r="D14" s="2"/>
      <c r="E14" s="18"/>
    </row>
    <row r="15" spans="1:7" x14ac:dyDescent="0.25">
      <c r="D15" s="6"/>
      <c r="E15" s="17"/>
    </row>
    <row r="16" spans="1:7" x14ac:dyDescent="0.25">
      <c r="D16" s="2"/>
      <c r="E16" s="17"/>
    </row>
    <row r="17" spans="5:5" x14ac:dyDescent="0.25">
      <c r="E17" s="18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zoomScale="175" zoomScaleNormal="175" workbookViewId="0">
      <selection activeCell="A6" sqref="A6"/>
    </sheetView>
  </sheetViews>
  <sheetFormatPr defaultRowHeight="13.2" x14ac:dyDescent="0.25"/>
  <cols>
    <col min="1" max="1" width="18.88671875" customWidth="1"/>
  </cols>
  <sheetData>
    <row r="1" spans="1:4" x14ac:dyDescent="0.25">
      <c r="B1" t="s">
        <v>11</v>
      </c>
      <c r="C1" t="s">
        <v>10</v>
      </c>
      <c r="D1" t="s">
        <v>28</v>
      </c>
    </row>
    <row r="2" spans="1:4" x14ac:dyDescent="0.25">
      <c r="A2" t="s">
        <v>102</v>
      </c>
      <c r="B2">
        <v>2</v>
      </c>
      <c r="C2">
        <v>6</v>
      </c>
      <c r="D2">
        <f>B2*C2</f>
        <v>12</v>
      </c>
    </row>
    <row r="3" spans="1:4" x14ac:dyDescent="0.25">
      <c r="A3" t="s">
        <v>103</v>
      </c>
      <c r="B3">
        <v>1.5</v>
      </c>
      <c r="C3">
        <v>2</v>
      </c>
      <c r="D3">
        <f t="shared" ref="D3:D6" si="0">B3*C3</f>
        <v>3</v>
      </c>
    </row>
    <row r="4" spans="1:4" x14ac:dyDescent="0.25">
      <c r="A4" t="s">
        <v>104</v>
      </c>
      <c r="B4">
        <v>1</v>
      </c>
      <c r="C4">
        <v>1</v>
      </c>
      <c r="D4">
        <f t="shared" si="0"/>
        <v>1</v>
      </c>
    </row>
    <row r="5" spans="1:4" x14ac:dyDescent="0.25">
      <c r="A5" t="s">
        <v>105</v>
      </c>
      <c r="B5">
        <v>3</v>
      </c>
      <c r="C5">
        <v>1</v>
      </c>
      <c r="D5">
        <f t="shared" si="0"/>
        <v>3</v>
      </c>
    </row>
    <row r="6" spans="1:4" x14ac:dyDescent="0.25">
      <c r="A6" t="s">
        <v>106</v>
      </c>
      <c r="B6">
        <v>6.5</v>
      </c>
      <c r="C6">
        <v>1</v>
      </c>
      <c r="D6">
        <f t="shared" si="0"/>
        <v>6.5</v>
      </c>
    </row>
    <row r="7" spans="1:4" x14ac:dyDescent="0.25">
      <c r="A7" t="s">
        <v>107</v>
      </c>
      <c r="D7">
        <f>SUM(D2:D6)</f>
        <v>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tabSelected="1" zoomScaleNormal="100" workbookViewId="0">
      <pane xSplit="1" topLeftCell="R1" activePane="topRight" state="frozen"/>
      <selection pane="topRight" activeCell="AB22" sqref="AB22"/>
    </sheetView>
  </sheetViews>
  <sheetFormatPr defaultRowHeight="13.2" x14ac:dyDescent="0.25"/>
  <cols>
    <col min="1" max="1" width="12.44140625" customWidth="1"/>
    <col min="3" max="4" width="9.6640625" customWidth="1"/>
    <col min="5" max="5" width="9.5546875" customWidth="1"/>
    <col min="7" max="7" width="10.88671875" customWidth="1"/>
    <col min="10" max="10" width="10" customWidth="1"/>
    <col min="12" max="12" width="13" customWidth="1"/>
    <col min="15" max="15" width="12.44140625" customWidth="1"/>
    <col min="16" max="16" width="9.33203125" customWidth="1"/>
    <col min="18" max="18" width="10.88671875" customWidth="1"/>
    <col min="19" max="19" width="9.5546875" bestFit="1" customWidth="1"/>
    <col min="20" max="20" width="9" customWidth="1"/>
    <col min="21" max="21" width="10" bestFit="1" customWidth="1"/>
    <col min="22" max="22" width="11.5546875" bestFit="1" customWidth="1"/>
    <col min="23" max="23" width="9.5546875" bestFit="1" customWidth="1"/>
    <col min="25" max="25" width="11.109375" customWidth="1"/>
    <col min="33" max="33" width="9.5546875" bestFit="1" customWidth="1"/>
  </cols>
  <sheetData>
    <row r="1" spans="1:34" x14ac:dyDescent="0.25">
      <c r="A1" t="s">
        <v>2</v>
      </c>
      <c r="B1">
        <v>978</v>
      </c>
      <c r="C1" t="s">
        <v>3</v>
      </c>
      <c r="D1" t="s">
        <v>108</v>
      </c>
      <c r="F1" t="s">
        <v>6</v>
      </c>
      <c r="G1">
        <v>2.5999999999999999E-2</v>
      </c>
      <c r="H1" t="s">
        <v>7</v>
      </c>
      <c r="I1" t="s">
        <v>110</v>
      </c>
    </row>
    <row r="2" spans="1:34" x14ac:dyDescent="0.25">
      <c r="A2" t="s">
        <v>4</v>
      </c>
      <c r="B2" s="3">
        <v>4.0099999999999999E-4</v>
      </c>
      <c r="C2" t="s">
        <v>5</v>
      </c>
      <c r="D2" t="s">
        <v>109</v>
      </c>
      <c r="F2" t="s">
        <v>8</v>
      </c>
      <c r="G2">
        <v>3</v>
      </c>
      <c r="I2" t="s">
        <v>111</v>
      </c>
      <c r="M2" s="11"/>
      <c r="O2" t="s">
        <v>122</v>
      </c>
      <c r="Q2">
        <v>1.3605</v>
      </c>
    </row>
    <row r="3" spans="1:34" x14ac:dyDescent="0.25">
      <c r="A3" t="s">
        <v>29</v>
      </c>
      <c r="B3">
        <v>4190</v>
      </c>
      <c r="C3" t="s">
        <v>30</v>
      </c>
      <c r="M3" s="2"/>
      <c r="O3" t="s">
        <v>39</v>
      </c>
    </row>
    <row r="4" spans="1:34" x14ac:dyDescent="0.25">
      <c r="F4" s="26" t="s">
        <v>12</v>
      </c>
      <c r="G4" s="26">
        <v>10</v>
      </c>
      <c r="H4" s="26" t="s">
        <v>38</v>
      </c>
      <c r="I4" s="26" t="s">
        <v>112</v>
      </c>
    </row>
    <row r="5" spans="1:34" x14ac:dyDescent="0.25">
      <c r="A5" t="s">
        <v>26</v>
      </c>
      <c r="E5" t="s">
        <v>27</v>
      </c>
      <c r="O5" t="s">
        <v>123</v>
      </c>
      <c r="Q5">
        <v>55</v>
      </c>
      <c r="R5" t="s">
        <v>37</v>
      </c>
    </row>
    <row r="6" spans="1:34" x14ac:dyDescent="0.25">
      <c r="V6" t="s">
        <v>62</v>
      </c>
      <c r="W6" t="s">
        <v>60</v>
      </c>
    </row>
    <row r="7" spans="1:34" x14ac:dyDescent="0.25">
      <c r="B7" s="4" t="s">
        <v>13</v>
      </c>
      <c r="C7" s="4" t="s">
        <v>0</v>
      </c>
      <c r="D7" t="s">
        <v>56</v>
      </c>
      <c r="E7" t="s">
        <v>61</v>
      </c>
      <c r="F7" t="s">
        <v>92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  <c r="N7" t="s">
        <v>40</v>
      </c>
      <c r="O7" t="s">
        <v>54</v>
      </c>
      <c r="P7" t="s">
        <v>55</v>
      </c>
      <c r="Q7" t="s">
        <v>41</v>
      </c>
      <c r="R7" t="s">
        <v>116</v>
      </c>
      <c r="S7" t="s">
        <v>117</v>
      </c>
      <c r="T7" t="s">
        <v>43</v>
      </c>
      <c r="U7" t="s">
        <v>21</v>
      </c>
      <c r="V7" t="s">
        <v>31</v>
      </c>
      <c r="W7" t="s">
        <v>118</v>
      </c>
      <c r="X7" t="s">
        <v>63</v>
      </c>
      <c r="Y7" t="s">
        <v>32</v>
      </c>
      <c r="Z7" t="s">
        <v>33</v>
      </c>
      <c r="AA7" t="s">
        <v>34</v>
      </c>
      <c r="AB7" t="s">
        <v>10</v>
      </c>
      <c r="AC7" t="s">
        <v>36</v>
      </c>
      <c r="AD7" t="s">
        <v>35</v>
      </c>
      <c r="AE7" t="s">
        <v>44</v>
      </c>
      <c r="AF7" t="s">
        <v>119</v>
      </c>
      <c r="AG7" t="s">
        <v>120</v>
      </c>
      <c r="AH7" t="s">
        <v>121</v>
      </c>
    </row>
    <row r="8" spans="1:34" x14ac:dyDescent="0.25">
      <c r="B8" s="4" t="s">
        <v>7</v>
      </c>
      <c r="C8" s="4" t="s">
        <v>22</v>
      </c>
      <c r="D8" t="s">
        <v>37</v>
      </c>
      <c r="E8" t="s">
        <v>23</v>
      </c>
      <c r="F8" t="s">
        <v>7</v>
      </c>
      <c r="G8" t="s">
        <v>24</v>
      </c>
      <c r="J8" t="s">
        <v>25</v>
      </c>
      <c r="K8" t="s">
        <v>9</v>
      </c>
      <c r="L8" t="s">
        <v>9</v>
      </c>
      <c r="M8" t="s">
        <v>9</v>
      </c>
      <c r="O8" t="s">
        <v>9</v>
      </c>
      <c r="Q8" t="s">
        <v>9</v>
      </c>
      <c r="R8" t="s">
        <v>42</v>
      </c>
      <c r="U8" t="s">
        <v>9</v>
      </c>
      <c r="W8" t="s">
        <v>57</v>
      </c>
      <c r="Y8" t="s">
        <v>38</v>
      </c>
      <c r="Z8" t="s">
        <v>37</v>
      </c>
      <c r="AA8" t="s">
        <v>38</v>
      </c>
      <c r="AC8" t="s">
        <v>38</v>
      </c>
      <c r="AD8" t="s">
        <v>22</v>
      </c>
      <c r="AH8" t="s">
        <v>7</v>
      </c>
    </row>
    <row r="9" spans="1:34" x14ac:dyDescent="0.25">
      <c r="A9" s="14" t="str">
        <f>'terminal power'!A5</f>
        <v>Exercise zone - L1</v>
      </c>
      <c r="B9">
        <f>'terminal power'!D5</f>
        <v>14.2</v>
      </c>
      <c r="C9" s="15">
        <f>'terminal power'!C5</f>
        <v>1243.7029569892472</v>
      </c>
      <c r="D9">
        <f>'terminal power'!E5</f>
        <v>20</v>
      </c>
      <c r="F9" s="3"/>
      <c r="G9" s="5"/>
      <c r="H9" s="6"/>
      <c r="I9" s="16"/>
      <c r="J9" s="6"/>
      <c r="K9" s="3"/>
      <c r="L9" s="6"/>
      <c r="M9" s="6"/>
      <c r="O9" s="2"/>
      <c r="P9" s="6"/>
      <c r="Q9" s="6"/>
      <c r="R9" s="5"/>
      <c r="S9" s="27">
        <v>1</v>
      </c>
      <c r="T9" s="2">
        <f>_xlfn.XLOOKUP(S9,$S$21:$S$25,$T$21:$T$25)</f>
        <v>0.08</v>
      </c>
      <c r="U9" s="6"/>
      <c r="V9" s="2"/>
      <c r="W9" s="3"/>
      <c r="X9" s="3"/>
      <c r="Y9" s="2"/>
      <c r="Z9" s="2"/>
      <c r="AA9" s="2"/>
      <c r="AB9" s="5"/>
      <c r="AC9" s="6"/>
      <c r="AE9" s="6"/>
      <c r="AF9" s="2"/>
      <c r="AG9" s="27"/>
    </row>
    <row r="10" spans="1:34" x14ac:dyDescent="0.25">
      <c r="A10" s="14" t="str">
        <f>'terminal power'!A6</f>
        <v>Exercise zone - K</v>
      </c>
      <c r="B10">
        <f>'terminal power'!D6</f>
        <v>16.2</v>
      </c>
      <c r="C10" s="15">
        <f>'terminal power'!C6</f>
        <v>1566.4157706093192</v>
      </c>
      <c r="D10">
        <f>'terminal power'!E6</f>
        <v>20</v>
      </c>
      <c r="F10" s="3"/>
      <c r="G10" s="5"/>
      <c r="H10" s="6"/>
      <c r="I10" s="16"/>
      <c r="J10" s="6"/>
      <c r="K10" s="3"/>
      <c r="L10" s="6"/>
      <c r="M10" s="6"/>
      <c r="O10" s="2"/>
      <c r="P10" s="6"/>
      <c r="Q10" s="6"/>
      <c r="R10" s="5"/>
      <c r="S10" s="27">
        <v>1</v>
      </c>
      <c r="T10" s="2">
        <f t="shared" ref="T10:T17" si="0">_xlfn.XLOOKUP(S10,$S$21:$S$25,$T$21:$T$25)</f>
        <v>0.08</v>
      </c>
      <c r="U10" s="6"/>
      <c r="V10" s="2"/>
      <c r="W10" s="3"/>
      <c r="X10" s="3"/>
      <c r="Y10" s="2"/>
      <c r="Z10" s="2"/>
      <c r="AA10" s="2"/>
      <c r="AB10" s="5"/>
      <c r="AC10" s="6"/>
      <c r="AE10" s="6"/>
      <c r="AF10" s="2"/>
      <c r="AG10" s="27"/>
    </row>
    <row r="11" spans="1:34" x14ac:dyDescent="0.25">
      <c r="A11" s="14" t="str">
        <f>'terminal power'!A7</f>
        <v>Exercise zone - S</v>
      </c>
      <c r="B11">
        <f>'terminal power'!D7</f>
        <v>14.6</v>
      </c>
      <c r="C11" s="15">
        <f>'terminal power'!C7</f>
        <v>1301.0651881720428</v>
      </c>
      <c r="D11">
        <f>'terminal power'!E7</f>
        <v>20</v>
      </c>
      <c r="F11" s="3"/>
      <c r="G11" s="5"/>
      <c r="H11" s="6"/>
      <c r="I11" s="16"/>
      <c r="J11" s="6"/>
      <c r="K11" s="3"/>
      <c r="L11" s="6"/>
      <c r="M11" s="6"/>
      <c r="O11" s="2"/>
      <c r="P11" s="35"/>
      <c r="Q11" s="6"/>
      <c r="R11" s="5"/>
      <c r="S11" s="27">
        <v>1</v>
      </c>
      <c r="T11" s="2">
        <f t="shared" si="0"/>
        <v>0.08</v>
      </c>
      <c r="U11" s="6"/>
      <c r="V11" s="36"/>
      <c r="W11" s="3"/>
      <c r="X11" s="3"/>
      <c r="Y11" s="2"/>
      <c r="Z11" s="2"/>
      <c r="AA11" s="2"/>
      <c r="AB11" s="5"/>
      <c r="AC11" s="6"/>
      <c r="AE11" s="6"/>
      <c r="AF11" s="2"/>
      <c r="AG11" s="27"/>
    </row>
    <row r="12" spans="1:34" x14ac:dyDescent="0.25">
      <c r="A12" s="14" t="str">
        <f>'terminal power'!A8</f>
        <v>Exercise zone - S</v>
      </c>
      <c r="B12">
        <f>'terminal power'!D8</f>
        <v>14.6</v>
      </c>
      <c r="C12" s="15">
        <f>'terminal power'!C8</f>
        <v>1301.0651881720428</v>
      </c>
      <c r="D12">
        <f>'terminal power'!E8</f>
        <v>20</v>
      </c>
      <c r="F12" s="3"/>
      <c r="G12" s="5"/>
      <c r="H12" s="6"/>
      <c r="I12" s="16"/>
      <c r="J12" s="6"/>
      <c r="K12" s="3"/>
      <c r="L12" s="6"/>
      <c r="M12" s="6"/>
      <c r="O12" s="2"/>
      <c r="P12" s="6"/>
      <c r="Q12" s="6"/>
      <c r="R12" s="5"/>
      <c r="S12" s="27">
        <v>1</v>
      </c>
      <c r="T12" s="2">
        <f t="shared" si="0"/>
        <v>0.08</v>
      </c>
      <c r="U12" s="6"/>
      <c r="V12" s="2"/>
      <c r="W12" s="3"/>
      <c r="X12" s="3"/>
      <c r="Y12" s="2"/>
      <c r="Z12" s="2"/>
      <c r="AA12" s="2"/>
      <c r="AB12" s="5"/>
      <c r="AC12" s="6"/>
      <c r="AE12" s="6"/>
      <c r="AF12" s="2"/>
      <c r="AG12" s="27"/>
    </row>
    <row r="13" spans="1:34" x14ac:dyDescent="0.25">
      <c r="A13" s="14" t="str">
        <f>'terminal power'!A9</f>
        <v>Exercise zone - B1</v>
      </c>
      <c r="B13">
        <f>'terminal power'!D9</f>
        <v>13.4</v>
      </c>
      <c r="C13" s="15">
        <f>'terminal power'!C9</f>
        <v>835.43234767025069</v>
      </c>
      <c r="D13">
        <f>'terminal power'!E9</f>
        <v>24</v>
      </c>
      <c r="F13" s="3"/>
      <c r="G13" s="5"/>
      <c r="H13" s="6"/>
      <c r="I13" s="16"/>
      <c r="J13" s="6"/>
      <c r="K13" s="3"/>
      <c r="L13" s="6"/>
      <c r="M13" s="6"/>
      <c r="O13" s="2"/>
      <c r="P13" s="6"/>
      <c r="Q13" s="6"/>
      <c r="R13" s="5"/>
      <c r="S13" s="27">
        <v>1</v>
      </c>
      <c r="T13" s="2">
        <f t="shared" si="0"/>
        <v>0.08</v>
      </c>
      <c r="U13" s="6"/>
      <c r="V13" s="2"/>
      <c r="W13" s="3"/>
      <c r="X13" s="3"/>
      <c r="Y13" s="2"/>
      <c r="Z13" s="2"/>
      <c r="AA13" s="2"/>
      <c r="AB13" s="5"/>
      <c r="AC13" s="6"/>
      <c r="AE13" s="6"/>
      <c r="AF13" s="2"/>
      <c r="AG13" s="27"/>
    </row>
    <row r="14" spans="1:34" x14ac:dyDescent="0.25">
      <c r="A14" s="14" t="str">
        <f>'terminal power'!A10</f>
        <v>Exercise zone - L3</v>
      </c>
      <c r="B14">
        <f>'terminal power'!D10</f>
        <v>17.3</v>
      </c>
      <c r="C14" s="15">
        <f>'terminal power'!C10</f>
        <v>1141.5927419354839</v>
      </c>
      <c r="D14">
        <f>'terminal power'!E10</f>
        <v>20</v>
      </c>
      <c r="F14" s="3"/>
      <c r="G14" s="5"/>
      <c r="H14" s="6"/>
      <c r="I14" s="16"/>
      <c r="J14" s="6"/>
      <c r="K14" s="3"/>
      <c r="L14" s="6"/>
      <c r="M14" s="6"/>
      <c r="O14" s="2"/>
      <c r="P14" s="6"/>
      <c r="Q14" s="6"/>
      <c r="R14" s="5"/>
      <c r="S14" s="27">
        <v>1</v>
      </c>
      <c r="T14" s="2">
        <f t="shared" si="0"/>
        <v>0.08</v>
      </c>
      <c r="U14" s="6"/>
      <c r="V14" s="2"/>
      <c r="W14" s="3"/>
      <c r="X14" s="3"/>
      <c r="Y14" s="2"/>
      <c r="Z14" s="2"/>
      <c r="AA14" s="2"/>
      <c r="AB14" s="5"/>
      <c r="AC14" s="6"/>
      <c r="AE14" s="6"/>
      <c r="AF14" s="2"/>
      <c r="AG14" s="27"/>
    </row>
    <row r="15" spans="1:34" x14ac:dyDescent="0.25">
      <c r="A15" s="14" t="str">
        <f>'terminal power'!A11</f>
        <v>Exercise zone - L2</v>
      </c>
      <c r="B15">
        <f>'terminal power'!D11</f>
        <v>17.2</v>
      </c>
      <c r="C15" s="15">
        <f>'terminal power'!C11</f>
        <v>919.59229390681003</v>
      </c>
      <c r="D15">
        <f>'terminal power'!E11</f>
        <v>20</v>
      </c>
      <c r="F15" s="3"/>
      <c r="G15" s="5"/>
      <c r="H15" s="6"/>
      <c r="I15" s="16"/>
      <c r="J15" s="6"/>
      <c r="K15" s="3"/>
      <c r="L15" s="6"/>
      <c r="M15" s="6"/>
      <c r="O15" s="2"/>
      <c r="P15" s="6"/>
      <c r="Q15" s="6"/>
      <c r="R15" s="5"/>
      <c r="S15" s="27">
        <v>1</v>
      </c>
      <c r="T15" s="2">
        <f t="shared" si="0"/>
        <v>0.08</v>
      </c>
      <c r="U15" s="6"/>
      <c r="V15" s="2"/>
      <c r="W15" s="3"/>
      <c r="X15" s="3"/>
      <c r="Y15" s="2"/>
      <c r="Z15" s="2"/>
      <c r="AA15" s="2"/>
      <c r="AB15" s="5"/>
      <c r="AC15" s="6"/>
      <c r="AE15" s="6"/>
      <c r="AF15" s="2"/>
      <c r="AG15" s="27"/>
    </row>
    <row r="16" spans="1:34" x14ac:dyDescent="0.25">
      <c r="A16" s="14" t="str">
        <f>'terminal power'!A12</f>
        <v>Exercise zone - C</v>
      </c>
      <c r="B16">
        <f>'terminal power'!D12</f>
        <v>2</v>
      </c>
      <c r="C16" s="15">
        <f>'terminal power'!C12</f>
        <v>863.73207885304669</v>
      </c>
      <c r="D16">
        <f>'terminal power'!E12</f>
        <v>20</v>
      </c>
      <c r="F16" s="3"/>
      <c r="G16" s="5"/>
      <c r="H16" s="6"/>
      <c r="I16" s="16"/>
      <c r="J16" s="6"/>
      <c r="K16" s="3"/>
      <c r="L16" s="6"/>
      <c r="M16" s="6"/>
      <c r="O16" s="2"/>
      <c r="P16" s="6"/>
      <c r="Q16" s="6"/>
      <c r="R16" s="5"/>
      <c r="S16" s="27">
        <v>1</v>
      </c>
      <c r="T16" s="2">
        <f t="shared" si="0"/>
        <v>0.08</v>
      </c>
      <c r="U16" s="6"/>
      <c r="V16" s="2"/>
      <c r="W16" s="3"/>
      <c r="X16" s="3"/>
      <c r="Y16" s="2"/>
      <c r="Z16" s="2"/>
      <c r="AA16" s="2"/>
      <c r="AB16" s="5"/>
      <c r="AC16" s="6"/>
      <c r="AE16" s="6"/>
      <c r="AF16" s="2"/>
      <c r="AG16" s="27"/>
    </row>
    <row r="17" spans="1:33" x14ac:dyDescent="0.25">
      <c r="A17" s="14" t="str">
        <f>'terminal power'!A13</f>
        <v>Exercise zone - B2</v>
      </c>
      <c r="B17">
        <f>'terminal power'!D13</f>
        <v>13.4</v>
      </c>
      <c r="C17" s="15">
        <f>'terminal power'!C13</f>
        <v>598.60551075268813</v>
      </c>
      <c r="D17">
        <f>'terminal power'!E13</f>
        <v>24</v>
      </c>
      <c r="F17" s="3"/>
      <c r="G17" s="5"/>
      <c r="H17" s="6"/>
      <c r="I17" s="16"/>
      <c r="J17" s="6"/>
      <c r="K17" s="3"/>
      <c r="L17" s="6"/>
      <c r="M17" s="6"/>
      <c r="O17" s="2"/>
      <c r="P17" s="6"/>
      <c r="Q17" s="6"/>
      <c r="R17" s="5"/>
      <c r="S17" s="27">
        <v>1</v>
      </c>
      <c r="T17" s="2">
        <f t="shared" si="0"/>
        <v>0.08</v>
      </c>
      <c r="U17" s="6"/>
      <c r="V17" s="2"/>
      <c r="W17" s="3"/>
      <c r="X17" s="3"/>
      <c r="Y17" s="2"/>
      <c r="Z17" s="2"/>
      <c r="AA17" s="2"/>
      <c r="AB17" s="5"/>
      <c r="AC17" s="6"/>
      <c r="AE17" s="6"/>
      <c r="AF17" s="2"/>
      <c r="AG17" s="27"/>
    </row>
    <row r="19" spans="1:33" x14ac:dyDescent="0.25">
      <c r="M19" s="6"/>
      <c r="O19" t="s">
        <v>59</v>
      </c>
      <c r="P19" s="2">
        <f>MAX(P9:P17)</f>
        <v>0</v>
      </c>
      <c r="U19" t="s">
        <v>114</v>
      </c>
      <c r="V19" s="2">
        <f>MAX(V9:V17)</f>
        <v>0</v>
      </c>
    </row>
    <row r="20" spans="1:33" x14ac:dyDescent="0.25">
      <c r="A20" s="13"/>
      <c r="T20" t="s">
        <v>113</v>
      </c>
    </row>
    <row r="21" spans="1:33" x14ac:dyDescent="0.25">
      <c r="A21" s="12"/>
      <c r="S21" s="5">
        <v>1</v>
      </c>
      <c r="T21" s="2">
        <v>0.08</v>
      </c>
      <c r="W21" t="s">
        <v>85</v>
      </c>
      <c r="X21" s="3">
        <f>SUM(W9:W17)</f>
        <v>0</v>
      </c>
      <c r="Y21" s="3" t="s">
        <v>57</v>
      </c>
    </row>
    <row r="22" spans="1:33" x14ac:dyDescent="0.25">
      <c r="A22" s="13"/>
      <c r="S22" s="27">
        <v>2</v>
      </c>
      <c r="T22" s="2">
        <v>0.15</v>
      </c>
      <c r="V22">
        <v>5</v>
      </c>
      <c r="W22" t="s">
        <v>86</v>
      </c>
      <c r="X22" s="3">
        <f>V19</f>
        <v>0</v>
      </c>
      <c r="Y22" t="s">
        <v>9</v>
      </c>
    </row>
    <row r="23" spans="1:33" x14ac:dyDescent="0.25">
      <c r="A23" s="12"/>
      <c r="S23" s="27">
        <v>3</v>
      </c>
      <c r="T23" s="2">
        <v>0.22</v>
      </c>
      <c r="X23" s="3"/>
    </row>
    <row r="24" spans="1:33" x14ac:dyDescent="0.25">
      <c r="A24" s="13"/>
      <c r="S24" s="27">
        <v>4</v>
      </c>
      <c r="T24" s="2">
        <v>0.35</v>
      </c>
    </row>
    <row r="25" spans="1:33" x14ac:dyDescent="0.25">
      <c r="A25" s="10"/>
      <c r="S25" s="27">
        <v>5</v>
      </c>
      <c r="T25" s="2">
        <v>0.5</v>
      </c>
      <c r="X25" s="3"/>
    </row>
    <row r="26" spans="1:33" x14ac:dyDescent="0.25">
      <c r="A26" s="12"/>
    </row>
    <row r="27" spans="1:33" x14ac:dyDescent="0.25">
      <c r="A27" s="13"/>
    </row>
    <row r="28" spans="1:33" x14ac:dyDescent="0.25">
      <c r="A28" s="12"/>
      <c r="E28" t="s">
        <v>78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topLeftCell="A13" zoomScale="145" zoomScaleNormal="145" workbookViewId="0">
      <selection activeCell="B29" sqref="B29"/>
    </sheetView>
  </sheetViews>
  <sheetFormatPr defaultRowHeight="13.2" x14ac:dyDescent="0.25"/>
  <cols>
    <col min="1" max="1" width="17.33203125" customWidth="1"/>
  </cols>
  <sheetData>
    <row r="1" spans="1:8" x14ac:dyDescent="0.25">
      <c r="A1" t="s">
        <v>90</v>
      </c>
    </row>
    <row r="3" spans="1:8" x14ac:dyDescent="0.25">
      <c r="A3" t="s">
        <v>13</v>
      </c>
      <c r="B3">
        <v>16</v>
      </c>
      <c r="C3" t="s">
        <v>7</v>
      </c>
    </row>
    <row r="4" spans="1:8" x14ac:dyDescent="0.25">
      <c r="A4" t="s">
        <v>91</v>
      </c>
      <c r="B4" s="26">
        <v>3</v>
      </c>
      <c r="C4" t="s">
        <v>64</v>
      </c>
      <c r="D4" s="26" t="s">
        <v>79</v>
      </c>
      <c r="F4" s="26" t="s">
        <v>80</v>
      </c>
      <c r="H4">
        <v>4.2</v>
      </c>
    </row>
    <row r="5" spans="1:8" x14ac:dyDescent="0.25">
      <c r="A5" t="s">
        <v>65</v>
      </c>
      <c r="B5" s="26">
        <v>0.02</v>
      </c>
      <c r="C5" t="s">
        <v>7</v>
      </c>
    </row>
    <row r="6" spans="1:8" x14ac:dyDescent="0.25">
      <c r="B6" s="26"/>
    </row>
    <row r="7" spans="1:8" x14ac:dyDescent="0.25">
      <c r="A7" t="s">
        <v>66</v>
      </c>
      <c r="B7" s="28">
        <f>sizing!X21</f>
        <v>0</v>
      </c>
      <c r="C7" t="s">
        <v>57</v>
      </c>
    </row>
    <row r="8" spans="1:8" x14ac:dyDescent="0.25">
      <c r="A8" t="s">
        <v>53</v>
      </c>
      <c r="B8" s="26">
        <f>PI()*B5^2/4</f>
        <v>3.1415926535897931E-4</v>
      </c>
      <c r="C8" t="s">
        <v>67</v>
      </c>
    </row>
    <row r="9" spans="1:8" x14ac:dyDescent="0.25">
      <c r="A9" t="s">
        <v>14</v>
      </c>
      <c r="B9" s="28">
        <f>B7/B8</f>
        <v>0</v>
      </c>
      <c r="C9" t="s">
        <v>24</v>
      </c>
    </row>
    <row r="10" spans="1:8" x14ac:dyDescent="0.25">
      <c r="A10" t="s">
        <v>68</v>
      </c>
      <c r="B10" s="3">
        <f>B4*0.5*rho*B9^2</f>
        <v>0</v>
      </c>
      <c r="C10" t="s">
        <v>9</v>
      </c>
    </row>
    <row r="11" spans="1:8" x14ac:dyDescent="0.25">
      <c r="A11" t="s">
        <v>69</v>
      </c>
      <c r="B11" s="3">
        <f>B7*3600</f>
        <v>0</v>
      </c>
      <c r="C11" t="s">
        <v>70</v>
      </c>
    </row>
    <row r="12" spans="1:8" x14ac:dyDescent="0.25">
      <c r="A12" t="s">
        <v>71</v>
      </c>
      <c r="B12">
        <v>1.6E-2</v>
      </c>
      <c r="C12" t="s">
        <v>7</v>
      </c>
    </row>
    <row r="13" spans="1:8" x14ac:dyDescent="0.25">
      <c r="A13" t="s">
        <v>53</v>
      </c>
      <c r="B13">
        <f>PI()*B12^2/4</f>
        <v>2.0106192982974675E-4</v>
      </c>
    </row>
    <row r="14" spans="1:8" x14ac:dyDescent="0.25">
      <c r="A14" t="s">
        <v>14</v>
      </c>
      <c r="B14" s="3">
        <f>B7/B13</f>
        <v>0</v>
      </c>
      <c r="C14" t="s">
        <v>24</v>
      </c>
    </row>
    <row r="15" spans="1:8" x14ac:dyDescent="0.25">
      <c r="A15" t="s">
        <v>81</v>
      </c>
      <c r="B15">
        <v>4.2</v>
      </c>
    </row>
    <row r="16" spans="1:8" x14ac:dyDescent="0.25">
      <c r="A16" t="s">
        <v>73</v>
      </c>
      <c r="B16">
        <v>17</v>
      </c>
      <c r="C16" t="s">
        <v>77</v>
      </c>
    </row>
    <row r="17" spans="1:3" x14ac:dyDescent="0.25">
      <c r="A17" t="s">
        <v>82</v>
      </c>
      <c r="B17">
        <v>3</v>
      </c>
    </row>
    <row r="18" spans="1:3" x14ac:dyDescent="0.25">
      <c r="A18" t="s">
        <v>72</v>
      </c>
      <c r="B18">
        <f>csi_cald+'fitting losses '!B2*4</f>
        <v>11</v>
      </c>
      <c r="C18" t="s">
        <v>76</v>
      </c>
    </row>
    <row r="19" spans="1:3" x14ac:dyDescent="0.25">
      <c r="A19" t="s">
        <v>15</v>
      </c>
      <c r="B19" s="3">
        <f>B14*B12*rho/mu</f>
        <v>0</v>
      </c>
    </row>
    <row r="20" spans="1:3" x14ac:dyDescent="0.25">
      <c r="A20" t="s">
        <v>16</v>
      </c>
      <c r="B20" s="3" t="e">
        <f>0.316*B19^(-0.25)</f>
        <v>#DIV/0!</v>
      </c>
    </row>
    <row r="21" spans="1:3" x14ac:dyDescent="0.25">
      <c r="A21" t="s">
        <v>18</v>
      </c>
      <c r="B21" s="3" t="e">
        <f>B20*B3*0.5*rho*B14^2/B12</f>
        <v>#DIV/0!</v>
      </c>
      <c r="C21" t="s">
        <v>9</v>
      </c>
    </row>
    <row r="22" spans="1:3" x14ac:dyDescent="0.25">
      <c r="A22" t="s">
        <v>74</v>
      </c>
      <c r="B22">
        <f>(B11/kv_valv)^2*100000</f>
        <v>0</v>
      </c>
      <c r="C22" t="s">
        <v>9</v>
      </c>
    </row>
    <row r="23" spans="1:3" x14ac:dyDescent="0.25">
      <c r="A23" t="s">
        <v>83</v>
      </c>
      <c r="B23" s="3">
        <f>3*(B11/kv_intercett)^2*100000</f>
        <v>0</v>
      </c>
      <c r="C23" t="s">
        <v>9</v>
      </c>
    </row>
    <row r="24" spans="1:3" x14ac:dyDescent="0.25">
      <c r="A24" t="s">
        <v>19</v>
      </c>
      <c r="B24" s="3">
        <f>0.5*rho*B14^2*B18+B22+B23</f>
        <v>0</v>
      </c>
      <c r="C24" t="s">
        <v>9</v>
      </c>
    </row>
    <row r="25" spans="1:3" x14ac:dyDescent="0.25">
      <c r="A25" t="s">
        <v>31</v>
      </c>
      <c r="B25" s="3" t="e">
        <f>B24+B21</f>
        <v>#DIV/0!</v>
      </c>
      <c r="C25" t="s">
        <v>9</v>
      </c>
    </row>
    <row r="26" spans="1:3" x14ac:dyDescent="0.25">
      <c r="B26" s="3"/>
    </row>
    <row r="27" spans="1:3" x14ac:dyDescent="0.25">
      <c r="A27" t="s">
        <v>84</v>
      </c>
      <c r="B27" s="3" t="e">
        <f>sizing!X22+manifold!B25</f>
        <v>#DIV/0!</v>
      </c>
      <c r="C27" t="s">
        <v>9</v>
      </c>
    </row>
    <row r="28" spans="1:3" x14ac:dyDescent="0.25">
      <c r="A28" t="s">
        <v>84</v>
      </c>
      <c r="B28" s="3" t="e">
        <f>B27/10000</f>
        <v>#DIV/0!</v>
      </c>
      <c r="C28" t="s">
        <v>87</v>
      </c>
    </row>
    <row r="29" spans="1:3" x14ac:dyDescent="0.25">
      <c r="A29" t="s">
        <v>66</v>
      </c>
      <c r="B29" s="3">
        <f>B11*1000</f>
        <v>0</v>
      </c>
      <c r="C29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5" workbookViewId="0">
      <selection activeCell="V47" sqref="V47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19</vt:i4>
      </vt:variant>
    </vt:vector>
  </HeadingPairs>
  <TitlesOfParts>
    <vt:vector size="25" baseType="lpstr">
      <vt:lpstr> Termolog</vt:lpstr>
      <vt:lpstr>terminal power</vt:lpstr>
      <vt:lpstr>fitting losses </vt:lpstr>
      <vt:lpstr>sizing</vt:lpstr>
      <vt:lpstr>manifold</vt:lpstr>
      <vt:lpstr>radiator</vt:lpstr>
      <vt:lpstr>cp</vt:lpstr>
      <vt:lpstr>csi_c</vt:lpstr>
      <vt:lpstr>csi_cald</vt:lpstr>
      <vt:lpstr>D</vt:lpstr>
      <vt:lpstr>Dc</vt:lpstr>
      <vt:lpstr>DP_cg</vt:lpstr>
      <vt:lpstr>DPC</vt:lpstr>
      <vt:lpstr>Dpvmax</vt:lpstr>
      <vt:lpstr>Dt</vt:lpstr>
      <vt:lpstr>Dtheta_n</vt:lpstr>
      <vt:lpstr>eta_e</vt:lpstr>
      <vt:lpstr>eta_r</vt:lpstr>
      <vt:lpstr>kv_intercett</vt:lpstr>
      <vt:lpstr>kv_valv</vt:lpstr>
      <vt:lpstr>mu</vt:lpstr>
      <vt:lpstr>n</vt:lpstr>
      <vt:lpstr>rho</vt:lpstr>
      <vt:lpstr>t_mi</vt:lpstr>
      <vt:lpstr>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MANZAN MARCO</cp:lastModifiedBy>
  <dcterms:created xsi:type="dcterms:W3CDTF">2017-03-20T21:37:52Z</dcterms:created>
  <dcterms:modified xsi:type="dcterms:W3CDTF">2026-04-14T06:30:55Z</dcterms:modified>
</cp:coreProperties>
</file>