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nksrlit.sharepoint.com/sites/RepositoryDocumentale/Documenti condivisi/FM/FM_1_Formazione/Progetto Libro Programmazione e Controllo/Caso Mozart/Caso Mozart NEW/"/>
    </mc:Choice>
  </mc:AlternateContent>
  <xr:revisionPtr revIDLastSave="61" documentId="13_ncr:1_{1E4309B5-8717-BA4C-A521-250C9B07F148}" xr6:coauthVersionLast="47" xr6:coauthVersionMax="47" xr10:uidLastSave="{A75F80D5-E010-274A-A5EA-88D919AD140C}"/>
  <bookViews>
    <workbookView xWindow="10400" yWindow="600" windowWidth="35840" windowHeight="19780" tabRatio="704" activeTab="11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 4" sheetId="89" r:id="rId9"/>
    <sheet name="All. 1" sheetId="99" r:id="rId10"/>
    <sheet name="All. 2" sheetId="102" r:id="rId11"/>
    <sheet name="All. 3" sheetId="100" r:id="rId12"/>
    <sheet name="Tab. 5" sheetId="103" r:id="rId13"/>
    <sheet name="Tab. 6" sheetId="10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03" l="1"/>
  <c r="E42" i="103"/>
  <c r="F42" i="103"/>
  <c r="G42" i="103"/>
  <c r="H42" i="103"/>
  <c r="I42" i="103"/>
  <c r="J42" i="103"/>
  <c r="K42" i="103"/>
  <c r="L42" i="103"/>
  <c r="M42" i="103"/>
  <c r="M43" i="103" s="1"/>
  <c r="N42" i="103"/>
  <c r="N43" i="103" s="1"/>
  <c r="C42" i="103"/>
  <c r="D34" i="104"/>
  <c r="E34" i="104"/>
  <c r="F34" i="104"/>
  <c r="G34" i="104"/>
  <c r="H34" i="104"/>
  <c r="I34" i="104"/>
  <c r="I40" i="104" s="1"/>
  <c r="J34" i="104"/>
  <c r="J40" i="104" s="1"/>
  <c r="K34" i="104"/>
  <c r="K40" i="104" s="1"/>
  <c r="L34" i="104"/>
  <c r="M34" i="104"/>
  <c r="N34" i="104"/>
  <c r="C34" i="104"/>
  <c r="C13" i="103"/>
  <c r="C10" i="103"/>
  <c r="S23" i="87"/>
  <c r="S22" i="87"/>
  <c r="S15" i="87"/>
  <c r="S14" i="87"/>
  <c r="S8" i="86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C40" i="104" s="1"/>
  <c r="D35" i="104"/>
  <c r="E35" i="104"/>
  <c r="F35" i="104"/>
  <c r="G35" i="104"/>
  <c r="H35" i="104"/>
  <c r="I35" i="104"/>
  <c r="J35" i="104"/>
  <c r="K35" i="104"/>
  <c r="L35" i="104"/>
  <c r="L40" i="104" s="1"/>
  <c r="M35" i="104"/>
  <c r="M40" i="104" s="1"/>
  <c r="N35" i="104"/>
  <c r="N40" i="104" s="1"/>
  <c r="C35" i="104"/>
  <c r="H32" i="104"/>
  <c r="I32" i="104"/>
  <c r="C32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44" i="103"/>
  <c r="I44" i="103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H40" i="104"/>
  <c r="G40" i="104"/>
  <c r="F40" i="104"/>
  <c r="E40" i="104"/>
  <c r="D40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H31" i="104"/>
  <c r="G31" i="104"/>
  <c r="G32" i="104" s="1"/>
  <c r="F31" i="104"/>
  <c r="F32" i="104" s="1"/>
  <c r="E31" i="104"/>
  <c r="E32" i="104" s="1"/>
  <c r="D31" i="104"/>
  <c r="D32" i="104" s="1"/>
  <c r="C31" i="104"/>
  <c r="C5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5" i="103"/>
  <c r="E45" i="103"/>
  <c r="F45" i="103"/>
  <c r="G45" i="103"/>
  <c r="H45" i="103"/>
  <c r="I45" i="103"/>
  <c r="J45" i="103"/>
  <c r="K45" i="103"/>
  <c r="L45" i="103"/>
  <c r="M45" i="103"/>
  <c r="N45" i="103"/>
  <c r="J46" i="103"/>
  <c r="K46" i="103"/>
  <c r="L46" i="103"/>
  <c r="M46" i="103"/>
  <c r="N46" i="103"/>
  <c r="C46" i="103"/>
  <c r="C45" i="103"/>
  <c r="H43" i="103"/>
  <c r="I43" i="103"/>
  <c r="J43" i="103"/>
  <c r="K43" i="103"/>
  <c r="L43" i="103"/>
  <c r="D40" i="103"/>
  <c r="E40" i="103"/>
  <c r="F40" i="103"/>
  <c r="G40" i="103"/>
  <c r="H40" i="103"/>
  <c r="I40" i="103"/>
  <c r="J40" i="103"/>
  <c r="K40" i="103"/>
  <c r="L40" i="103"/>
  <c r="M40" i="103"/>
  <c r="N40" i="103"/>
  <c r="C40" i="103"/>
  <c r="D39" i="103"/>
  <c r="E39" i="103"/>
  <c r="F39" i="103"/>
  <c r="G39" i="103"/>
  <c r="H39" i="103"/>
  <c r="I39" i="103"/>
  <c r="J39" i="103"/>
  <c r="K39" i="103"/>
  <c r="L39" i="103"/>
  <c r="M39" i="103"/>
  <c r="N39" i="103"/>
  <c r="C39" i="103"/>
  <c r="O44" i="103"/>
  <c r="G43" i="103"/>
  <c r="C43" i="103"/>
  <c r="C47" i="103" s="1"/>
  <c r="C50" i="103" s="1"/>
  <c r="F43" i="103"/>
  <c r="E43" i="103"/>
  <c r="D43" i="103"/>
  <c r="C61" i="103"/>
  <c r="F9" i="102"/>
  <c r="H16" i="103"/>
  <c r="J16" i="103"/>
  <c r="K16" i="103"/>
  <c r="L16" i="103"/>
  <c r="M16" i="103"/>
  <c r="N16" i="103"/>
  <c r="C16" i="103"/>
  <c r="D15" i="103"/>
  <c r="E15" i="103"/>
  <c r="F15" i="103"/>
  <c r="G15" i="103"/>
  <c r="H15" i="103"/>
  <c r="I15" i="103"/>
  <c r="J15" i="103"/>
  <c r="K15" i="103"/>
  <c r="L15" i="103"/>
  <c r="M15" i="103"/>
  <c r="N15" i="103"/>
  <c r="C15" i="103"/>
  <c r="N14" i="103"/>
  <c r="I14" i="103"/>
  <c r="O14" i="103" s="1"/>
  <c r="N13" i="103"/>
  <c r="D13" i="103"/>
  <c r="E13" i="103"/>
  <c r="F13" i="103"/>
  <c r="G13" i="103"/>
  <c r="H13" i="103"/>
  <c r="I13" i="103"/>
  <c r="J13" i="103"/>
  <c r="K13" i="103"/>
  <c r="L13" i="103"/>
  <c r="M13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F46" i="103"/>
  <c r="D16" i="103"/>
  <c r="D17" i="99"/>
  <c r="C17" i="99"/>
  <c r="D10" i="99"/>
  <c r="C10" i="99"/>
  <c r="I16" i="103" l="1"/>
  <c r="G16" i="103"/>
  <c r="G17" i="103" s="1"/>
  <c r="G20" i="103" s="1"/>
  <c r="H46" i="103"/>
  <c r="I46" i="103"/>
  <c r="E16" i="103"/>
  <c r="I47" i="103"/>
  <c r="I50" i="103" s="1"/>
  <c r="F16" i="103"/>
  <c r="F17" i="103" s="1"/>
  <c r="F20" i="103" s="1"/>
  <c r="G46" i="103"/>
  <c r="E46" i="103"/>
  <c r="E47" i="103" s="1"/>
  <c r="E50" i="103" s="1"/>
  <c r="K47" i="103"/>
  <c r="K50" i="103" s="1"/>
  <c r="D46" i="103"/>
  <c r="D47" i="103" s="1"/>
  <c r="D50" i="103" s="1"/>
  <c r="J47" i="103"/>
  <c r="J50" i="103" s="1"/>
  <c r="G47" i="103"/>
  <c r="G50" i="103" s="1"/>
  <c r="D18" i="104"/>
  <c r="D19" i="104" s="1"/>
  <c r="E18" i="104"/>
  <c r="E24" i="104" s="1"/>
  <c r="E26" i="104" s="1"/>
  <c r="F18" i="104"/>
  <c r="F24" i="104" s="1"/>
  <c r="F26" i="104" s="1"/>
  <c r="G18" i="104"/>
  <c r="G24" i="104" s="1"/>
  <c r="G26" i="104" s="1"/>
  <c r="L18" i="104"/>
  <c r="L24" i="104" s="1"/>
  <c r="L26" i="104" s="1"/>
  <c r="K18" i="104"/>
  <c r="K24" i="104" s="1"/>
  <c r="K26" i="104" s="1"/>
  <c r="H18" i="104"/>
  <c r="H19" i="104" s="1"/>
  <c r="C18" i="104"/>
  <c r="C19" i="104" s="1"/>
  <c r="N18" i="104"/>
  <c r="M18" i="104"/>
  <c r="M24" i="104" s="1"/>
  <c r="M26" i="104" s="1"/>
  <c r="J18" i="104"/>
  <c r="J19" i="104" s="1"/>
  <c r="I18" i="104"/>
  <c r="I24" i="104" s="1"/>
  <c r="I26" i="104" s="1"/>
  <c r="O14" i="104"/>
  <c r="N46" i="104"/>
  <c r="N48" i="104" s="1"/>
  <c r="E19" i="104"/>
  <c r="F46" i="104"/>
  <c r="F48" i="104" s="1"/>
  <c r="O13" i="104"/>
  <c r="D52" i="104"/>
  <c r="E52" i="104" s="1"/>
  <c r="F52" i="104" s="1"/>
  <c r="G52" i="104" s="1"/>
  <c r="H52" i="104" s="1"/>
  <c r="I52" i="104" s="1"/>
  <c r="J52" i="104" s="1"/>
  <c r="K52" i="104" s="1"/>
  <c r="L52" i="104" s="1"/>
  <c r="M52" i="104" s="1"/>
  <c r="N52" i="104" s="1"/>
  <c r="O10" i="104"/>
  <c r="O31" i="104"/>
  <c r="O32" i="104"/>
  <c r="O9" i="104"/>
  <c r="O12" i="104"/>
  <c r="O34" i="104"/>
  <c r="H47" i="103"/>
  <c r="H50" i="103" s="1"/>
  <c r="N47" i="103"/>
  <c r="N50" i="103" s="1"/>
  <c r="N51" i="103" s="1"/>
  <c r="N52" i="103" s="1"/>
  <c r="M47" i="103"/>
  <c r="M50" i="103" s="1"/>
  <c r="L47" i="103"/>
  <c r="L50" i="103" s="1"/>
  <c r="O43" i="103"/>
  <c r="O40" i="103"/>
  <c r="I48" i="103"/>
  <c r="I55" i="103"/>
  <c r="I57" i="103" s="1"/>
  <c r="J55" i="103"/>
  <c r="J57" i="103" s="1"/>
  <c r="C48" i="103"/>
  <c r="C55" i="103"/>
  <c r="O39" i="103"/>
  <c r="F47" i="103"/>
  <c r="F50" i="103" s="1"/>
  <c r="D61" i="103"/>
  <c r="E61" i="103" s="1"/>
  <c r="F61" i="103" s="1"/>
  <c r="G61" i="103" s="1"/>
  <c r="H61" i="103" s="1"/>
  <c r="I61" i="103" s="1"/>
  <c r="J61" i="103" s="1"/>
  <c r="K61" i="103" s="1"/>
  <c r="L61" i="103" s="1"/>
  <c r="M61" i="103" s="1"/>
  <c r="N61" i="103" s="1"/>
  <c r="O42" i="103"/>
  <c r="C31" i="103"/>
  <c r="D31" i="103" s="1"/>
  <c r="E31" i="103"/>
  <c r="F31" i="103" s="1"/>
  <c r="G31" i="103" s="1"/>
  <c r="H31" i="103" s="1"/>
  <c r="I31" i="103" s="1"/>
  <c r="J31" i="103" s="1"/>
  <c r="K31" i="103" s="1"/>
  <c r="L31" i="103" s="1"/>
  <c r="M31" i="103" s="1"/>
  <c r="N31" i="103" s="1"/>
  <c r="D17" i="103"/>
  <c r="D20" i="103" s="1"/>
  <c r="E17" i="103"/>
  <c r="E20" i="103" s="1"/>
  <c r="N17" i="103"/>
  <c r="N20" i="103" s="1"/>
  <c r="M17" i="103"/>
  <c r="M20" i="103" s="1"/>
  <c r="K17" i="103"/>
  <c r="K20" i="103" s="1"/>
  <c r="J17" i="103"/>
  <c r="J20" i="103" s="1"/>
  <c r="I17" i="103"/>
  <c r="I20" i="103" s="1"/>
  <c r="L17" i="103"/>
  <c r="L20" i="103" s="1"/>
  <c r="H17" i="103"/>
  <c r="H20" i="103" s="1"/>
  <c r="O10" i="103"/>
  <c r="O13" i="103"/>
  <c r="O9" i="103"/>
  <c r="C17" i="103"/>
  <c r="C20" i="103" s="1"/>
  <c r="O12" i="103"/>
  <c r="D7" i="102"/>
  <c r="G55" i="103" l="1"/>
  <c r="G57" i="103" s="1"/>
  <c r="G48" i="103"/>
  <c r="K55" i="103"/>
  <c r="K57" i="103" s="1"/>
  <c r="K48" i="103"/>
  <c r="J48" i="103"/>
  <c r="N55" i="103"/>
  <c r="N57" i="103" s="1"/>
  <c r="F19" i="104"/>
  <c r="D24" i="104"/>
  <c r="M55" i="103"/>
  <c r="M57" i="103" s="1"/>
  <c r="L55" i="103"/>
  <c r="L57" i="103" s="1"/>
  <c r="M48" i="103"/>
  <c r="C24" i="104"/>
  <c r="L19" i="104"/>
  <c r="O18" i="104"/>
  <c r="O19" i="104" s="1"/>
  <c r="H48" i="103"/>
  <c r="H55" i="103"/>
  <c r="H57" i="103" s="1"/>
  <c r="N53" i="103"/>
  <c r="N43" i="104"/>
  <c r="N44" i="104" s="1"/>
  <c r="N49" i="104" s="1"/>
  <c r="L48" i="103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48" i="103"/>
  <c r="D46" i="104"/>
  <c r="D48" i="104" s="1"/>
  <c r="D41" i="104"/>
  <c r="C41" i="104"/>
  <c r="C46" i="104"/>
  <c r="O40" i="104"/>
  <c r="O41" i="104" s="1"/>
  <c r="C26" i="104"/>
  <c r="J46" i="104"/>
  <c r="J48" i="104" s="1"/>
  <c r="J41" i="104"/>
  <c r="N24" i="104"/>
  <c r="N26" i="104" s="1"/>
  <c r="N19" i="104"/>
  <c r="E46" i="104"/>
  <c r="E48" i="104" s="1"/>
  <c r="E41" i="104"/>
  <c r="D48" i="103"/>
  <c r="O47" i="103"/>
  <c r="O48" i="103" s="1"/>
  <c r="D55" i="103"/>
  <c r="E48" i="103"/>
  <c r="E55" i="103"/>
  <c r="E57" i="103" s="1"/>
  <c r="F48" i="103"/>
  <c r="F55" i="103"/>
  <c r="F57" i="103" s="1"/>
  <c r="M51" i="103"/>
  <c r="C57" i="103"/>
  <c r="N25" i="103"/>
  <c r="N27" i="103" s="1"/>
  <c r="N21" i="103"/>
  <c r="M21" i="103" s="1"/>
  <c r="E25" i="103"/>
  <c r="E27" i="103" s="1"/>
  <c r="C25" i="103"/>
  <c r="D25" i="103"/>
  <c r="D18" i="103"/>
  <c r="N18" i="103"/>
  <c r="E18" i="103"/>
  <c r="G18" i="103"/>
  <c r="G25" i="103"/>
  <c r="G27" i="103" s="1"/>
  <c r="L18" i="103"/>
  <c r="L25" i="103"/>
  <c r="L27" i="103" s="1"/>
  <c r="I18" i="103"/>
  <c r="I25" i="103"/>
  <c r="I27" i="103" s="1"/>
  <c r="K18" i="103"/>
  <c r="K25" i="103"/>
  <c r="K27" i="103" s="1"/>
  <c r="F18" i="103"/>
  <c r="F25" i="103"/>
  <c r="F27" i="103" s="1"/>
  <c r="H18" i="103"/>
  <c r="H25" i="103"/>
  <c r="J18" i="103"/>
  <c r="J25" i="103"/>
  <c r="J27" i="103" s="1"/>
  <c r="M18" i="103"/>
  <c r="M25" i="103"/>
  <c r="M27" i="103" s="1"/>
  <c r="O17" i="103"/>
  <c r="O18" i="103" s="1"/>
  <c r="C18" i="103"/>
  <c r="N58" i="103" l="1"/>
  <c r="O24" i="104"/>
  <c r="O46" i="104"/>
  <c r="C48" i="104"/>
  <c r="O55" i="103"/>
  <c r="M52" i="103"/>
  <c r="L51" i="103"/>
  <c r="L21" i="103"/>
  <c r="O25" i="103"/>
  <c r="H27" i="103"/>
  <c r="M53" i="103" l="1"/>
  <c r="M43" i="104"/>
  <c r="M44" i="104" s="1"/>
  <c r="M49" i="104" s="1"/>
  <c r="O48" i="104"/>
  <c r="L52" i="103"/>
  <c r="K51" i="103"/>
  <c r="M58" i="103"/>
  <c r="K21" i="103"/>
  <c r="J21" i="103" s="1"/>
  <c r="I21" i="103" s="1"/>
  <c r="H21" i="103" s="1"/>
  <c r="G21" i="103" s="1"/>
  <c r="F21" i="103" s="1"/>
  <c r="B30" i="89"/>
  <c r="Q27" i="89"/>
  <c r="Q28" i="89"/>
  <c r="T13" i="89"/>
  <c r="T26" i="89"/>
  <c r="S8" i="52"/>
  <c r="S9" i="52"/>
  <c r="S10" i="52"/>
  <c r="S11" i="52"/>
  <c r="S15" i="52"/>
  <c r="S16" i="52"/>
  <c r="S17" i="52"/>
  <c r="S18" i="52"/>
  <c r="K27" i="89"/>
  <c r="R26" i="89"/>
  <c r="S26" i="89"/>
  <c r="Q26" i="89"/>
  <c r="N27" i="89" s="1"/>
  <c r="Q25" i="89" s="1"/>
  <c r="D26" i="89"/>
  <c r="E26" i="89"/>
  <c r="D27" i="89" s="1"/>
  <c r="F26" i="89"/>
  <c r="G26" i="89"/>
  <c r="F27" i="89" s="1"/>
  <c r="H26" i="89"/>
  <c r="I26" i="89"/>
  <c r="H27" i="89" s="1"/>
  <c r="J26" i="89"/>
  <c r="K26" i="89"/>
  <c r="L26" i="89"/>
  <c r="M26" i="89"/>
  <c r="L27" i="89" s="1"/>
  <c r="N26" i="89"/>
  <c r="M27" i="89" s="1"/>
  <c r="C26" i="89"/>
  <c r="R13" i="89"/>
  <c r="S13" i="89"/>
  <c r="Q13" i="89"/>
  <c r="E14" i="89"/>
  <c r="F14" i="89"/>
  <c r="G14" i="89"/>
  <c r="H14" i="89"/>
  <c r="I14" i="89"/>
  <c r="J14" i="89"/>
  <c r="D13" i="89"/>
  <c r="E13" i="89"/>
  <c r="F13" i="89"/>
  <c r="G13" i="89"/>
  <c r="H13" i="89"/>
  <c r="I13" i="89"/>
  <c r="J13" i="89"/>
  <c r="K13" i="89"/>
  <c r="L13" i="89"/>
  <c r="K14" i="89" s="1"/>
  <c r="M13" i="89"/>
  <c r="L14" i="89" s="1"/>
  <c r="N13" i="89"/>
  <c r="C13" i="89"/>
  <c r="C25" i="89"/>
  <c r="C12" i="89"/>
  <c r="C23" i="89"/>
  <c r="R18" i="52"/>
  <c r="Q18" i="52"/>
  <c r="P18" i="52"/>
  <c r="Q15" i="52"/>
  <c r="R15" i="52"/>
  <c r="Q16" i="52"/>
  <c r="R16" i="52"/>
  <c r="Q17" i="52"/>
  <c r="R17" i="52"/>
  <c r="Q8" i="52"/>
  <c r="R8" i="52"/>
  <c r="Q9" i="52"/>
  <c r="R9" i="52"/>
  <c r="Q10" i="52"/>
  <c r="R10" i="52"/>
  <c r="P10" i="52"/>
  <c r="P17" i="52"/>
  <c r="P16" i="52"/>
  <c r="P15" i="52"/>
  <c r="Q11" i="52"/>
  <c r="R11" i="52"/>
  <c r="P11" i="52"/>
  <c r="P9" i="52"/>
  <c r="P8" i="52"/>
  <c r="K23" i="87"/>
  <c r="K22" i="87"/>
  <c r="H23" i="87"/>
  <c r="H22" i="87"/>
  <c r="K24" i="87"/>
  <c r="H24" i="87"/>
  <c r="E24" i="87"/>
  <c r="E23" i="87"/>
  <c r="E22" i="87"/>
  <c r="R22" i="87"/>
  <c r="R23" i="87"/>
  <c r="Q22" i="87"/>
  <c r="Q23" i="87"/>
  <c r="P23" i="87"/>
  <c r="P22" i="87"/>
  <c r="R12" i="86"/>
  <c r="R11" i="86" s="1"/>
  <c r="S12" i="86"/>
  <c r="S11" i="86" s="1"/>
  <c r="Q11" i="86"/>
  <c r="Q12" i="86"/>
  <c r="Q8" i="86"/>
  <c r="S7" i="86"/>
  <c r="R7" i="86"/>
  <c r="Q7" i="86"/>
  <c r="C10" i="89"/>
  <c r="L53" i="103" l="1"/>
  <c r="L43" i="104"/>
  <c r="L44" i="104" s="1"/>
  <c r="E21" i="103"/>
  <c r="E22" i="103" s="1"/>
  <c r="F22" i="103"/>
  <c r="L49" i="104"/>
  <c r="K52" i="103"/>
  <c r="J51" i="103"/>
  <c r="L58" i="103"/>
  <c r="D21" i="103"/>
  <c r="C14" i="89"/>
  <c r="C15" i="89" s="1"/>
  <c r="J27" i="89"/>
  <c r="I27" i="89"/>
  <c r="C27" i="89"/>
  <c r="Q14" i="89"/>
  <c r="D14" i="89"/>
  <c r="C28" i="89"/>
  <c r="D25" i="89"/>
  <c r="D28" i="89" s="1"/>
  <c r="J28" i="89"/>
  <c r="I28" i="89"/>
  <c r="E27" i="89"/>
  <c r="E25" i="89"/>
  <c r="G27" i="89"/>
  <c r="H25" i="89" s="1"/>
  <c r="H28" i="89" s="1"/>
  <c r="M14" i="89"/>
  <c r="N14" i="89"/>
  <c r="J25" i="89"/>
  <c r="I25" i="89"/>
  <c r="G25" i="89"/>
  <c r="K25" i="89"/>
  <c r="K28" i="89" s="1"/>
  <c r="L25" i="89"/>
  <c r="L28" i="89" s="1"/>
  <c r="M25" i="89"/>
  <c r="M28" i="89" s="1"/>
  <c r="O26" i="89"/>
  <c r="N25" i="89"/>
  <c r="N28" i="89" s="1"/>
  <c r="J12" i="77"/>
  <c r="K13" i="77"/>
  <c r="C14" i="77"/>
  <c r="D14" i="77"/>
  <c r="F5" i="77"/>
  <c r="K6" i="77"/>
  <c r="K53" i="53" s="1"/>
  <c r="I7" i="77"/>
  <c r="K7" i="77"/>
  <c r="L7" i="77"/>
  <c r="M7" i="77"/>
  <c r="B7" i="77"/>
  <c r="B5" i="77"/>
  <c r="N5" i="52"/>
  <c r="R14" i="87"/>
  <c r="P15" i="87"/>
  <c r="R7" i="87"/>
  <c r="R6" i="87"/>
  <c r="Q7" i="87"/>
  <c r="Q15" i="87" s="1"/>
  <c r="Q6" i="87"/>
  <c r="Q14" i="87" s="1"/>
  <c r="P7" i="87"/>
  <c r="P6" i="87"/>
  <c r="J7" i="87"/>
  <c r="J15" i="87" s="1"/>
  <c r="J23" i="87" s="1"/>
  <c r="J6" i="87"/>
  <c r="J14" i="87" s="1"/>
  <c r="J22" i="87" s="1"/>
  <c r="G7" i="87"/>
  <c r="G15" i="87" s="1"/>
  <c r="G23" i="87" s="1"/>
  <c r="G6" i="87"/>
  <c r="G14" i="87" s="1"/>
  <c r="G22" i="87" s="1"/>
  <c r="D7" i="87"/>
  <c r="D15" i="87" s="1"/>
  <c r="D23" i="87" s="1"/>
  <c r="D6" i="87"/>
  <c r="D14" i="87" s="1"/>
  <c r="D2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K53" i="103" l="1"/>
  <c r="K58" i="103" s="1"/>
  <c r="K43" i="104"/>
  <c r="K44" i="104" s="1"/>
  <c r="C21" i="103"/>
  <c r="K49" i="104"/>
  <c r="J52" i="103"/>
  <c r="I51" i="103"/>
  <c r="E28" i="89"/>
  <c r="F25" i="89"/>
  <c r="F28" i="89" s="1"/>
  <c r="Q12" i="89"/>
  <c r="Q15" i="89" s="1"/>
  <c r="G28" i="89"/>
  <c r="O28" i="89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E6" i="87"/>
  <c r="C6" i="87" s="1"/>
  <c r="H6" i="87"/>
  <c r="F6" i="87" s="1"/>
  <c r="D14" i="86"/>
  <c r="C11" i="86"/>
  <c r="E8" i="87" s="1"/>
  <c r="E7" i="87" s="1"/>
  <c r="D16" i="86"/>
  <c r="C30" i="85"/>
  <c r="D11" i="86"/>
  <c r="H8" i="87" s="1"/>
  <c r="H7" i="87" s="1"/>
  <c r="F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J53" i="103" l="1"/>
  <c r="J43" i="104"/>
  <c r="J44" i="104" s="1"/>
  <c r="J49" i="104" s="1"/>
  <c r="I52" i="103"/>
  <c r="H51" i="103"/>
  <c r="J58" i="103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24" i="87"/>
  <c r="H8" i="86"/>
  <c r="M7" i="86"/>
  <c r="I12" i="86"/>
  <c r="N12" i="86" s="1"/>
  <c r="N11" i="86"/>
  <c r="K16" i="87"/>
  <c r="G11" i="86"/>
  <c r="E24" i="86"/>
  <c r="H11" i="86"/>
  <c r="J8" i="86"/>
  <c r="O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I53" i="103" l="1"/>
  <c r="I43" i="104"/>
  <c r="I44" i="104" s="1"/>
  <c r="I49" i="104" s="1"/>
  <c r="H52" i="103"/>
  <c r="G51" i="103"/>
  <c r="I58" i="103"/>
  <c r="G12" i="86"/>
  <c r="L12" i="86" s="1"/>
  <c r="E16" i="87"/>
  <c r="L11" i="86"/>
  <c r="K6" i="87"/>
  <c r="N8" i="87"/>
  <c r="K7" i="87"/>
  <c r="I22" i="87"/>
  <c r="I23" i="87"/>
  <c r="K14" i="87"/>
  <c r="I14" i="87" s="1"/>
  <c r="K15" i="87"/>
  <c r="I15" i="87" s="1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H53" i="103" l="1"/>
  <c r="H43" i="104"/>
  <c r="H44" i="104" s="1"/>
  <c r="H49" i="104"/>
  <c r="G52" i="103"/>
  <c r="F51" i="103"/>
  <c r="H58" i="103"/>
  <c r="H17" i="52"/>
  <c r="I17" i="52"/>
  <c r="B17" i="52"/>
  <c r="M17" i="52"/>
  <c r="G17" i="52"/>
  <c r="J17" i="52"/>
  <c r="E17" i="52"/>
  <c r="F17" i="52"/>
  <c r="K17" i="52"/>
  <c r="D17" i="52"/>
  <c r="L17" i="52"/>
  <c r="C17" i="52"/>
  <c r="I7" i="87"/>
  <c r="L7" i="87" s="1"/>
  <c r="N7" i="87"/>
  <c r="O11" i="86"/>
  <c r="J12" i="86"/>
  <c r="O12" i="86" s="1"/>
  <c r="I10" i="52"/>
  <c r="M10" i="52"/>
  <c r="G10" i="52"/>
  <c r="C10" i="52"/>
  <c r="E10" i="52"/>
  <c r="B10" i="52"/>
  <c r="D10" i="52"/>
  <c r="F10" i="52"/>
  <c r="H10" i="52"/>
  <c r="J10" i="52"/>
  <c r="L10" i="52"/>
  <c r="K10" i="52"/>
  <c r="F22" i="87"/>
  <c r="H14" i="87"/>
  <c r="F14" i="87" s="1"/>
  <c r="H15" i="87"/>
  <c r="F15" i="87" s="1"/>
  <c r="F2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5" i="87"/>
  <c r="G53" i="103" l="1"/>
  <c r="G58" i="103" s="1"/>
  <c r="G43" i="104"/>
  <c r="G44" i="104" s="1"/>
  <c r="G49" i="104" s="1"/>
  <c r="F52" i="103"/>
  <c r="E51" i="103"/>
  <c r="C15" i="87"/>
  <c r="N15" i="87"/>
  <c r="C22" i="87"/>
  <c r="L22" i="87" s="1"/>
  <c r="N22" i="87"/>
  <c r="C23" i="87"/>
  <c r="L23" i="87" s="1"/>
  <c r="N23" i="87"/>
  <c r="L9" i="52"/>
  <c r="L52" i="53" s="1"/>
  <c r="L54" i="53" s="1"/>
  <c r="J9" i="52"/>
  <c r="J52" i="53" s="1"/>
  <c r="J54" i="53" s="1"/>
  <c r="I9" i="52"/>
  <c r="I52" i="53" s="1"/>
  <c r="I54" i="53" s="1"/>
  <c r="H9" i="52"/>
  <c r="H52" i="53" s="1"/>
  <c r="H54" i="53" s="1"/>
  <c r="C9" i="52"/>
  <c r="C52" i="53" s="1"/>
  <c r="C54" i="53" s="1"/>
  <c r="D9" i="52"/>
  <c r="D52" i="53" s="1"/>
  <c r="D54" i="53" s="1"/>
  <c r="K9" i="52"/>
  <c r="K52" i="53" s="1"/>
  <c r="K54" i="53" s="1"/>
  <c r="B9" i="52"/>
  <c r="B52" i="53" s="1"/>
  <c r="E9" i="52"/>
  <c r="E52" i="53" s="1"/>
  <c r="E54" i="53" s="1"/>
  <c r="G9" i="52"/>
  <c r="G52" i="53" s="1"/>
  <c r="G54" i="53" s="1"/>
  <c r="F9" i="52"/>
  <c r="F52" i="53" s="1"/>
  <c r="F54" i="53" s="1"/>
  <c r="M9" i="52"/>
  <c r="M52" i="53" s="1"/>
  <c r="M54" i="53" s="1"/>
  <c r="N14" i="87"/>
  <c r="C14" i="87"/>
  <c r="S7" i="87"/>
  <c r="M7" i="87"/>
  <c r="S6" i="87"/>
  <c r="M6" i="87"/>
  <c r="J16" i="52"/>
  <c r="I16" i="52"/>
  <c r="K16" i="52"/>
  <c r="G16" i="52"/>
  <c r="M16" i="52"/>
  <c r="L16" i="52"/>
  <c r="B16" i="52"/>
  <c r="C16" i="52"/>
  <c r="D16" i="52"/>
  <c r="E16" i="52"/>
  <c r="F16" i="52"/>
  <c r="H16" i="52"/>
  <c r="F53" i="103" l="1"/>
  <c r="F43" i="104"/>
  <c r="F44" i="104" s="1"/>
  <c r="F49" i="104" s="1"/>
  <c r="E52" i="103"/>
  <c r="D51" i="103"/>
  <c r="F58" i="103"/>
  <c r="N52" i="53"/>
  <c r="B54" i="53"/>
  <c r="N54" i="53" s="1"/>
  <c r="N53" i="53" s="1"/>
  <c r="M23" i="87"/>
  <c r="M22" i="87"/>
  <c r="M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J15" i="52"/>
  <c r="G15" i="52"/>
  <c r="H15" i="52"/>
  <c r="I15" i="52"/>
  <c r="C15" i="52"/>
  <c r="B15" i="52"/>
  <c r="D15" i="52"/>
  <c r="K15" i="52"/>
  <c r="E15" i="52"/>
  <c r="L15" i="52"/>
  <c r="E53" i="103" l="1"/>
  <c r="E43" i="104"/>
  <c r="E44" i="104" s="1"/>
  <c r="E49" i="104"/>
  <c r="C51" i="103"/>
  <c r="E58" i="103"/>
  <c r="T12" i="86"/>
  <c r="C53" i="104" l="1"/>
  <c r="C56" i="104"/>
  <c r="D53" i="104"/>
  <c r="C62" i="103"/>
  <c r="O51" i="103"/>
  <c r="D56" i="104" l="1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C65" i="103"/>
  <c r="C52" i="103" s="1"/>
  <c r="D62" i="103"/>
  <c r="C53" i="103" l="1"/>
  <c r="C43" i="104"/>
  <c r="D65" i="103"/>
  <c r="D52" i="103" s="1"/>
  <c r="D43" i="104" s="1"/>
  <c r="D44" i="104" s="1"/>
  <c r="D49" i="104" s="1"/>
  <c r="E62" i="103"/>
  <c r="F62" i="103" s="1"/>
  <c r="G62" i="103" s="1"/>
  <c r="H62" i="103" s="1"/>
  <c r="I62" i="103" s="1"/>
  <c r="J62" i="103" s="1"/>
  <c r="K62" i="103" s="1"/>
  <c r="L62" i="103" s="1"/>
  <c r="M62" i="103" s="1"/>
  <c r="N62" i="103" s="1"/>
  <c r="C63" i="103"/>
  <c r="D54" i="104" l="1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C44" i="104"/>
  <c r="C49" i="104" s="1"/>
  <c r="O49" i="104" s="1"/>
  <c r="C54" i="104"/>
  <c r="O43" i="104"/>
  <c r="O52" i="103"/>
  <c r="D53" i="103"/>
  <c r="C58" i="103"/>
  <c r="D63" i="103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O44" i="104" l="1"/>
  <c r="O56" i="103"/>
  <c r="D57" i="103"/>
  <c r="O53" i="103"/>
  <c r="O25" i="104" l="1"/>
  <c r="D26" i="104"/>
  <c r="D58" i="103"/>
  <c r="O58" i="103" s="1"/>
  <c r="O57" i="103"/>
  <c r="O26" i="104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F15" i="51"/>
  <c r="I15" i="51"/>
  <c r="L15" i="51"/>
  <c r="M15" i="51"/>
  <c r="O15" i="51"/>
  <c r="R15" i="51"/>
  <c r="S15" i="51"/>
  <c r="C39" i="51"/>
  <c r="D39" i="51"/>
  <c r="F39" i="51"/>
  <c r="G39" i="51"/>
  <c r="I39" i="51"/>
  <c r="J39" i="51"/>
  <c r="L39" i="51"/>
  <c r="O39" i="51"/>
  <c r="R39" i="51"/>
  <c r="C16" i="51"/>
  <c r="F16" i="51"/>
  <c r="I16" i="51"/>
  <c r="L16" i="51"/>
  <c r="M16" i="51"/>
  <c r="O16" i="51"/>
  <c r="P16" i="51"/>
  <c r="R16" i="51"/>
  <c r="S16" i="51"/>
  <c r="C40" i="51"/>
  <c r="F40" i="51"/>
  <c r="G40" i="51"/>
  <c r="I40" i="51"/>
  <c r="L40" i="51"/>
  <c r="M40" i="51"/>
  <c r="O40" i="51"/>
  <c r="P40" i="51"/>
  <c r="R40" i="51"/>
  <c r="S40" i="51"/>
  <c r="C17" i="51"/>
  <c r="D17" i="51"/>
  <c r="F17" i="51"/>
  <c r="I17" i="51"/>
  <c r="L17" i="51"/>
  <c r="O17" i="51"/>
  <c r="R17" i="51"/>
  <c r="C41" i="51"/>
  <c r="F41" i="51"/>
  <c r="G41" i="51"/>
  <c r="I41" i="51"/>
  <c r="J41" i="51"/>
  <c r="L41" i="51"/>
  <c r="M41" i="51"/>
  <c r="O41" i="51"/>
  <c r="P41" i="51"/>
  <c r="R41" i="51"/>
  <c r="S41" i="51"/>
  <c r="C9" i="51"/>
  <c r="F9" i="51"/>
  <c r="G9" i="51"/>
  <c r="I9" i="51"/>
  <c r="J9" i="51"/>
  <c r="L9" i="51"/>
  <c r="M9" i="51"/>
  <c r="O9" i="51"/>
  <c r="P9" i="51"/>
  <c r="R9" i="51"/>
  <c r="S9" i="51"/>
  <c r="C33" i="51"/>
  <c r="D33" i="51"/>
  <c r="E33" i="51" s="1"/>
  <c r="F33" i="51"/>
  <c r="G33" i="51"/>
  <c r="I33" i="51"/>
  <c r="L33" i="51"/>
  <c r="M33" i="51"/>
  <c r="O33" i="51"/>
  <c r="P33" i="51"/>
  <c r="R33" i="51"/>
  <c r="S33" i="51"/>
  <c r="C10" i="51"/>
  <c r="D10" i="51"/>
  <c r="F10" i="51"/>
  <c r="I10" i="51"/>
  <c r="L10" i="51"/>
  <c r="O10" i="51"/>
  <c r="R10" i="51"/>
  <c r="C34" i="51"/>
  <c r="D34" i="51"/>
  <c r="F34" i="51"/>
  <c r="G34" i="51"/>
  <c r="I34" i="51"/>
  <c r="J34" i="51"/>
  <c r="L34" i="51"/>
  <c r="M34" i="51"/>
  <c r="O34" i="51"/>
  <c r="P34" i="51"/>
  <c r="R34" i="51"/>
  <c r="S34" i="51"/>
  <c r="C11" i="51"/>
  <c r="F11" i="51"/>
  <c r="G11" i="51"/>
  <c r="I11" i="51"/>
  <c r="J11" i="51"/>
  <c r="L11" i="51"/>
  <c r="M11" i="51"/>
  <c r="O11" i="51"/>
  <c r="P11" i="51"/>
  <c r="R11" i="51"/>
  <c r="S11" i="51"/>
  <c r="C35" i="51"/>
  <c r="F35" i="51"/>
  <c r="I35" i="51"/>
  <c r="L35" i="51"/>
  <c r="O35" i="51"/>
  <c r="R35" i="5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F47" i="51" l="1"/>
  <c r="R23" i="51"/>
  <c r="O23" i="51"/>
  <c r="C47" i="51"/>
  <c r="O45" i="51"/>
  <c r="F21" i="51"/>
  <c r="C46" i="51"/>
  <c r="F46" i="51"/>
  <c r="F48" i="51" s="1"/>
  <c r="I45" i="51"/>
  <c r="I46" i="51"/>
  <c r="C21" i="51"/>
  <c r="F45" i="51"/>
  <c r="L45" i="51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F24" i="51" s="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H45" i="51" s="1"/>
  <c r="G45" i="51" s="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Q23" i="51" l="1"/>
  <c r="P23" i="51" s="1"/>
  <c r="K46" i="51"/>
  <c r="J46" i="51" s="1"/>
  <c r="K21" i="51"/>
  <c r="E21" i="51"/>
  <c r="T22" i="51"/>
  <c r="S22" i="51" s="1"/>
  <c r="H46" i="51"/>
  <c r="G46" i="51" s="1"/>
  <c r="N22" i="51"/>
  <c r="Q22" i="51"/>
  <c r="H47" i="51"/>
  <c r="G47" i="51" s="1"/>
  <c r="E47" i="51"/>
  <c r="D47" i="51" s="1"/>
  <c r="K22" i="51"/>
  <c r="J22" i="51" s="1"/>
  <c r="R24" i="51"/>
  <c r="T21" i="51"/>
  <c r="S21" i="51" s="1"/>
  <c r="E23" i="51"/>
  <c r="B6" i="53"/>
  <c r="L48" i="51"/>
  <c r="K6" i="53"/>
  <c r="N45" i="51"/>
  <c r="H23" i="51"/>
  <c r="G23" i="51" s="1"/>
  <c r="L24" i="51"/>
  <c r="F6" i="53"/>
  <c r="Q47" i="51"/>
  <c r="P47" i="51" s="1"/>
  <c r="H6" i="53"/>
  <c r="K47" i="51"/>
  <c r="J47" i="51" s="1"/>
  <c r="L6" i="53"/>
  <c r="I24" i="51"/>
  <c r="I6" i="53"/>
  <c r="P21" i="51"/>
  <c r="O24" i="51"/>
  <c r="C6" i="53"/>
  <c r="N21" i="51"/>
  <c r="M21" i="51" s="1"/>
  <c r="H21" i="51"/>
  <c r="H48" i="51"/>
  <c r="G48" i="51" s="1"/>
  <c r="E6" i="53"/>
  <c r="M23" i="51"/>
  <c r="D45" i="51"/>
  <c r="C48" i="51"/>
  <c r="N47" i="51"/>
  <c r="M47" i="51" s="1"/>
  <c r="G22" i="51"/>
  <c r="J21" i="51"/>
  <c r="M6" i="53"/>
  <c r="K23" i="51"/>
  <c r="J23" i="51" s="1"/>
  <c r="T46" i="51"/>
  <c r="T48" i="51" s="1"/>
  <c r="D6" i="53"/>
  <c r="G6" i="53"/>
  <c r="E46" i="51"/>
  <c r="D46" i="51" s="1"/>
  <c r="S47" i="51"/>
  <c r="N46" i="51"/>
  <c r="M46" i="51" s="1"/>
  <c r="S45" i="51"/>
  <c r="R48" i="51"/>
  <c r="N23" i="51"/>
  <c r="T23" i="51"/>
  <c r="S23" i="51" s="1"/>
  <c r="Q45" i="51"/>
  <c r="J6" i="53"/>
  <c r="M22" i="51"/>
  <c r="Q24" i="51"/>
  <c r="Q46" i="51"/>
  <c r="P46" i="51" s="1"/>
  <c r="K45" i="51"/>
  <c r="P22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E48" i="51" l="1"/>
  <c r="D48" i="51" s="1"/>
  <c r="S46" i="51"/>
  <c r="K24" i="51"/>
  <c r="J24" i="51" s="1"/>
  <c r="P24" i="51"/>
  <c r="K48" i="51"/>
  <c r="J48" i="51" s="1"/>
  <c r="J45" i="51"/>
  <c r="T24" i="51"/>
  <c r="S24" i="51" s="1"/>
  <c r="S48" i="51"/>
  <c r="N48" i="51"/>
  <c r="M48" i="51" s="1"/>
  <c r="M45" i="51"/>
  <c r="H24" i="51"/>
  <c r="G24" i="51" s="1"/>
  <c r="G21" i="51"/>
  <c r="N24" i="51"/>
  <c r="M24" i="51" s="1"/>
  <c r="N56" i="54"/>
  <c r="N55" i="54" s="1"/>
  <c r="Q48" i="51"/>
  <c r="P48" i="51" s="1"/>
  <c r="P45" i="51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B5" i="54" l="1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P6" i="53" l="1"/>
  <c r="N5" i="54"/>
  <c r="P6" i="54"/>
  <c r="AA48" i="51"/>
  <c r="Z48" i="51" l="1"/>
  <c r="AA50" i="51"/>
  <c r="D12" i="89" l="1"/>
  <c r="D15" i="89" s="1"/>
  <c r="N12" i="89"/>
  <c r="N15" i="89" s="1"/>
  <c r="M12" i="89"/>
  <c r="M15" i="89" s="1"/>
  <c r="L12" i="89"/>
  <c r="L15" i="89" s="1"/>
  <c r="E12" i="89"/>
  <c r="E15" i="89" s="1"/>
  <c r="F12" i="89"/>
  <c r="F15" i="89" s="1"/>
  <c r="G12" i="89"/>
  <c r="G15" i="89" s="1"/>
  <c r="H12" i="89"/>
  <c r="H15" i="89" s="1"/>
  <c r="I12" i="89"/>
  <c r="I15" i="89" s="1"/>
  <c r="J12" i="89"/>
  <c r="J15" i="89" s="1"/>
  <c r="K12" i="89"/>
  <c r="K15" i="89" s="1"/>
  <c r="O15" i="89" l="1"/>
  <c r="C27" i="103" l="1"/>
  <c r="C32" i="103" l="1"/>
  <c r="D32" i="103" s="1"/>
  <c r="D35" i="103" s="1"/>
  <c r="D22" i="103" s="1"/>
  <c r="C35" i="103" l="1"/>
  <c r="E32" i="103"/>
  <c r="F32" i="103" s="1"/>
  <c r="G32" i="103" s="1"/>
  <c r="O21" i="103"/>
  <c r="E21" i="104"/>
  <c r="E22" i="104" s="1"/>
  <c r="E27" i="104" s="1"/>
  <c r="C22" i="103" l="1"/>
  <c r="C21" i="104" s="1"/>
  <c r="C22" i="104" s="1"/>
  <c r="C33" i="103"/>
  <c r="E23" i="103"/>
  <c r="E28" i="103" s="1"/>
  <c r="G22" i="103"/>
  <c r="H32" i="103"/>
  <c r="F21" i="104"/>
  <c r="F22" i="104" s="1"/>
  <c r="F27" i="104" s="1"/>
  <c r="C23" i="103" l="1"/>
  <c r="C28" i="103" s="1"/>
  <c r="D33" i="103"/>
  <c r="D21" i="104"/>
  <c r="D22" i="104" s="1"/>
  <c r="D27" i="104" s="1"/>
  <c r="G23" i="103"/>
  <c r="G28" i="103" s="1"/>
  <c r="G21" i="104"/>
  <c r="G22" i="104" s="1"/>
  <c r="G27" i="104" s="1"/>
  <c r="C27" i="104"/>
  <c r="F23" i="103"/>
  <c r="F28" i="103" s="1"/>
  <c r="I32" i="103"/>
  <c r="H22" i="103"/>
  <c r="E33" i="103" l="1"/>
  <c r="F33" i="103" s="1"/>
  <c r="G33" i="103" s="1"/>
  <c r="D23" i="103"/>
  <c r="D26" i="103" s="1"/>
  <c r="D27" i="103" s="1"/>
  <c r="H23" i="103"/>
  <c r="H28" i="103" s="1"/>
  <c r="H21" i="104"/>
  <c r="H22" i="104" s="1"/>
  <c r="H27" i="104" s="1"/>
  <c r="H33" i="103"/>
  <c r="J32" i="103"/>
  <c r="I22" i="103"/>
  <c r="O26" i="103" l="1"/>
  <c r="I33" i="103"/>
  <c r="I21" i="104"/>
  <c r="I22" i="104" s="1"/>
  <c r="I27" i="104" s="1"/>
  <c r="O27" i="103"/>
  <c r="D28" i="103"/>
  <c r="K32" i="103"/>
  <c r="J22" i="103"/>
  <c r="I23" i="103"/>
  <c r="J23" i="103" l="1"/>
  <c r="J28" i="103" s="1"/>
  <c r="J21" i="104"/>
  <c r="J33" i="103"/>
  <c r="I28" i="103"/>
  <c r="L32" i="103"/>
  <c r="K22" i="103"/>
  <c r="K21" i="104" s="1"/>
  <c r="K22" i="104" s="1"/>
  <c r="K27" i="104" s="1"/>
  <c r="J22" i="104" l="1"/>
  <c r="K33" i="103"/>
  <c r="K23" i="103"/>
  <c r="L22" i="103"/>
  <c r="M32" i="103"/>
  <c r="L23" i="103" l="1"/>
  <c r="L28" i="103" s="1"/>
  <c r="L21" i="104"/>
  <c r="L22" i="104" s="1"/>
  <c r="L27" i="104" s="1"/>
  <c r="J27" i="104"/>
  <c r="L33" i="103"/>
  <c r="N32" i="103"/>
  <c r="N22" i="103" s="1"/>
  <c r="M22" i="103"/>
  <c r="M21" i="104" s="1"/>
  <c r="M22" i="104" s="1"/>
  <c r="M27" i="104" s="1"/>
  <c r="K28" i="103"/>
  <c r="N23" i="103" l="1"/>
  <c r="N28" i="103" s="1"/>
  <c r="N21" i="104"/>
  <c r="M33" i="103"/>
  <c r="N33" i="103" s="1"/>
  <c r="M23" i="103"/>
  <c r="O22" i="103"/>
  <c r="N22" i="104" l="1"/>
  <c r="O21" i="104"/>
  <c r="M28" i="103"/>
  <c r="O28" i="103" s="1"/>
  <c r="O23" i="103"/>
  <c r="N27" i="104" l="1"/>
  <c r="O27" i="104" s="1"/>
  <c r="O22" i="104"/>
</calcChain>
</file>

<file path=xl/sharedStrings.xml><?xml version="1.0" encoding="utf-8"?>
<sst xmlns="http://schemas.openxmlformats.org/spreadsheetml/2006/main" count="679" uniqueCount="175">
  <si>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</si>
  <si>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</si>
  <si>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</si>
  <si>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</si>
  <si>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</si>
  <si>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</si>
  <si>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</si>
  <si>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</si>
  <si>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</si>
  <si>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</si>
  <si>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</si>
  <si>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</si>
  <si>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</si>
  <si>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</si>
  <si>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</si>
  <si>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</si>
  <si>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</si>
  <si>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</si>
  <si>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</si>
  <si>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</si>
  <si>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</si>
  <si>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</si>
  <si>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</si>
  <si>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</si>
  <si>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</si>
  <si>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</si>
  <si>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</si>
  <si>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</si>
  <si>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</si>
  <si>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</si>
  <si>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</si>
  <si>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</si>
  <si>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</si>
  <si>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</si>
  <si>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</si>
  <si>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</si>
  <si>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</si>
  <si>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</si>
  <si>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</si>
  <si>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</si>
  <si>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</si>
  <si>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</si>
  <si>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</si>
  <si>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</si>
  <si>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</si>
  <si>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</si>
  <si>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</si>
  <si>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</si>
  <si>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</si>
  <si>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</si>
  <si>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</si>
  <si>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</si>
  <si>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</si>
  <si>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</si>
  <si>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</si>
  <si>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</si>
  <si>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</si>
  <si>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</si>
  <si>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</si>
  <si>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</si>
  <si>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</si>
  <si>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</si>
  <si>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</si>
  <si>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</si>
  <si>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</si>
  <si>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</si>
  <si>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</si>
  <si>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</si>
  <si>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</si>
  <si>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</si>
  <si>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</si>
  <si>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</si>
  <si>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</si>
  <si>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</si>
  <si>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</si>
  <si>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</si>
  <si>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</si>
  <si>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</si>
  <si>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</si>
  <si>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</si>
  <si>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</si>
  <si>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</si>
  <si>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</si>
  <si>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</si>
  <si>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</si>
  <si>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</si>
  <si>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</si>
  <si>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</si>
  <si>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</si>
  <si>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</si>
  <si>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</si>
  <si>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</si>
  <si>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</si>
  <si>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</si>
  <si>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</si>
  <si>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</si>
  <si>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</si>
  <si>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</si>
  <si>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</si>
  <si>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</si>
  <si>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</si>
  <si>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</si>
  <si>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</si>
  <si>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</si>
  <si>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</si>
  <si>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</si>
  <si>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</si>
  <si>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</si>
  <si>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</si>
  <si>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</si>
  <si>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</si>
  <si>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</si>
  <si>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</si>
  <si>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</si>
  <si>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</si>
  <si>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</si>
  <si>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</si>
  <si>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</si>
  <si>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</si>
  <si>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</si>
  <si>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</si>
  <si>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</si>
  <si>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</si>
  <si>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</si>
  <si>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</si>
  <si>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</si>
  <si>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</si>
  <si>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</si>
  <si>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Totale II° sem</t>
  </si>
  <si>
    <t>min/uomo</t>
  </si>
  <si>
    <t>min/macchina</t>
  </si>
  <si>
    <t>Fase 2</t>
  </si>
  <si>
    <t>Fase 1</t>
  </si>
  <si>
    <t>Fase 3</t>
  </si>
  <si>
    <t>Fase 4</t>
  </si>
  <si>
    <t>Fase 5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</si>
  <si>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</si>
  <si>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</si>
  <si>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</si>
  <si>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</si>
  <si>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</si>
  <si>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</si>
  <si>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</si>
  <si>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Uomini diretti a disposizione</t>
  </si>
  <si>
    <t>gg lavorabili uomo</t>
  </si>
  <si>
    <t>gg inventario uomo</t>
  </si>
  <si>
    <t>assenteismo individuale</t>
  </si>
  <si>
    <t>ore turno uomo</t>
  </si>
  <si>
    <t>ore straordinario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</si>
  <si>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</si>
  <si>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</si>
  <si>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</si>
  <si>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</si>
  <si>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</si>
  <si>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</si>
  <si>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</si>
  <si>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</si>
  <si>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</si>
  <si>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</si>
  <si>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</si>
  <si>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</si>
  <si>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</si>
  <si>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</si>
  <si>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</si>
  <si>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</si>
  <si>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</si>
  <si>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</si>
  <si>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</si>
  <si>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</si>
  <si>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All. 1 - Cicli di lavorazione</t>
  </si>
  <si>
    <t>Tabella 4 - Budget quantità da produrre</t>
  </si>
  <si>
    <t>Tab. 5 - Check capacità produttiva UOMO</t>
  </si>
  <si>
    <t>Tab. 6 - Check capacità produttiva MACCHINA</t>
  </si>
  <si>
    <t>All. 2 - Dati per riparto costo del lavoro</t>
  </si>
  <si>
    <t>All. 3 - Dati per calcolo tempo macchina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</si>
</sst>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</numFmts>
  <fonts count="16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b/>
      <sz val="10"/>
      <name val="PT Sans Narrow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372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3" xfId="0" applyFont="1" applyBorder="1"/>
    <xf numFmtId="0" fontId="6" fillId="0" borderId="3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21" xfId="0" applyFont="1" applyBorder="1"/>
    <xf numFmtId="168" fontId="6" fillId="0" borderId="0" xfId="5" applyNumberFormat="1" applyFont="1" applyBorder="1"/>
    <xf numFmtId="168" fontId="6" fillId="5" borderId="0" xfId="0" applyNumberFormat="1" applyFont="1" applyFill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4" borderId="19" xfId="0" applyNumberFormat="1" applyFont="1" applyFill="1" applyBorder="1" applyAlignment="1">
      <alignment vertical="center"/>
    </xf>
    <xf numFmtId="9" fontId="6" fillId="4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4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4" borderId="30" xfId="0" applyNumberFormat="1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9" fontId="6" fillId="4" borderId="6" xfId="0" applyNumberFormat="1" applyFont="1" applyFill="1" applyBorder="1" applyAlignment="1">
      <alignment horizontal="center" vertical="center"/>
    </xf>
    <xf numFmtId="9" fontId="6" fillId="4" borderId="5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4" borderId="49" xfId="0" applyNumberFormat="1" applyFont="1" applyFill="1" applyBorder="1" applyAlignment="1">
      <alignment horizontal="center" vertical="center"/>
    </xf>
    <xf numFmtId="168" fontId="6" fillId="0" borderId="52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4" borderId="19" xfId="2" applyNumberFormat="1" applyFont="1" applyFill="1" applyBorder="1" applyAlignment="1">
      <alignment vertical="center"/>
    </xf>
    <xf numFmtId="165" fontId="6" fillId="4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4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4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8" borderId="54" xfId="0" applyFont="1" applyFill="1" applyBorder="1" applyAlignment="1">
      <alignment vertical="center"/>
    </xf>
    <xf numFmtId="168" fontId="6" fillId="0" borderId="56" xfId="0" applyNumberFormat="1" applyFont="1" applyBorder="1" applyAlignment="1">
      <alignment vertical="center"/>
    </xf>
    <xf numFmtId="168" fontId="6" fillId="8" borderId="20" xfId="0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horizontal="center" vertical="center"/>
    </xf>
    <xf numFmtId="165" fontId="6" fillId="8" borderId="20" xfId="2" applyNumberFormat="1" applyFont="1" applyFill="1" applyBorder="1" applyAlignment="1">
      <alignment horizontal="center" vertical="center"/>
    </xf>
    <xf numFmtId="168" fontId="6" fillId="0" borderId="56" xfId="5" applyNumberFormat="1" applyFont="1" applyBorder="1" applyAlignment="1">
      <alignment vertical="center"/>
    </xf>
    <xf numFmtId="168" fontId="6" fillId="8" borderId="20" xfId="5" applyNumberFormat="1" applyFont="1" applyFill="1" applyBorder="1" applyAlignment="1">
      <alignment vertical="center"/>
    </xf>
    <xf numFmtId="9" fontId="6" fillId="0" borderId="56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168" fontId="6" fillId="0" borderId="56" xfId="5" applyNumberFormat="1" applyFont="1" applyBorder="1" applyAlignment="1">
      <alignment horizontal="center" vertical="center"/>
    </xf>
    <xf numFmtId="168" fontId="6" fillId="8" borderId="20" xfId="5" applyNumberFormat="1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8" borderId="20" xfId="0" applyFont="1" applyFill="1" applyBorder="1" applyAlignment="1">
      <alignment vertical="center"/>
    </xf>
    <xf numFmtId="168" fontId="7" fillId="0" borderId="57" xfId="0" applyNumberFormat="1" applyFont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168" fontId="7" fillId="8" borderId="59" xfId="0" applyNumberFormat="1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0" borderId="48" xfId="0" applyNumberFormat="1" applyFont="1" applyBorder="1" applyAlignment="1">
      <alignment vertical="center"/>
    </xf>
    <xf numFmtId="168" fontId="7" fillId="8" borderId="61" xfId="0" applyNumberFormat="1" applyFont="1" applyFill="1" applyBorder="1" applyAlignment="1">
      <alignment vertical="center"/>
    </xf>
    <xf numFmtId="0" fontId="6" fillId="9" borderId="54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61" xfId="0" applyNumberFormat="1" applyFont="1" applyFill="1" applyBorder="1" applyAlignment="1">
      <alignment vertical="center"/>
    </xf>
    <xf numFmtId="9" fontId="6" fillId="9" borderId="20" xfId="4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168" fontId="7" fillId="9" borderId="59" xfId="0" applyNumberFormat="1" applyFont="1" applyFill="1" applyBorder="1" applyAlignment="1">
      <alignment vertical="center"/>
    </xf>
    <xf numFmtId="165" fontId="6" fillId="4" borderId="56" xfId="2" applyNumberFormat="1" applyFont="1" applyFill="1" applyBorder="1" applyAlignment="1">
      <alignment horizontal="center" vertical="center"/>
    </xf>
    <xf numFmtId="164" fontId="6" fillId="4" borderId="19" xfId="5" applyFont="1" applyFill="1" applyBorder="1" applyAlignment="1">
      <alignment horizontal="center" vertical="center"/>
    </xf>
    <xf numFmtId="9" fontId="7" fillId="0" borderId="56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8" borderId="20" xfId="0" applyNumberFormat="1" applyFont="1" applyFill="1" applyBorder="1" applyAlignment="1">
      <alignment horizontal="center" vertical="center"/>
    </xf>
    <xf numFmtId="9" fontId="7" fillId="4" borderId="19" xfId="0" applyNumberFormat="1" applyFont="1" applyFill="1" applyBorder="1" applyAlignment="1">
      <alignment horizontal="center" vertical="center"/>
    </xf>
    <xf numFmtId="9" fontId="7" fillId="9" borderId="20" xfId="0" applyNumberFormat="1" applyFont="1" applyFill="1" applyBorder="1" applyAlignment="1">
      <alignment horizontal="center" vertical="center"/>
    </xf>
    <xf numFmtId="9" fontId="7" fillId="0" borderId="56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8" borderId="20" xfId="4" applyFont="1" applyFill="1" applyBorder="1" applyAlignment="1">
      <alignment horizontal="center" vertical="center"/>
    </xf>
    <xf numFmtId="9" fontId="7" fillId="4" borderId="56" xfId="4" applyFont="1" applyFill="1" applyBorder="1" applyAlignment="1">
      <alignment horizontal="center" vertical="center"/>
    </xf>
    <xf numFmtId="9" fontId="7" fillId="9" borderId="20" xfId="4" applyFont="1" applyFill="1" applyBorder="1" applyAlignment="1">
      <alignment horizontal="center" vertical="center"/>
    </xf>
    <xf numFmtId="0" fontId="6" fillId="4" borderId="56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6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56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9" borderId="20" xfId="4" applyNumberFormat="1" applyFont="1" applyFill="1" applyBorder="1" applyAlignment="1">
      <alignment horizontal="center" vertical="center"/>
    </xf>
    <xf numFmtId="10" fontId="7" fillId="0" borderId="57" xfId="4" applyNumberFormat="1" applyFont="1" applyBorder="1" applyAlignment="1">
      <alignment vertical="center"/>
    </xf>
    <xf numFmtId="10" fontId="7" fillId="0" borderId="58" xfId="4" applyNumberFormat="1" applyFont="1" applyBorder="1" applyAlignment="1">
      <alignment vertical="center"/>
    </xf>
    <xf numFmtId="10" fontId="7" fillId="9" borderId="59" xfId="4" applyNumberFormat="1" applyFont="1" applyFill="1" applyBorder="1" applyAlignment="1">
      <alignment vertical="center"/>
    </xf>
    <xf numFmtId="0" fontId="6" fillId="0" borderId="4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55" xfId="0" applyFont="1" applyBorder="1"/>
    <xf numFmtId="168" fontId="6" fillId="0" borderId="9" xfId="5" applyNumberFormat="1" applyFont="1" applyBorder="1"/>
    <xf numFmtId="168" fontId="6" fillId="0" borderId="43" xfId="5" applyNumberFormat="1" applyFont="1" applyBorder="1"/>
    <xf numFmtId="0" fontId="7" fillId="0" borderId="63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4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4" borderId="6" xfId="0" applyNumberFormat="1" applyFont="1" applyFill="1" applyBorder="1" applyAlignment="1">
      <alignment horizontal="center"/>
    </xf>
    <xf numFmtId="0" fontId="6" fillId="0" borderId="63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4" borderId="21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4" xfId="0" applyFont="1" applyBorder="1" applyAlignment="1">
      <alignment horizontal="left"/>
    </xf>
    <xf numFmtId="0" fontId="7" fillId="0" borderId="47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6" fillId="0" borderId="4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43" xfId="5" applyFont="1" applyFill="1" applyBorder="1" applyAlignment="1"/>
    <xf numFmtId="164" fontId="6" fillId="0" borderId="17" xfId="5" applyFont="1" applyFill="1" applyBorder="1" applyAlignment="1"/>
    <xf numFmtId="0" fontId="7" fillId="3" borderId="35" xfId="0" applyFont="1" applyFill="1" applyBorder="1" applyAlignment="1">
      <alignment horizontal="center"/>
    </xf>
    <xf numFmtId="3" fontId="6" fillId="3" borderId="43" xfId="0" applyNumberFormat="1" applyFont="1" applyFill="1" applyBorder="1"/>
    <xf numFmtId="164" fontId="6" fillId="3" borderId="43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2" fillId="7" borderId="38" xfId="0" applyFont="1" applyFill="1" applyBorder="1" applyAlignment="1">
      <alignment vertical="center"/>
    </xf>
    <xf numFmtId="165" fontId="6" fillId="4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45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0" borderId="65" xfId="0" applyFont="1" applyBorder="1" applyAlignment="1">
      <alignment vertical="center"/>
    </xf>
    <xf numFmtId="0" fontId="6" fillId="0" borderId="56" xfId="0" quotePrefix="1" applyFont="1" applyBorder="1" applyAlignment="1">
      <alignment vertical="center"/>
    </xf>
    <xf numFmtId="0" fontId="7" fillId="0" borderId="60" xfId="0" quotePrefix="1" applyFont="1" applyBorder="1" applyAlignment="1">
      <alignment vertical="center"/>
    </xf>
    <xf numFmtId="0" fontId="6" fillId="9" borderId="37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6" fillId="0" borderId="42" xfId="0" applyNumberFormat="1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165" fontId="7" fillId="9" borderId="61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4" borderId="0" xfId="0" applyNumberFormat="1" applyFont="1" applyFill="1" applyAlignment="1">
      <alignment horizontal="right" vertical="center"/>
    </xf>
    <xf numFmtId="9" fontId="7" fillId="0" borderId="63" xfId="0" applyNumberFormat="1" applyFont="1" applyBorder="1" applyAlignment="1">
      <alignment horizontal="center" vertical="center"/>
    </xf>
    <xf numFmtId="9" fontId="7" fillId="0" borderId="66" xfId="0" applyNumberFormat="1" applyFont="1" applyBorder="1" applyAlignment="1">
      <alignment horizontal="center" vertical="center"/>
    </xf>
    <xf numFmtId="0" fontId="6" fillId="6" borderId="54" xfId="0" applyFont="1" applyFill="1" applyBorder="1" applyAlignment="1">
      <alignment vertical="center"/>
    </xf>
    <xf numFmtId="168" fontId="6" fillId="6" borderId="20" xfId="0" applyNumberFormat="1" applyFont="1" applyFill="1" applyBorder="1" applyAlignment="1">
      <alignment vertical="center"/>
    </xf>
    <xf numFmtId="165" fontId="6" fillId="6" borderId="20" xfId="2" applyNumberFormat="1" applyFont="1" applyFill="1" applyBorder="1" applyAlignment="1">
      <alignment horizontal="center" vertical="center"/>
    </xf>
    <xf numFmtId="168" fontId="6" fillId="6" borderId="20" xfId="5" applyNumberFormat="1" applyFont="1" applyFill="1" applyBorder="1" applyAlignment="1">
      <alignment vertical="center"/>
    </xf>
    <xf numFmtId="168" fontId="7" fillId="6" borderId="61" xfId="0" applyNumberFormat="1" applyFont="1" applyFill="1" applyBorder="1" applyAlignment="1">
      <alignment vertical="center"/>
    </xf>
    <xf numFmtId="9" fontId="7" fillId="6" borderId="39" xfId="0" applyNumberFormat="1" applyFont="1" applyFill="1" applyBorder="1" applyAlignment="1">
      <alignment horizontal="center" vertical="center"/>
    </xf>
    <xf numFmtId="168" fontId="6" fillId="0" borderId="56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165" fontId="6" fillId="0" borderId="42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43" xfId="2" applyNumberFormat="1" applyFont="1" applyBorder="1" applyAlignment="1">
      <alignment vertical="center"/>
    </xf>
    <xf numFmtId="169" fontId="0" fillId="0" borderId="0" xfId="0" applyNumberFormat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2" fillId="0" borderId="0" xfId="0" applyFont="1"/>
    <xf numFmtId="0" fontId="6" fillId="0" borderId="56" xfId="0" quotePrefix="1" applyFont="1" applyBorder="1"/>
    <xf numFmtId="0" fontId="7" fillId="0" borderId="60" xfId="0" quotePrefix="1" applyFont="1" applyBorder="1"/>
    <xf numFmtId="168" fontId="5" fillId="0" borderId="0" xfId="5" applyNumberFormat="1" applyFont="1"/>
    <xf numFmtId="168" fontId="5" fillId="0" borderId="43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168" fontId="5" fillId="0" borderId="7" xfId="5" applyNumberFormat="1" applyFont="1" applyBorder="1"/>
    <xf numFmtId="0" fontId="5" fillId="0" borderId="26" xfId="0" applyFont="1" applyBorder="1" applyAlignment="1">
      <alignment horizontal="center"/>
    </xf>
    <xf numFmtId="0" fontId="5" fillId="0" borderId="56" xfId="0" applyFont="1" applyBorder="1"/>
    <xf numFmtId="0" fontId="15" fillId="0" borderId="64" xfId="0" applyFont="1" applyBorder="1" applyAlignment="1">
      <alignment horizontal="left" vertical="center"/>
    </xf>
    <xf numFmtId="0" fontId="15" fillId="0" borderId="55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43" xfId="5" applyNumberFormat="1" applyFont="1" applyBorder="1" applyAlignment="1">
      <alignment horizontal="center" vertical="center"/>
    </xf>
    <xf numFmtId="0" fontId="15" fillId="0" borderId="63" xfId="0" applyFont="1" applyBorder="1"/>
    <xf numFmtId="2" fontId="15" fillId="0" borderId="15" xfId="5" applyNumberFormat="1" applyFont="1" applyBorder="1" applyAlignment="1">
      <alignment horizontal="center"/>
    </xf>
    <xf numFmtId="2" fontId="15" fillId="0" borderId="17" xfId="5" applyNumberFormat="1" applyFont="1" applyBorder="1" applyAlignment="1">
      <alignment horizontal="center" vertical="center"/>
    </xf>
    <xf numFmtId="0" fontId="15" fillId="0" borderId="55" xfId="0" applyFont="1" applyBorder="1" applyAlignment="1">
      <alignment horizontal="left"/>
    </xf>
    <xf numFmtId="165" fontId="5" fillId="0" borderId="43" xfId="2" applyNumberFormat="1" applyFont="1" applyBorder="1" applyAlignment="1">
      <alignment horizontal="center" vertical="center"/>
    </xf>
    <xf numFmtId="0" fontId="5" fillId="0" borderId="63" xfId="0" applyFont="1" applyBorder="1"/>
    <xf numFmtId="0" fontId="15" fillId="0" borderId="62" xfId="0" applyFont="1" applyBorder="1" applyAlignment="1">
      <alignment horizontal="center" vertical="center"/>
    </xf>
    <xf numFmtId="168" fontId="15" fillId="0" borderId="35" xfId="5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3" xfId="0" applyFont="1" applyBorder="1" applyAlignment="1">
      <alignment horizontal="center"/>
    </xf>
    <xf numFmtId="1" fontId="5" fillId="0" borderId="43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4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56" xfId="0" quotePrefix="1" applyFont="1" applyBorder="1" applyAlignment="1">
      <alignment horizontal="right"/>
    </xf>
    <xf numFmtId="165" fontId="6" fillId="9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9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9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9" borderId="20" xfId="0" applyNumberFormat="1" applyFont="1" applyFill="1" applyBorder="1" applyAlignment="1">
      <alignment horizontal="right" vertical="center"/>
    </xf>
    <xf numFmtId="0" fontId="13" fillId="0" borderId="56" xfId="0" quotePrefix="1" applyFont="1" applyBorder="1"/>
    <xf numFmtId="165" fontId="13" fillId="0" borderId="0" xfId="2" applyNumberFormat="1" applyFont="1" applyBorder="1" applyAlignment="1">
      <alignment horizontal="center" vertical="center"/>
    </xf>
    <xf numFmtId="165" fontId="13" fillId="9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42" xfId="0" applyBorder="1"/>
    <xf numFmtId="0" fontId="0" fillId="0" borderId="43" xfId="0" applyBorder="1"/>
    <xf numFmtId="0" fontId="2" fillId="0" borderId="42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0" fontId="7" fillId="9" borderId="62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7" fillId="8" borderId="47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7" fillId="8" borderId="54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0" fontId="7" fillId="9" borderId="47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8" borderId="34" xfId="0" applyFont="1" applyFill="1" applyBorder="1" applyAlignment="1">
      <alignment horizontal="center"/>
    </xf>
    <xf numFmtId="0" fontId="7" fillId="8" borderId="47" xfId="0" applyFont="1" applyFill="1" applyBorder="1" applyAlignment="1">
      <alignment horizontal="center"/>
    </xf>
    <xf numFmtId="0" fontId="7" fillId="8" borderId="35" xfId="0" applyFont="1" applyFill="1" applyBorder="1" applyAlignment="1">
      <alignment horizontal="center"/>
    </xf>
    <xf numFmtId="0" fontId="7" fillId="8" borderId="6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10" borderId="34" xfId="0" applyFont="1" applyFill="1" applyBorder="1" applyAlignment="1">
      <alignment horizontal="center" vertical="center"/>
    </xf>
    <xf numFmtId="0" fontId="7" fillId="10" borderId="47" xfId="0" applyFont="1" applyFill="1" applyBorder="1" applyAlignment="1">
      <alignment horizontal="center" vertical="center"/>
    </xf>
    <xf numFmtId="0" fontId="7" fillId="10" borderId="35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168" fontId="15" fillId="11" borderId="62" xfId="5" applyNumberFormat="1" applyFont="1" applyFill="1" applyBorder="1" applyAlignment="1">
      <alignment horizontal="center"/>
    </xf>
    <xf numFmtId="168" fontId="15" fillId="11" borderId="35" xfId="5" applyNumberFormat="1" applyFont="1" applyFill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4'!$C$15:$N$15</c:f>
              <c:numCache>
                <c:formatCode>_-* #,##0_-;\-* #,##0_-;_-* "-"??_-;_-@_-</c:formatCode>
                <c:ptCount val="12"/>
                <c:pt idx="0">
                  <c:v>52198.030813963218</c:v>
                </c:pt>
                <c:pt idx="1">
                  <c:v>61002.600772020123</c:v>
                </c:pt>
                <c:pt idx="2">
                  <c:v>61002.600772020131</c:v>
                </c:pt>
                <c:pt idx="3">
                  <c:v>63907.486523068699</c:v>
                </c:pt>
                <c:pt idx="4">
                  <c:v>63907.486523068714</c:v>
                </c:pt>
                <c:pt idx="5">
                  <c:v>34858.629012582933</c:v>
                </c:pt>
                <c:pt idx="6">
                  <c:v>63907.486523068706</c:v>
                </c:pt>
                <c:pt idx="7">
                  <c:v>61002.600772020123</c:v>
                </c:pt>
                <c:pt idx="8">
                  <c:v>61002.600772020138</c:v>
                </c:pt>
                <c:pt idx="9">
                  <c:v>34858.629012582925</c:v>
                </c:pt>
                <c:pt idx="10">
                  <c:v>51363.459053081679</c:v>
                </c:pt>
                <c:pt idx="11">
                  <c:v>57070.510058979642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4'!$B$13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4'!$B$15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4'!$C$6:$N$6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4'!$C$28:$N$28</c:f>
              <c:numCache>
                <c:formatCode>_-* #,##0_-;\-* #,##0_-;_-* "-"??_-;_-@_-</c:formatCode>
                <c:ptCount val="12"/>
                <c:pt idx="0">
                  <c:v>3608.373268716542</c:v>
                </c:pt>
                <c:pt idx="1">
                  <c:v>3741.1687639396041</c:v>
                </c:pt>
                <c:pt idx="2">
                  <c:v>3919.3196574605345</c:v>
                </c:pt>
                <c:pt idx="3">
                  <c:v>3919.3196574605354</c:v>
                </c:pt>
                <c:pt idx="4">
                  <c:v>2137.8107222512008</c:v>
                </c:pt>
                <c:pt idx="5">
                  <c:v>3919.3196574605354</c:v>
                </c:pt>
                <c:pt idx="6">
                  <c:v>3741.1687639396023</c:v>
                </c:pt>
                <c:pt idx="7">
                  <c:v>3741.1687639396027</c:v>
                </c:pt>
                <c:pt idx="8">
                  <c:v>2137.8107222512008</c:v>
                </c:pt>
                <c:pt idx="9">
                  <c:v>3391.3508305762534</c:v>
                </c:pt>
                <c:pt idx="10">
                  <c:v>3768.1675895291683</c:v>
                </c:pt>
                <c:pt idx="11">
                  <c:v>4333.3927279585441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4'!$B$26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4'!$C$26:$N$26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5'!$C$10:$N$10</c:f>
              <c:numCache>
                <c:formatCode>_-* #,##0_-;\-* #,##0_-;_-* "-"??_-;_-@_-</c:formatCode>
                <c:ptCount val="12"/>
                <c:pt idx="0">
                  <c:v>13049.507703490804</c:v>
                </c:pt>
                <c:pt idx="1">
                  <c:v>15250.650193005031</c:v>
                </c:pt>
                <c:pt idx="2">
                  <c:v>15250.650193005033</c:v>
                </c:pt>
                <c:pt idx="3">
                  <c:v>15976.871630767175</c:v>
                </c:pt>
                <c:pt idx="4">
                  <c:v>15976.871630767178</c:v>
                </c:pt>
                <c:pt idx="5">
                  <c:v>8714.6572531457332</c:v>
                </c:pt>
                <c:pt idx="6">
                  <c:v>15976.871630767177</c:v>
                </c:pt>
                <c:pt idx="7">
                  <c:v>15250.650193005031</c:v>
                </c:pt>
                <c:pt idx="8">
                  <c:v>15250.650193005034</c:v>
                </c:pt>
                <c:pt idx="9">
                  <c:v>8714.6572531457314</c:v>
                </c:pt>
                <c:pt idx="10">
                  <c:v>12840.86476327042</c:v>
                </c:pt>
                <c:pt idx="11">
                  <c:v>14267.627514744911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5'!$B$17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14260.459574468085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6887.5234042553193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5'!$B$40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5'!$C$5:$N$5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5'!$C$40:$N$40</c:f>
              <c:numCache>
                <c:formatCode>_-* #,##0_-;\-* #,##0_-;_-* "-"??_-;_-@_-</c:formatCode>
                <c:ptCount val="12"/>
                <c:pt idx="0">
                  <c:v>1443.3493074866169</c:v>
                </c:pt>
                <c:pt idx="1">
                  <c:v>1496.4675055758416</c:v>
                </c:pt>
                <c:pt idx="2">
                  <c:v>1567.727862984214</c:v>
                </c:pt>
                <c:pt idx="3">
                  <c:v>1567.7278629842142</c:v>
                </c:pt>
                <c:pt idx="4">
                  <c:v>855.12428890048034</c:v>
                </c:pt>
                <c:pt idx="5">
                  <c:v>1567.7278629842142</c:v>
                </c:pt>
                <c:pt idx="6">
                  <c:v>1496.467505575841</c:v>
                </c:pt>
                <c:pt idx="7">
                  <c:v>1496.4675055758412</c:v>
                </c:pt>
                <c:pt idx="8">
                  <c:v>855.12428890048034</c:v>
                </c:pt>
                <c:pt idx="9">
                  <c:v>1356.5403322305015</c:v>
                </c:pt>
                <c:pt idx="10">
                  <c:v>1507.2670358116675</c:v>
                </c:pt>
                <c:pt idx="11">
                  <c:v>1733.3570911834177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5'!$B$47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5'!$C$47:$N$47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1600.6638297872339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773.08936170212769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6'!$C$10:$N$10</c:f>
              <c:numCache>
                <c:formatCode>_-* #,##0_-;\-* #,##0_-;_-* "-"??_-;_-@_-</c:formatCode>
                <c:ptCount val="12"/>
                <c:pt idx="0">
                  <c:v>1130.9573343025365</c:v>
                </c:pt>
                <c:pt idx="1">
                  <c:v>1321.7230167271027</c:v>
                </c:pt>
                <c:pt idx="2">
                  <c:v>1321.723016727103</c:v>
                </c:pt>
                <c:pt idx="3">
                  <c:v>1384.6622079998219</c:v>
                </c:pt>
                <c:pt idx="4">
                  <c:v>1384.6622079998222</c:v>
                </c:pt>
                <c:pt idx="5">
                  <c:v>755.27029527263028</c:v>
                </c:pt>
                <c:pt idx="6">
                  <c:v>1384.6622079998219</c:v>
                </c:pt>
                <c:pt idx="7">
                  <c:v>1321.7230167271027</c:v>
                </c:pt>
                <c:pt idx="8">
                  <c:v>1321.723016727103</c:v>
                </c:pt>
                <c:pt idx="9">
                  <c:v>755.27029527263005</c:v>
                </c:pt>
                <c:pt idx="10">
                  <c:v>1112.8749461501031</c:v>
                </c:pt>
                <c:pt idx="11">
                  <c:v>1236.5277179445588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6'!$B$18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1332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6'!$B$22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1405.7731631205675</c:v>
                </c:pt>
                <c:pt idx="6">
                  <c:v>1235.9064964539007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1341.8743829787234</c:v>
                </c:pt>
                <c:pt idx="11">
                  <c:v>596.91869503546104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6'!$B$32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6'!$C$5:$N$5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6'!$C$32:$N$32</c:f>
              <c:numCache>
                <c:formatCode>_-* #,##0_-;\-* #,##0_-;_-* "-"??_-;_-@_-</c:formatCode>
                <c:ptCount val="12"/>
                <c:pt idx="0">
                  <c:v>132.30701985293987</c:v>
                </c:pt>
                <c:pt idx="1">
                  <c:v>137.17618801111882</c:v>
                </c:pt>
                <c:pt idx="2">
                  <c:v>143.70838744021961</c:v>
                </c:pt>
                <c:pt idx="3">
                  <c:v>143.70838744021964</c:v>
                </c:pt>
                <c:pt idx="4">
                  <c:v>78.38639314921069</c:v>
                </c:pt>
                <c:pt idx="5">
                  <c:v>143.70838744021964</c:v>
                </c:pt>
                <c:pt idx="6">
                  <c:v>137.17618801111874</c:v>
                </c:pt>
                <c:pt idx="7">
                  <c:v>137.17618801111877</c:v>
                </c:pt>
                <c:pt idx="8">
                  <c:v>78.38639314921069</c:v>
                </c:pt>
                <c:pt idx="9">
                  <c:v>124.34953045446262</c:v>
                </c:pt>
                <c:pt idx="10">
                  <c:v>138.16614494940285</c:v>
                </c:pt>
                <c:pt idx="11">
                  <c:v>158.89106669181328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6'!$B$40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6'!$C$40:$N$40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296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6'!$B$44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6'!$C$44:$N$44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137.17618801111865</c:v>
                </c:pt>
                <c:pt idx="2">
                  <c:v>143.70838744022004</c:v>
                </c:pt>
                <c:pt idx="3">
                  <c:v>143.70838744021964</c:v>
                </c:pt>
                <c:pt idx="4">
                  <c:v>91.792262994646606</c:v>
                </c:pt>
                <c:pt idx="5">
                  <c:v>166.89418439716309</c:v>
                </c:pt>
                <c:pt idx="6">
                  <c:v>146.72751773049643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159.30808510638295</c:v>
                </c:pt>
                <c:pt idx="11">
                  <c:v>70.866524822695041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499534</xdr:colOff>
      <xdr:row>29</xdr:row>
      <xdr:rowOff>0</xdr:rowOff>
    </xdr:from>
    <xdr:to>
      <xdr:col>10</xdr:col>
      <xdr:colOff>1016001</xdr:colOff>
      <xdr:row>41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38</xdr:row>
      <xdr:rowOff>27215</xdr:rowOff>
    </xdr:from>
    <xdr:to>
      <xdr:col>20</xdr:col>
      <xdr:colOff>703036</xdr:colOff>
      <xdr:row>49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topLeftCell="A37" zoomScale="200" zoomScaleNormal="200" workbookViewId="0">
      <selection activeCell="B11" sqref="B11:D11"/>
    </sheetView>
  </sheetViews>
  <sheetFormatPr baseColWidth="10" defaultRowHeight="16" x14ac:dyDescent="0.15"/>
  <cols>
    <col min="1" max="1" width="38.1640625" style="72" customWidth="1"/>
    <col min="2" max="2" width="12.33203125" style="72" customWidth="1"/>
    <col min="3" max="3" width="14.83203125" style="72" customWidth="1"/>
    <col min="4" max="4" width="13.33203125" style="72" customWidth="1"/>
    <col min="5" max="5" width="13.5" style="72" customWidth="1"/>
    <col min="6" max="6" width="2.6640625" style="72" customWidth="1"/>
    <col min="7" max="7" width="13.33203125" style="72" customWidth="1"/>
    <col min="8" max="8" width="12.33203125" style="72" bestFit="1" customWidth="1"/>
    <col min="9" max="12" width="10.83203125" style="72"/>
    <col min="13" max="13" width="12.33203125" style="72" bestFit="1" customWidth="1"/>
    <col min="14" max="16384" width="10.83203125" style="72"/>
  </cols>
  <sheetData>
    <row r="2" spans="1:5" x14ac:dyDescent="0.15">
      <c r="A2" s="72" t="s">
        <v>115</v>
      </c>
    </row>
    <row r="4" spans="1:5" x14ac:dyDescent="0.15">
      <c r="A4" s="103" t="s">
        <v>50</v>
      </c>
    </row>
    <row r="6" spans="1:5" x14ac:dyDescent="0.15">
      <c r="A6" s="103" t="s">
        <v>51</v>
      </c>
    </row>
    <row r="8" spans="1:5" x14ac:dyDescent="0.15">
      <c r="A8" s="311"/>
      <c r="B8" s="308" t="s">
        <v>39</v>
      </c>
      <c r="C8" s="309"/>
      <c r="D8" s="310"/>
    </row>
    <row r="9" spans="1:5" x14ac:dyDescent="0.15">
      <c r="A9" s="312"/>
      <c r="B9" s="97" t="s">
        <v>55</v>
      </c>
      <c r="C9" s="92" t="s">
        <v>56</v>
      </c>
      <c r="D9" s="90" t="s">
        <v>57</v>
      </c>
    </row>
    <row r="10" spans="1:5" x14ac:dyDescent="0.15">
      <c r="A10" s="79" t="s">
        <v>52</v>
      </c>
      <c r="B10" s="94">
        <v>0.01</v>
      </c>
      <c r="C10" s="94">
        <v>-0.02</v>
      </c>
      <c r="D10" s="98">
        <v>0.05</v>
      </c>
    </row>
    <row r="11" spans="1:5" x14ac:dyDescent="0.15">
      <c r="A11" s="80" t="s">
        <v>53</v>
      </c>
      <c r="B11" s="94">
        <v>0.02</v>
      </c>
      <c r="C11" s="94">
        <v>-0.04</v>
      </c>
      <c r="D11" s="98">
        <v>0.08</v>
      </c>
    </row>
    <row r="12" spans="1:5" x14ac:dyDescent="0.15">
      <c r="A12" s="81" t="s">
        <v>54</v>
      </c>
      <c r="B12" s="101">
        <v>0.01</v>
      </c>
      <c r="C12" s="96">
        <v>-0.02</v>
      </c>
      <c r="D12" s="99">
        <v>0.03</v>
      </c>
    </row>
    <row r="14" spans="1:5" x14ac:dyDescent="0.15">
      <c r="A14" s="103" t="s">
        <v>58</v>
      </c>
    </row>
    <row r="16" spans="1:5" x14ac:dyDescent="0.15">
      <c r="B16" s="315" t="s">
        <v>59</v>
      </c>
      <c r="C16" s="316"/>
      <c r="D16" s="316"/>
      <c r="E16" s="317"/>
    </row>
    <row r="17" spans="1:7" x14ac:dyDescent="0.15">
      <c r="B17" s="308" t="s">
        <v>39</v>
      </c>
      <c r="C17" s="309"/>
      <c r="D17" s="310"/>
      <c r="E17" s="313" t="s">
        <v>3</v>
      </c>
    </row>
    <row r="18" spans="1:7" x14ac:dyDescent="0.15">
      <c r="B18" s="97" t="s">
        <v>55</v>
      </c>
      <c r="C18" s="92" t="s">
        <v>56</v>
      </c>
      <c r="D18" s="90" t="s">
        <v>57</v>
      </c>
      <c r="E18" s="314"/>
      <c r="G18" s="91" t="s">
        <v>71</v>
      </c>
    </row>
    <row r="19" spans="1:7" x14ac:dyDescent="0.15">
      <c r="B19" s="79"/>
      <c r="C19" s="79"/>
      <c r="D19" s="79"/>
      <c r="E19" s="79"/>
      <c r="G19" s="80"/>
    </row>
    <row r="20" spans="1:7" x14ac:dyDescent="0.15">
      <c r="A20" s="78" t="s">
        <v>40</v>
      </c>
      <c r="B20" s="86">
        <f>+B24/B26</f>
        <v>128140000</v>
      </c>
      <c r="C20" s="86">
        <f>$E20*C21</f>
        <v>123000000</v>
      </c>
      <c r="D20" s="86">
        <f>$E20*D21</f>
        <v>77900000</v>
      </c>
      <c r="E20" s="87">
        <v>410000000</v>
      </c>
      <c r="G20" s="102">
        <f>+E20-B20-C20-D20</f>
        <v>80960000</v>
      </c>
    </row>
    <row r="21" spans="1:7" x14ac:dyDescent="0.15">
      <c r="B21" s="105">
        <f>B20/E20</f>
        <v>0.31253658536585366</v>
      </c>
      <c r="C21" s="85">
        <v>0.3</v>
      </c>
      <c r="D21" s="85">
        <v>0.19</v>
      </c>
      <c r="E21" s="115"/>
      <c r="F21" s="95"/>
      <c r="G21" s="93">
        <f>G20/E20</f>
        <v>0.19746341463414635</v>
      </c>
    </row>
    <row r="22" spans="1:7" x14ac:dyDescent="0.15">
      <c r="A22" s="72" t="s">
        <v>41</v>
      </c>
      <c r="B22" s="108">
        <v>22111</v>
      </c>
      <c r="C22" s="112">
        <f>C20/180</f>
        <v>683333.33333333337</v>
      </c>
      <c r="D22" s="112">
        <f>ROUND(D28/D30,0)</f>
        <v>3158</v>
      </c>
      <c r="E22" s="80"/>
    </row>
    <row r="23" spans="1:7" x14ac:dyDescent="0.15">
      <c r="B23" s="80"/>
      <c r="C23" s="80"/>
      <c r="D23" s="80"/>
      <c r="E23" s="80"/>
    </row>
    <row r="24" spans="1:7" x14ac:dyDescent="0.15">
      <c r="A24" s="78" t="s">
        <v>43</v>
      </c>
      <c r="B24" s="86">
        <f>+B25*E24</f>
        <v>38442000</v>
      </c>
      <c r="C24" s="86">
        <f>C25*E24</f>
        <v>79446800</v>
      </c>
      <c r="D24" s="86">
        <f>+E24-C24-B24</f>
        <v>10251200</v>
      </c>
      <c r="E24" s="89">
        <v>128140000</v>
      </c>
    </row>
    <row r="25" spans="1:7" x14ac:dyDescent="0.15">
      <c r="A25" s="72" t="s">
        <v>60</v>
      </c>
      <c r="B25" s="85">
        <v>0.3</v>
      </c>
      <c r="C25" s="85">
        <v>0.62</v>
      </c>
      <c r="D25" s="105">
        <f>+D24/E24</f>
        <v>0.08</v>
      </c>
      <c r="E25" s="105">
        <f>+E24/E24</f>
        <v>1</v>
      </c>
    </row>
    <row r="26" spans="1:7" x14ac:dyDescent="0.15">
      <c r="A26" s="72" t="s">
        <v>42</v>
      </c>
      <c r="B26" s="85">
        <v>0.3</v>
      </c>
      <c r="C26" s="105">
        <f>C24/C20</f>
        <v>0.64590894308943092</v>
      </c>
      <c r="D26" s="88">
        <f>D24/D20</f>
        <v>0.13159435173299103</v>
      </c>
      <c r="E26" s="88">
        <f>E24/E20</f>
        <v>0.31253658536585366</v>
      </c>
    </row>
    <row r="27" spans="1:7" x14ac:dyDescent="0.15">
      <c r="B27" s="105"/>
      <c r="C27" s="105"/>
      <c r="D27" s="80"/>
      <c r="E27" s="88"/>
    </row>
    <row r="28" spans="1:7" x14ac:dyDescent="0.15">
      <c r="A28" s="72" t="s">
        <v>44</v>
      </c>
      <c r="B28" s="109">
        <v>6200</v>
      </c>
      <c r="C28" s="113">
        <f>C24/C40</f>
        <v>441371.11111111112</v>
      </c>
      <c r="D28" s="108">
        <v>600</v>
      </c>
      <c r="E28" s="88"/>
    </row>
    <row r="29" spans="1:7" x14ac:dyDescent="0.15">
      <c r="A29" s="72" t="s">
        <v>45</v>
      </c>
      <c r="B29" s="110">
        <f>+B24/B28</f>
        <v>6200.322580645161</v>
      </c>
      <c r="C29" s="110">
        <f t="shared" ref="C29:D29" si="0">+C24/C28</f>
        <v>180</v>
      </c>
      <c r="D29" s="110">
        <f t="shared" si="0"/>
        <v>17085.333333333332</v>
      </c>
      <c r="E29" s="88"/>
    </row>
    <row r="30" spans="1:7" x14ac:dyDescent="0.15">
      <c r="A30" s="72" t="s">
        <v>46</v>
      </c>
      <c r="B30" s="105">
        <f>B28/B22</f>
        <v>0.28040341911265887</v>
      </c>
      <c r="C30" s="105">
        <f>C28/C22</f>
        <v>0.64590894308943092</v>
      </c>
      <c r="D30" s="114">
        <v>0.19</v>
      </c>
      <c r="E30" s="88"/>
    </row>
    <row r="31" spans="1:7" x14ac:dyDescent="0.15">
      <c r="B31" s="105"/>
      <c r="C31" s="105"/>
      <c r="D31" s="105"/>
      <c r="E31" s="88"/>
    </row>
    <row r="32" spans="1:7" x14ac:dyDescent="0.15">
      <c r="A32" s="72" t="s">
        <v>73</v>
      </c>
      <c r="B32" s="105"/>
      <c r="C32" s="105"/>
      <c r="D32" s="105"/>
      <c r="E32" s="88"/>
    </row>
    <row r="33" spans="1:5" x14ac:dyDescent="0.15">
      <c r="A33" s="78" t="s">
        <v>49</v>
      </c>
      <c r="B33" s="156">
        <v>180</v>
      </c>
      <c r="C33" s="156">
        <v>180</v>
      </c>
      <c r="D33" s="156">
        <v>180</v>
      </c>
      <c r="E33" s="88"/>
    </row>
    <row r="34" spans="1:5" x14ac:dyDescent="0.15">
      <c r="A34" s="78" t="s">
        <v>48</v>
      </c>
      <c r="B34" s="156">
        <v>500</v>
      </c>
      <c r="C34" s="156">
        <v>500</v>
      </c>
      <c r="D34" s="156">
        <v>500</v>
      </c>
      <c r="E34" s="88"/>
    </row>
    <row r="35" spans="1:5" x14ac:dyDescent="0.15">
      <c r="B35" s="80"/>
      <c r="C35" s="80"/>
      <c r="D35" s="80"/>
      <c r="E35" s="80"/>
    </row>
    <row r="36" spans="1:5" x14ac:dyDescent="0.15">
      <c r="A36" s="72" t="s">
        <v>62</v>
      </c>
      <c r="B36" s="80"/>
      <c r="C36" s="80"/>
      <c r="D36" s="80"/>
      <c r="E36" s="80"/>
    </row>
    <row r="37" spans="1:5" x14ac:dyDescent="0.15">
      <c r="A37" s="78" t="s">
        <v>49</v>
      </c>
      <c r="B37" s="84">
        <v>0.71</v>
      </c>
      <c r="C37" s="84">
        <v>1</v>
      </c>
      <c r="D37" s="84">
        <v>0.09</v>
      </c>
      <c r="E37" s="84">
        <v>0.84</v>
      </c>
    </row>
    <row r="38" spans="1:5" x14ac:dyDescent="0.15">
      <c r="A38" s="78" t="s">
        <v>48</v>
      </c>
      <c r="B38" s="84">
        <f>1-B37</f>
        <v>0.29000000000000004</v>
      </c>
      <c r="C38" s="84">
        <v>0</v>
      </c>
      <c r="D38" s="84">
        <v>0.91</v>
      </c>
      <c r="E38" s="84">
        <f>1-E37</f>
        <v>0.16000000000000003</v>
      </c>
    </row>
    <row r="39" spans="1:5" x14ac:dyDescent="0.15">
      <c r="B39" s="105"/>
      <c r="C39" s="105"/>
      <c r="D39" s="105"/>
      <c r="E39" s="88"/>
    </row>
    <row r="40" spans="1:5" x14ac:dyDescent="0.15">
      <c r="A40" s="72" t="s">
        <v>74</v>
      </c>
      <c r="B40" s="110">
        <f>B33*B37+B34*B38</f>
        <v>272.8</v>
      </c>
      <c r="C40" s="110">
        <f t="shared" ref="C40:D40" si="1">C33*C37+C34*C38</f>
        <v>180</v>
      </c>
      <c r="D40" s="110">
        <f t="shared" si="1"/>
        <v>471.2</v>
      </c>
      <c r="E40" s="88"/>
    </row>
    <row r="41" spans="1:5" x14ac:dyDescent="0.15">
      <c r="B41" s="80"/>
      <c r="C41" s="80"/>
      <c r="D41" s="80"/>
      <c r="E41" s="80"/>
    </row>
    <row r="42" spans="1:5" x14ac:dyDescent="0.15">
      <c r="A42" s="72" t="s">
        <v>63</v>
      </c>
      <c r="B42" s="80"/>
      <c r="C42" s="80"/>
      <c r="D42" s="80"/>
      <c r="E42" s="80"/>
    </row>
    <row r="43" spans="1:5" x14ac:dyDescent="0.15">
      <c r="A43" s="78" t="s">
        <v>49</v>
      </c>
      <c r="B43" s="86">
        <f t="shared" ref="B43:E44" si="2">B37*B$24</f>
        <v>27293820</v>
      </c>
      <c r="C43" s="86">
        <f t="shared" si="2"/>
        <v>79446800</v>
      </c>
      <c r="D43" s="86">
        <f t="shared" si="2"/>
        <v>922608</v>
      </c>
      <c r="E43" s="86">
        <f t="shared" si="2"/>
        <v>107637600</v>
      </c>
    </row>
    <row r="44" spans="1:5" x14ac:dyDescent="0.15">
      <c r="A44" s="78" t="s">
        <v>48</v>
      </c>
      <c r="B44" s="86">
        <f t="shared" si="2"/>
        <v>11148180.000000002</v>
      </c>
      <c r="C44" s="86">
        <f t="shared" si="2"/>
        <v>0</v>
      </c>
      <c r="D44" s="86">
        <f t="shared" si="2"/>
        <v>9328592</v>
      </c>
      <c r="E44" s="86">
        <f t="shared" si="2"/>
        <v>20502400.000000004</v>
      </c>
    </row>
    <row r="45" spans="1:5" x14ac:dyDescent="0.15">
      <c r="B45" s="80"/>
      <c r="C45" s="80"/>
      <c r="D45" s="80"/>
      <c r="E45" s="80"/>
    </row>
    <row r="46" spans="1:5" x14ac:dyDescent="0.15">
      <c r="A46" s="72" t="s">
        <v>69</v>
      </c>
      <c r="B46" s="84">
        <v>0.01</v>
      </c>
      <c r="C46" s="84">
        <v>0</v>
      </c>
      <c r="D46" s="84">
        <v>0.1</v>
      </c>
      <c r="E46" s="80"/>
    </row>
    <row r="47" spans="1:5" x14ac:dyDescent="0.15">
      <c r="A47" s="72" t="s">
        <v>61</v>
      </c>
      <c r="B47" s="82">
        <v>90</v>
      </c>
      <c r="C47" s="82">
        <v>30</v>
      </c>
      <c r="D47" s="82">
        <v>150</v>
      </c>
      <c r="E47" s="80"/>
    </row>
    <row r="48" spans="1:5" x14ac:dyDescent="0.15">
      <c r="A48" s="72" t="s">
        <v>70</v>
      </c>
      <c r="B48" s="84">
        <v>0.12</v>
      </c>
      <c r="C48" s="80"/>
      <c r="D48" s="84">
        <v>0.06</v>
      </c>
      <c r="E48" s="80"/>
    </row>
    <row r="49" spans="1:5" x14ac:dyDescent="0.15">
      <c r="B49" s="80"/>
      <c r="C49" s="80"/>
      <c r="D49" s="80"/>
      <c r="E49" s="80"/>
    </row>
    <row r="50" spans="1:5" x14ac:dyDescent="0.15">
      <c r="B50" s="80"/>
      <c r="C50" s="80"/>
      <c r="D50" s="80"/>
      <c r="E50" s="80"/>
    </row>
    <row r="51" spans="1:5" x14ac:dyDescent="0.15">
      <c r="A51" s="72" t="s">
        <v>64</v>
      </c>
      <c r="B51" s="80"/>
      <c r="C51" s="80"/>
      <c r="D51" s="80"/>
      <c r="E51" s="80"/>
    </row>
    <row r="52" spans="1:5" x14ac:dyDescent="0.15">
      <c r="A52" s="72" t="s">
        <v>65</v>
      </c>
      <c r="B52" s="82">
        <v>50</v>
      </c>
      <c r="C52" s="82">
        <v>0</v>
      </c>
      <c r="D52" s="82">
        <v>7</v>
      </c>
      <c r="E52" s="80"/>
    </row>
    <row r="53" spans="1:5" x14ac:dyDescent="0.15">
      <c r="A53" s="72" t="s">
        <v>66</v>
      </c>
      <c r="B53" s="82">
        <v>40</v>
      </c>
      <c r="C53" s="82">
        <v>0</v>
      </c>
      <c r="D53" s="82">
        <v>2</v>
      </c>
      <c r="E53" s="80"/>
    </row>
    <row r="54" spans="1:5" x14ac:dyDescent="0.15">
      <c r="A54" s="72" t="s">
        <v>67</v>
      </c>
      <c r="B54" s="82">
        <v>25</v>
      </c>
      <c r="C54" s="82">
        <v>0</v>
      </c>
      <c r="D54" s="82">
        <v>3</v>
      </c>
      <c r="E54" s="80"/>
    </row>
    <row r="55" spans="1:5" x14ac:dyDescent="0.15">
      <c r="A55" s="100" t="s">
        <v>68</v>
      </c>
      <c r="B55" s="111">
        <f>SUM(B52:B54)</f>
        <v>115</v>
      </c>
      <c r="C55" s="111">
        <f t="shared" ref="C55:D55" si="3">SUM(C52:C54)</f>
        <v>0</v>
      </c>
      <c r="D55" s="111">
        <f t="shared" si="3"/>
        <v>12</v>
      </c>
      <c r="E55" s="81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>
    <tabColor theme="0" tint="-0.499984740745262"/>
  </sheetPr>
  <dimension ref="B2:D17"/>
  <sheetViews>
    <sheetView showGridLines="0" zoomScale="190" zoomScaleNormal="190" workbookViewId="0">
      <selection activeCell="B2" sqref="B2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58" bestFit="1" customWidth="1"/>
    <col min="4" max="16384" width="10.83203125" style="2"/>
  </cols>
  <sheetData>
    <row r="2" spans="2:4" x14ac:dyDescent="0.2">
      <c r="B2" s="2" t="s">
        <v>169</v>
      </c>
    </row>
    <row r="3" spans="2:4" ht="15" thickBot="1" x14ac:dyDescent="0.25"/>
    <row r="4" spans="2:4" x14ac:dyDescent="0.2">
      <c r="B4" s="368"/>
      <c r="C4" s="370" t="s">
        <v>85</v>
      </c>
      <c r="D4" s="371"/>
    </row>
    <row r="5" spans="2:4" x14ac:dyDescent="0.2">
      <c r="B5" s="369"/>
      <c r="C5" s="261" t="s">
        <v>129</v>
      </c>
      <c r="D5" s="263" t="s">
        <v>130</v>
      </c>
    </row>
    <row r="6" spans="2:4" x14ac:dyDescent="0.2">
      <c r="B6" s="266" t="s">
        <v>78</v>
      </c>
      <c r="C6" s="262"/>
      <c r="D6" s="259"/>
    </row>
    <row r="7" spans="2:4" x14ac:dyDescent="0.2">
      <c r="B7" s="264" t="s">
        <v>132</v>
      </c>
      <c r="C7" s="267">
        <v>5</v>
      </c>
      <c r="D7" s="268">
        <v>1</v>
      </c>
    </row>
    <row r="8" spans="2:4" x14ac:dyDescent="0.2">
      <c r="B8" s="264" t="s">
        <v>131</v>
      </c>
      <c r="C8" s="267">
        <v>2</v>
      </c>
      <c r="D8" s="268">
        <v>0.3</v>
      </c>
    </row>
    <row r="9" spans="2:4" x14ac:dyDescent="0.2">
      <c r="B9" s="264" t="s">
        <v>133</v>
      </c>
      <c r="C9" s="267">
        <v>8</v>
      </c>
      <c r="D9" s="268"/>
    </row>
    <row r="10" spans="2:4" ht="15" thickBot="1" x14ac:dyDescent="0.25">
      <c r="B10" s="269" t="s">
        <v>3</v>
      </c>
      <c r="C10" s="270">
        <f>SUM(C7:C9)</f>
        <v>15</v>
      </c>
      <c r="D10" s="271">
        <f>SUM(D7:D9)</f>
        <v>1.3</v>
      </c>
    </row>
    <row r="11" spans="2:4" x14ac:dyDescent="0.2">
      <c r="B11" s="266" t="s">
        <v>79</v>
      </c>
      <c r="C11" s="262"/>
      <c r="D11" s="259"/>
    </row>
    <row r="12" spans="2:4" x14ac:dyDescent="0.2">
      <c r="B12" s="264" t="s">
        <v>132</v>
      </c>
      <c r="C12" s="267">
        <v>5</v>
      </c>
      <c r="D12" s="268">
        <v>1</v>
      </c>
    </row>
    <row r="13" spans="2:4" x14ac:dyDescent="0.2">
      <c r="B13" s="264" t="s">
        <v>131</v>
      </c>
      <c r="C13" s="267">
        <v>2</v>
      </c>
      <c r="D13" s="268">
        <v>0.3</v>
      </c>
    </row>
    <row r="14" spans="2:4" x14ac:dyDescent="0.2">
      <c r="B14" s="264" t="s">
        <v>133</v>
      </c>
      <c r="C14" s="267">
        <v>2</v>
      </c>
      <c r="D14" s="268">
        <v>0.3</v>
      </c>
    </row>
    <row r="15" spans="2:4" x14ac:dyDescent="0.2">
      <c r="B15" s="264" t="s">
        <v>134</v>
      </c>
      <c r="C15" s="267">
        <v>5</v>
      </c>
      <c r="D15" s="268">
        <v>0.3</v>
      </c>
    </row>
    <row r="16" spans="2:4" x14ac:dyDescent="0.2">
      <c r="B16" s="264" t="s">
        <v>135</v>
      </c>
      <c r="C16" s="267">
        <v>10</v>
      </c>
      <c r="D16" s="268">
        <v>0.3</v>
      </c>
    </row>
    <row r="17" spans="2:4" ht="15" thickBot="1" x14ac:dyDescent="0.25">
      <c r="B17" s="269" t="s">
        <v>3</v>
      </c>
      <c r="C17" s="270">
        <f>SUM(C12:C16)</f>
        <v>24</v>
      </c>
      <c r="D17" s="271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>
    <tabColor theme="0" tint="-0.499984740745262"/>
  </sheetPr>
  <dimension ref="B2:F11"/>
  <sheetViews>
    <sheetView showGridLines="0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173</v>
      </c>
    </row>
    <row r="3" spans="2:6" ht="15" thickBot="1" x14ac:dyDescent="0.25"/>
    <row r="4" spans="2:6" x14ac:dyDescent="0.2">
      <c r="B4" s="265"/>
      <c r="C4" s="275" t="s">
        <v>136</v>
      </c>
      <c r="D4" s="276" t="s">
        <v>137</v>
      </c>
    </row>
    <row r="5" spans="2:6" x14ac:dyDescent="0.2">
      <c r="B5" s="272" t="s">
        <v>143</v>
      </c>
      <c r="C5" s="277">
        <v>98</v>
      </c>
      <c r="D5" s="278">
        <v>11</v>
      </c>
    </row>
    <row r="6" spans="2:6" x14ac:dyDescent="0.2">
      <c r="B6" s="264"/>
      <c r="D6" s="273"/>
    </row>
    <row r="7" spans="2:6" x14ac:dyDescent="0.2">
      <c r="B7" s="264" t="s">
        <v>144</v>
      </c>
      <c r="C7" s="260">
        <v>235</v>
      </c>
      <c r="D7" s="279">
        <f>+C7</f>
        <v>235</v>
      </c>
    </row>
    <row r="8" spans="2:6" x14ac:dyDescent="0.2">
      <c r="B8" s="264" t="s">
        <v>145</v>
      </c>
      <c r="C8" s="260">
        <v>-5</v>
      </c>
      <c r="D8" s="279">
        <v>-5</v>
      </c>
    </row>
    <row r="9" spans="2:6" x14ac:dyDescent="0.2">
      <c r="B9" s="264" t="s">
        <v>146</v>
      </c>
      <c r="C9" s="260">
        <v>-14</v>
      </c>
      <c r="D9" s="279">
        <v>-14</v>
      </c>
      <c r="F9" s="281">
        <f>14/235</f>
        <v>5.9574468085106386E-2</v>
      </c>
    </row>
    <row r="10" spans="2:6" x14ac:dyDescent="0.2">
      <c r="B10" s="264" t="s">
        <v>147</v>
      </c>
      <c r="C10" s="260">
        <v>8</v>
      </c>
      <c r="D10" s="279">
        <v>8</v>
      </c>
    </row>
    <row r="11" spans="2:6" ht="15" thickBot="1" x14ac:dyDescent="0.25">
      <c r="B11" s="274" t="s">
        <v>148</v>
      </c>
      <c r="C11" s="282">
        <v>0</v>
      </c>
      <c r="D11" s="28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>
    <tabColor theme="0" tint="-0.499984740745262"/>
  </sheetPr>
  <dimension ref="B2:D12"/>
  <sheetViews>
    <sheetView showGridLines="0" tabSelected="1" zoomScale="190" zoomScaleNormal="190" workbookViewId="0">
      <selection activeCell="B3" sqref="B3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58" bestFit="1" customWidth="1"/>
    <col min="4" max="16384" width="10.83203125" style="2"/>
  </cols>
  <sheetData>
    <row r="2" spans="2:4" x14ac:dyDescent="0.2">
      <c r="B2" s="2" t="s">
        <v>174</v>
      </c>
    </row>
    <row r="3" spans="2:4" ht="15" thickBot="1" x14ac:dyDescent="0.25"/>
    <row r="4" spans="2:4" x14ac:dyDescent="0.2">
      <c r="B4" s="368"/>
      <c r="C4" s="370" t="s">
        <v>85</v>
      </c>
      <c r="D4" s="371"/>
    </row>
    <row r="5" spans="2:4" x14ac:dyDescent="0.2">
      <c r="B5" s="369"/>
      <c r="C5" s="261" t="s">
        <v>136</v>
      </c>
      <c r="D5" s="263" t="s">
        <v>137</v>
      </c>
    </row>
    <row r="6" spans="2:4" x14ac:dyDescent="0.2">
      <c r="B6" s="272" t="s">
        <v>138</v>
      </c>
      <c r="C6" s="262"/>
      <c r="D6" s="259"/>
    </row>
    <row r="7" spans="2:4" x14ac:dyDescent="0.2">
      <c r="B7" s="264" t="s">
        <v>139</v>
      </c>
      <c r="C7" s="267">
        <v>3</v>
      </c>
      <c r="D7" s="268">
        <v>1</v>
      </c>
    </row>
    <row r="8" spans="2:4" x14ac:dyDescent="0.2">
      <c r="B8" s="264" t="s">
        <v>140</v>
      </c>
      <c r="C8" s="267">
        <v>235</v>
      </c>
      <c r="D8" s="268">
        <v>235</v>
      </c>
    </row>
    <row r="9" spans="2:4" x14ac:dyDescent="0.2">
      <c r="B9" s="264" t="s">
        <v>141</v>
      </c>
      <c r="C9" s="267">
        <v>12</v>
      </c>
      <c r="D9" s="268">
        <v>12</v>
      </c>
    </row>
    <row r="10" spans="2:4" x14ac:dyDescent="0.2">
      <c r="B10" s="264" t="s">
        <v>8</v>
      </c>
      <c r="C10" s="267">
        <v>3</v>
      </c>
      <c r="D10" s="268">
        <v>2</v>
      </c>
    </row>
    <row r="11" spans="2:4" x14ac:dyDescent="0.2">
      <c r="B11" s="264" t="s">
        <v>142</v>
      </c>
      <c r="C11" s="267">
        <v>8</v>
      </c>
      <c r="D11" s="268">
        <v>8</v>
      </c>
    </row>
    <row r="12" spans="2:4" ht="15" thickBot="1" x14ac:dyDescent="0.25">
      <c r="B12" s="269"/>
      <c r="C12" s="270"/>
      <c r="D12" s="271"/>
    </row>
  </sheetData>
  <mergeCells count="2">
    <mergeCell ref="B4:B5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dimension ref="B2:Q65"/>
  <sheetViews>
    <sheetView showGridLines="0" zoomScale="150" zoomScaleNormal="140" workbookViewId="0">
      <selection activeCell="J27" sqref="J27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255" t="s">
        <v>171</v>
      </c>
    </row>
    <row r="3" spans="2:15" ht="14" thickBot="1" x14ac:dyDescent="0.2"/>
    <row r="4" spans="2:15" ht="16" x14ac:dyDescent="0.15">
      <c r="B4" s="217"/>
      <c r="C4" s="305" t="s">
        <v>85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7"/>
    </row>
    <row r="5" spans="2:15" ht="16" x14ac:dyDescent="0.15">
      <c r="B5" s="130"/>
      <c r="C5" s="224" t="s">
        <v>100</v>
      </c>
      <c r="D5" s="224" t="s">
        <v>101</v>
      </c>
      <c r="E5" s="224" t="s">
        <v>102</v>
      </c>
      <c r="F5" s="224" t="s">
        <v>103</v>
      </c>
      <c r="G5" s="224" t="s">
        <v>104</v>
      </c>
      <c r="H5" s="224" t="s">
        <v>105</v>
      </c>
      <c r="I5" s="224" t="s">
        <v>106</v>
      </c>
      <c r="J5" s="224" t="s">
        <v>107</v>
      </c>
      <c r="K5" s="224" t="s">
        <v>108</v>
      </c>
      <c r="L5" s="224" t="s">
        <v>109</v>
      </c>
      <c r="M5" s="224" t="s">
        <v>110</v>
      </c>
      <c r="N5" s="224" t="s">
        <v>111</v>
      </c>
      <c r="O5" s="229" t="s">
        <v>68</v>
      </c>
    </row>
    <row r="6" spans="2:15" ht="16" x14ac:dyDescent="0.2">
      <c r="B6" s="18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25"/>
    </row>
    <row r="7" spans="2:15" ht="16" x14ac:dyDescent="0.2">
      <c r="B7" s="283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225"/>
    </row>
    <row r="8" spans="2:15" ht="16" x14ac:dyDescent="0.2">
      <c r="B8" s="256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225"/>
    </row>
    <row r="9" spans="2:15" ht="16" x14ac:dyDescent="0.2">
      <c r="B9" s="256" t="s">
        <v>150</v>
      </c>
      <c r="C9" s="219">
        <f>'Tab 4'!C15</f>
        <v>52198.030813963218</v>
      </c>
      <c r="D9" s="219">
        <f>'Tab 4'!D15</f>
        <v>61002.600772020123</v>
      </c>
      <c r="E9" s="219">
        <f>'Tab 4'!E15</f>
        <v>61002.600772020131</v>
      </c>
      <c r="F9" s="219">
        <f>'Tab 4'!F15</f>
        <v>63907.486523068699</v>
      </c>
      <c r="G9" s="219">
        <f>'Tab 4'!G15</f>
        <v>63907.486523068714</v>
      </c>
      <c r="H9" s="219">
        <f>'Tab 4'!H15</f>
        <v>34858.629012582933</v>
      </c>
      <c r="I9" s="219">
        <f>'Tab 4'!I15</f>
        <v>63907.486523068706</v>
      </c>
      <c r="J9" s="219">
        <f>'Tab 4'!J15</f>
        <v>61002.600772020123</v>
      </c>
      <c r="K9" s="219">
        <f>'Tab 4'!K15</f>
        <v>61002.600772020138</v>
      </c>
      <c r="L9" s="219">
        <f>'Tab 4'!L15</f>
        <v>34858.629012582925</v>
      </c>
      <c r="M9" s="219">
        <f>'Tab 4'!M15</f>
        <v>51363.459053081679</v>
      </c>
      <c r="N9" s="219">
        <f>'Tab 4'!N15</f>
        <v>57070.510058979642</v>
      </c>
      <c r="O9" s="284">
        <f>SUM(C9:N9)</f>
        <v>666082.12060847692</v>
      </c>
    </row>
    <row r="10" spans="2:15" ht="16" x14ac:dyDescent="0.2">
      <c r="B10" s="256" t="s">
        <v>151</v>
      </c>
      <c r="C10" s="219">
        <f>'All. 1'!$C$10/60*C9</f>
        <v>13049.507703490804</v>
      </c>
      <c r="D10" s="219">
        <f>'All. 1'!$C$10/60*D9</f>
        <v>15250.650193005031</v>
      </c>
      <c r="E10" s="219">
        <f>'All. 1'!$C$10/60*E9</f>
        <v>15250.650193005033</v>
      </c>
      <c r="F10" s="219">
        <f>'All. 1'!$C$10/60*F9</f>
        <v>15976.871630767175</v>
      </c>
      <c r="G10" s="219">
        <f>'All. 1'!$C$10/60*G9</f>
        <v>15976.871630767178</v>
      </c>
      <c r="H10" s="219">
        <f>'All. 1'!$C$10/60*H9</f>
        <v>8714.6572531457332</v>
      </c>
      <c r="I10" s="219">
        <f>'All. 1'!$C$10/60*I9</f>
        <v>15976.871630767177</v>
      </c>
      <c r="J10" s="219">
        <f>'All. 1'!$C$10/60*J9</f>
        <v>15250.650193005031</v>
      </c>
      <c r="K10" s="219">
        <f>'All. 1'!$C$10/60*K9</f>
        <v>15250.650193005034</v>
      </c>
      <c r="L10" s="219">
        <f>'All. 1'!$C$10/60*L9</f>
        <v>8714.6572531457314</v>
      </c>
      <c r="M10" s="219">
        <f>'All. 1'!$C$10/60*M9</f>
        <v>12840.86476327042</v>
      </c>
      <c r="N10" s="219">
        <f>'All. 1'!$C$10/60*N9</f>
        <v>14267.627514744911</v>
      </c>
      <c r="O10" s="284">
        <f>SUM(C10:N10)</f>
        <v>166520.53015211923</v>
      </c>
    </row>
    <row r="11" spans="2:15" ht="16" x14ac:dyDescent="0.2">
      <c r="B11" s="25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225"/>
    </row>
    <row r="12" spans="2:15" ht="16" x14ac:dyDescent="0.2">
      <c r="B12" s="256" t="s">
        <v>152</v>
      </c>
      <c r="C12" s="285">
        <v>18</v>
      </c>
      <c r="D12" s="285">
        <v>20</v>
      </c>
      <c r="E12" s="285">
        <v>23</v>
      </c>
      <c r="F12" s="285">
        <v>21</v>
      </c>
      <c r="G12" s="285">
        <v>21</v>
      </c>
      <c r="H12" s="285">
        <v>22</v>
      </c>
      <c r="I12" s="285">
        <v>22</v>
      </c>
      <c r="J12" s="285">
        <v>12</v>
      </c>
      <c r="K12" s="285">
        <v>22</v>
      </c>
      <c r="L12" s="285">
        <v>21</v>
      </c>
      <c r="M12" s="285">
        <v>21</v>
      </c>
      <c r="N12" s="285">
        <v>12</v>
      </c>
      <c r="O12" s="286">
        <f>SUM(C12:N12)</f>
        <v>235</v>
      </c>
    </row>
    <row r="13" spans="2:15" ht="16" x14ac:dyDescent="0.2">
      <c r="B13" s="256" t="s">
        <v>4</v>
      </c>
      <c r="C13" s="287">
        <f>C12*-'All. 2'!$F$9</f>
        <v>-1.0723404255319149</v>
      </c>
      <c r="D13" s="287">
        <f>D12*-'All. 2'!$F$9</f>
        <v>-1.1914893617021276</v>
      </c>
      <c r="E13" s="287">
        <f>E12*-'All. 2'!$F$9</f>
        <v>-1.3702127659574468</v>
      </c>
      <c r="F13" s="287">
        <f>F12*-'All. 2'!$F$9</f>
        <v>-1.2510638297872341</v>
      </c>
      <c r="G13" s="287">
        <f>G12*-'All. 2'!$F$9</f>
        <v>-1.2510638297872341</v>
      </c>
      <c r="H13" s="287">
        <f>H12*-'All. 2'!$F$9</f>
        <v>-1.3106382978723405</v>
      </c>
      <c r="I13" s="287">
        <f>I12*-'All. 2'!$F$9</f>
        <v>-1.3106382978723405</v>
      </c>
      <c r="J13" s="287">
        <f>J12*-'All. 2'!$F$9</f>
        <v>-0.71489361702127663</v>
      </c>
      <c r="K13" s="287">
        <f>K12*-'All. 2'!$F$9</f>
        <v>-1.3106382978723405</v>
      </c>
      <c r="L13" s="287">
        <f>L12*-'All. 2'!$F$9</f>
        <v>-1.2510638297872341</v>
      </c>
      <c r="M13" s="287">
        <f>M12*-'All. 2'!$F$9</f>
        <v>-1.2510638297872341</v>
      </c>
      <c r="N13" s="287">
        <f>N12*-'All. 2'!$F$9</f>
        <v>-0.71489361702127663</v>
      </c>
      <c r="O13" s="290">
        <f>SUM(C13:N13)</f>
        <v>-14.000000000000004</v>
      </c>
    </row>
    <row r="14" spans="2:15" ht="16" x14ac:dyDescent="0.2">
      <c r="B14" s="256" t="s">
        <v>5</v>
      </c>
      <c r="C14" s="285"/>
      <c r="D14" s="285"/>
      <c r="E14" s="285"/>
      <c r="F14" s="285"/>
      <c r="G14" s="285"/>
      <c r="H14" s="285"/>
      <c r="I14" s="287">
        <f>'All. 2'!$C$8/2</f>
        <v>-2.5</v>
      </c>
      <c r="J14" s="285"/>
      <c r="K14" s="285"/>
      <c r="L14" s="285"/>
      <c r="M14" s="285"/>
      <c r="N14" s="287">
        <f>'All. 2'!$C$8/2</f>
        <v>-2.5</v>
      </c>
      <c r="O14" s="286">
        <f>SUM(C14:N14)</f>
        <v>-5</v>
      </c>
    </row>
    <row r="15" spans="2:15" ht="16" x14ac:dyDescent="0.2">
      <c r="B15" s="256" t="s">
        <v>6</v>
      </c>
      <c r="C15" s="285">
        <f>'All. 2'!$C$10</f>
        <v>8</v>
      </c>
      <c r="D15" s="285">
        <f>'All. 2'!$C$10</f>
        <v>8</v>
      </c>
      <c r="E15" s="285">
        <f>'All. 2'!$C$10</f>
        <v>8</v>
      </c>
      <c r="F15" s="285">
        <f>'All. 2'!$C$10</f>
        <v>8</v>
      </c>
      <c r="G15" s="285">
        <f>'All. 2'!$C$10</f>
        <v>8</v>
      </c>
      <c r="H15" s="285">
        <f>'All. 2'!$C$10</f>
        <v>8</v>
      </c>
      <c r="I15" s="285">
        <f>'All. 2'!$C$10</f>
        <v>8</v>
      </c>
      <c r="J15" s="285">
        <f>'All. 2'!$C$10</f>
        <v>8</v>
      </c>
      <c r="K15" s="285">
        <f>'All. 2'!$C$10</f>
        <v>8</v>
      </c>
      <c r="L15" s="285">
        <f>'All. 2'!$C$10</f>
        <v>8</v>
      </c>
      <c r="M15" s="285">
        <f>'All. 2'!$C$10</f>
        <v>8</v>
      </c>
      <c r="N15" s="285">
        <f>'All. 2'!$C$10</f>
        <v>8</v>
      </c>
      <c r="O15" s="288"/>
    </row>
    <row r="16" spans="2:15" ht="16" x14ac:dyDescent="0.2">
      <c r="B16" s="256" t="s">
        <v>7</v>
      </c>
      <c r="C16" s="285">
        <f>'All. 2'!$C$5</f>
        <v>98</v>
      </c>
      <c r="D16" s="285">
        <f>'All. 2'!$C$5</f>
        <v>98</v>
      </c>
      <c r="E16" s="285">
        <f>'All. 2'!$C$5</f>
        <v>98</v>
      </c>
      <c r="F16" s="285">
        <f>'All. 2'!$C$5</f>
        <v>98</v>
      </c>
      <c r="G16" s="285">
        <f>'All. 2'!$C$5</f>
        <v>98</v>
      </c>
      <c r="H16" s="285">
        <f>'All. 2'!$C$5</f>
        <v>98</v>
      </c>
      <c r="I16" s="285">
        <f>'All. 2'!$C$5</f>
        <v>98</v>
      </c>
      <c r="J16" s="285">
        <f>'All. 2'!$C$5</f>
        <v>98</v>
      </c>
      <c r="K16" s="285">
        <f>'All. 2'!$C$5</f>
        <v>98</v>
      </c>
      <c r="L16" s="285">
        <f>'All. 2'!$C$5</f>
        <v>98</v>
      </c>
      <c r="M16" s="285">
        <f>'All. 2'!$C$5</f>
        <v>98</v>
      </c>
      <c r="N16" s="285">
        <f>'All. 2'!$C$5</f>
        <v>98</v>
      </c>
      <c r="O16" s="288"/>
    </row>
    <row r="17" spans="2:17" ht="17" thickBot="1" x14ac:dyDescent="0.25">
      <c r="B17" s="256" t="s">
        <v>153</v>
      </c>
      <c r="C17" s="219">
        <f>(C12+C13+C14)*C15*C16</f>
        <v>13271.285106382978</v>
      </c>
      <c r="D17" s="219">
        <f t="shared" ref="D17:N17" si="0">(D12+D13+D14)*D15*D16</f>
        <v>14745.872340425531</v>
      </c>
      <c r="E17" s="219">
        <f t="shared" si="0"/>
        <v>16957.753191489363</v>
      </c>
      <c r="F17" s="219">
        <f t="shared" si="0"/>
        <v>15483.165957446809</v>
      </c>
      <c r="G17" s="219">
        <f t="shared" si="0"/>
        <v>15483.165957446809</v>
      </c>
      <c r="H17" s="219">
        <f t="shared" si="0"/>
        <v>16220.459574468085</v>
      </c>
      <c r="I17" s="219">
        <f t="shared" si="0"/>
        <v>14260.459574468085</v>
      </c>
      <c r="J17" s="219">
        <f t="shared" si="0"/>
        <v>8847.5234042553184</v>
      </c>
      <c r="K17" s="219">
        <f t="shared" si="0"/>
        <v>16220.459574468085</v>
      </c>
      <c r="L17" s="219">
        <f t="shared" si="0"/>
        <v>15483.165957446809</v>
      </c>
      <c r="M17" s="219">
        <f t="shared" si="0"/>
        <v>15483.165957446809</v>
      </c>
      <c r="N17" s="219">
        <f t="shared" si="0"/>
        <v>6887.5234042553193</v>
      </c>
      <c r="O17" s="284">
        <f>SUM(C17:N17)</f>
        <v>169344.00000000003</v>
      </c>
    </row>
    <row r="18" spans="2:17" ht="17" thickBot="1" x14ac:dyDescent="0.25">
      <c r="B18" s="257" t="s">
        <v>154</v>
      </c>
      <c r="C18" s="223">
        <f>C17-C10</f>
        <v>221.777402892174</v>
      </c>
      <c r="D18" s="223">
        <f t="shared" ref="D18:O18" si="1">D17-D10</f>
        <v>-504.77785257950018</v>
      </c>
      <c r="E18" s="223">
        <f t="shared" si="1"/>
        <v>1707.1029984843299</v>
      </c>
      <c r="F18" s="223">
        <f t="shared" si="1"/>
        <v>-493.70567332036626</v>
      </c>
      <c r="G18" s="223">
        <f t="shared" si="1"/>
        <v>-493.7056733203699</v>
      </c>
      <c r="H18" s="223">
        <f t="shared" si="1"/>
        <v>7505.8023213223514</v>
      </c>
      <c r="I18" s="223">
        <f t="shared" si="1"/>
        <v>-1716.412056299092</v>
      </c>
      <c r="J18" s="223">
        <f t="shared" si="1"/>
        <v>-6403.1267887497124</v>
      </c>
      <c r="K18" s="223">
        <f t="shared" si="1"/>
        <v>969.80938146305016</v>
      </c>
      <c r="L18" s="223">
        <f t="shared" si="1"/>
        <v>6768.5087043010772</v>
      </c>
      <c r="M18" s="223">
        <f t="shared" si="1"/>
        <v>2642.3011941763889</v>
      </c>
      <c r="N18" s="223">
        <f t="shared" si="1"/>
        <v>-7380.1041104895912</v>
      </c>
      <c r="O18" s="233">
        <f t="shared" si="1"/>
        <v>2823.4698478807986</v>
      </c>
    </row>
    <row r="19" spans="2:17" ht="16" x14ac:dyDescent="0.2">
      <c r="B19" s="256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225"/>
    </row>
    <row r="20" spans="2:17" ht="16" x14ac:dyDescent="0.2">
      <c r="B20" s="256" t="s">
        <v>159</v>
      </c>
      <c r="C20" s="254">
        <f>C17/('All. 1'!$C$10/60)</f>
        <v>53085.140425531914</v>
      </c>
      <c r="D20" s="254">
        <f>D17/('All. 1'!$C$10/60)</f>
        <v>58983.489361702123</v>
      </c>
      <c r="E20" s="254">
        <f>E17/('All. 1'!$C$10/60)</f>
        <v>67831.01276595745</v>
      </c>
      <c r="F20" s="254">
        <f>F17/('All. 1'!$C$10/60)</f>
        <v>61932.663829787234</v>
      </c>
      <c r="G20" s="254">
        <f>G17/('All. 1'!$C$10/60)</f>
        <v>61932.663829787234</v>
      </c>
      <c r="H20" s="254">
        <f>H17/('All. 1'!$C$10/60)</f>
        <v>64881.838297872338</v>
      </c>
      <c r="I20" s="254">
        <f>I17/('All. 1'!$C$10/60)</f>
        <v>57041.838297872338</v>
      </c>
      <c r="J20" s="254">
        <f>J17/('All. 1'!$C$10/60)</f>
        <v>35390.093617021274</v>
      </c>
      <c r="K20" s="254">
        <f>K17/('All. 1'!$C$10/60)</f>
        <v>64881.838297872338</v>
      </c>
      <c r="L20" s="254">
        <f>L17/('All. 1'!$C$10/60)</f>
        <v>61932.663829787234</v>
      </c>
      <c r="M20" s="254">
        <f>M17/('All. 1'!$C$10/60)</f>
        <v>61932.663829787234</v>
      </c>
      <c r="N20" s="254">
        <f>N17/('All. 1'!$C$10/60)</f>
        <v>27550.093617021277</v>
      </c>
      <c r="O20" s="225"/>
    </row>
    <row r="21" spans="2:17" ht="16" x14ac:dyDescent="0.2">
      <c r="B21" s="256"/>
      <c r="C21" s="219">
        <f>MIN(SUM(C9:$N9)-SUM(D21:$N21),C20)</f>
        <v>53085.140425531914</v>
      </c>
      <c r="D21" s="219">
        <f>MIN(SUM(D9:$N9)-SUM(E21:$N21),D20)</f>
        <v>58983.489361702123</v>
      </c>
      <c r="E21" s="219">
        <f>MIN(SUM(E9:$N9)-SUM(F21:$N21),E20)</f>
        <v>67407.192253488931</v>
      </c>
      <c r="F21" s="219">
        <f>MIN(SUM(F9:$N9)-SUM(G21:$N21),F20)</f>
        <v>61932.663829787234</v>
      </c>
      <c r="G21" s="219">
        <f>MIN(SUM(G9:$N9)-SUM(H21:$N21),G20)</f>
        <v>61932.663829787234</v>
      </c>
      <c r="H21" s="219">
        <f>MIN(SUM(H9:$N9)-SUM(I21:$N21),H20)</f>
        <v>64881.838297872338</v>
      </c>
      <c r="I21" s="219">
        <f>MIN(SUM(I9:$N9)-SUM(J21:$N21),I20)</f>
        <v>57041.838297872338</v>
      </c>
      <c r="J21" s="219">
        <f>MIN(SUM(J9:$N9)-SUM(K21:$N21),J20)</f>
        <v>35390.093617021274</v>
      </c>
      <c r="K21" s="219">
        <f>MIN(SUM(K9:$N9)-SUM(L21:$N21),K20)</f>
        <v>61002.600772020145</v>
      </c>
      <c r="L21" s="219">
        <f>MIN(SUM(L9:$N9)-SUM(M21:$N21),L20)</f>
        <v>53809.840677835746</v>
      </c>
      <c r="M21" s="219">
        <f>MIN(SUM(M9:$N9)-SUM(N21:$N21),M20)</f>
        <v>61932.663829787234</v>
      </c>
      <c r="N21" s="219">
        <f>+N20</f>
        <v>27550.093617021277</v>
      </c>
      <c r="O21" s="284">
        <f>SUM(C21:N21)</f>
        <v>664950.11880972784</v>
      </c>
    </row>
    <row r="22" spans="2:17" ht="16" x14ac:dyDescent="0.2">
      <c r="B22" s="291" t="s">
        <v>155</v>
      </c>
      <c r="C22" s="292">
        <f>+C21+C35</f>
        <v>53085.140425531914</v>
      </c>
      <c r="D22" s="292">
        <f>+D21+D35</f>
        <v>60115.491160451427</v>
      </c>
      <c r="E22" s="292">
        <f>+E21+E35</f>
        <v>67407.192253488931</v>
      </c>
      <c r="F22" s="292">
        <f>+F21+F35</f>
        <v>61932.663829787234</v>
      </c>
      <c r="G22" s="292">
        <f t="shared" ref="G22:N22" si="2">+G21+G35</f>
        <v>61932.663829787234</v>
      </c>
      <c r="H22" s="292">
        <f t="shared" si="2"/>
        <v>64881.838297872338</v>
      </c>
      <c r="I22" s="292">
        <f t="shared" si="2"/>
        <v>57041.838297872338</v>
      </c>
      <c r="J22" s="292">
        <f t="shared" si="2"/>
        <v>35390.093617021274</v>
      </c>
      <c r="K22" s="292">
        <f t="shared" si="2"/>
        <v>61002.600772020145</v>
      </c>
      <c r="L22" s="292">
        <f t="shared" si="2"/>
        <v>53809.840677835746</v>
      </c>
      <c r="M22" s="292">
        <f t="shared" si="2"/>
        <v>61932.663829787234</v>
      </c>
      <c r="N22" s="292">
        <f t="shared" si="2"/>
        <v>27550.093617021277</v>
      </c>
      <c r="O22" s="293">
        <f>SUM(C22:N22)</f>
        <v>666082.12060847704</v>
      </c>
      <c r="Q22" s="1"/>
    </row>
    <row r="23" spans="2:17" ht="16" x14ac:dyDescent="0.2">
      <c r="B23" s="256" t="s">
        <v>162</v>
      </c>
      <c r="C23" s="219">
        <f>'All. 1'!$C$10/60*C22</f>
        <v>13271.285106382978</v>
      </c>
      <c r="D23" s="219">
        <f>'All. 1'!$C$10/60*D22</f>
        <v>15028.872790112857</v>
      </c>
      <c r="E23" s="219">
        <f>'All. 1'!$C$10/60*E22</f>
        <v>16851.798063372233</v>
      </c>
      <c r="F23" s="219">
        <f>'All. 1'!$C$10/60*F22</f>
        <v>15483.165957446809</v>
      </c>
      <c r="G23" s="219">
        <f>'All. 1'!$C$10/60*G22</f>
        <v>15483.165957446809</v>
      </c>
      <c r="H23" s="219">
        <f>'All. 1'!$C$10/60*H22</f>
        <v>16220.459574468085</v>
      </c>
      <c r="I23" s="219">
        <f>'All. 1'!$C$10/60*I22</f>
        <v>14260.459574468085</v>
      </c>
      <c r="J23" s="219">
        <f>'All. 1'!$C$10/60*J22</f>
        <v>8847.5234042553184</v>
      </c>
      <c r="K23" s="219">
        <f>'All. 1'!$C$10/60*K22</f>
        <v>15250.650193005036</v>
      </c>
      <c r="L23" s="219">
        <f>'All. 1'!$C$10/60*L22</f>
        <v>13452.460169458936</v>
      </c>
      <c r="M23" s="219">
        <f>'All. 1'!$C$10/60*M22</f>
        <v>15483.165957446809</v>
      </c>
      <c r="N23" s="219">
        <f>'All. 1'!$C$10/60*N22</f>
        <v>6887.5234042553193</v>
      </c>
      <c r="O23" s="284">
        <f>SUM(C23:N23)</f>
        <v>166520.53015211926</v>
      </c>
    </row>
    <row r="24" spans="2:17" ht="16" x14ac:dyDescent="0.2">
      <c r="B24" s="25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225"/>
    </row>
    <row r="25" spans="2:17" ht="16" x14ac:dyDescent="0.2">
      <c r="B25" s="256" t="s">
        <v>156</v>
      </c>
      <c r="C25" s="289">
        <f>C17</f>
        <v>13271.285106382978</v>
      </c>
      <c r="D25" s="289">
        <f t="shared" ref="D25:N25" si="3">D17</f>
        <v>14745.872340425531</v>
      </c>
      <c r="E25" s="289">
        <f t="shared" si="3"/>
        <v>16957.753191489363</v>
      </c>
      <c r="F25" s="289">
        <f t="shared" si="3"/>
        <v>15483.165957446809</v>
      </c>
      <c r="G25" s="289">
        <f t="shared" si="3"/>
        <v>15483.165957446809</v>
      </c>
      <c r="H25" s="289">
        <f t="shared" si="3"/>
        <v>16220.459574468085</v>
      </c>
      <c r="I25" s="289">
        <f t="shared" si="3"/>
        <v>14260.459574468085</v>
      </c>
      <c r="J25" s="289">
        <f t="shared" si="3"/>
        <v>8847.5234042553184</v>
      </c>
      <c r="K25" s="289">
        <f t="shared" si="3"/>
        <v>16220.459574468085</v>
      </c>
      <c r="L25" s="289">
        <f t="shared" si="3"/>
        <v>15483.165957446809</v>
      </c>
      <c r="M25" s="289">
        <f t="shared" si="3"/>
        <v>15483.165957446809</v>
      </c>
      <c r="N25" s="289">
        <f t="shared" si="3"/>
        <v>6887.5234042553193</v>
      </c>
      <c r="O25" s="286">
        <f>SUM(C25:N25)</f>
        <v>169344.00000000003</v>
      </c>
    </row>
    <row r="26" spans="2:17" ht="16" x14ac:dyDescent="0.2">
      <c r="B26" s="256" t="s">
        <v>157</v>
      </c>
      <c r="C26" s="289"/>
      <c r="D26" s="289">
        <f>+D23-D25</f>
        <v>283.00044968732618</v>
      </c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6">
        <f>SUM(C26:N26)</f>
        <v>283.00044968732618</v>
      </c>
    </row>
    <row r="27" spans="2:17" ht="17" thickBot="1" x14ac:dyDescent="0.25">
      <c r="B27" s="256" t="s">
        <v>158</v>
      </c>
      <c r="C27" s="289">
        <f>C25+C26</f>
        <v>13271.285106382978</v>
      </c>
      <c r="D27" s="289">
        <f t="shared" ref="D27:N27" si="4">D25+D26</f>
        <v>15028.872790112857</v>
      </c>
      <c r="E27" s="289">
        <f t="shared" si="4"/>
        <v>16957.753191489363</v>
      </c>
      <c r="F27" s="289">
        <f t="shared" si="4"/>
        <v>15483.165957446809</v>
      </c>
      <c r="G27" s="289">
        <f t="shared" si="4"/>
        <v>15483.165957446809</v>
      </c>
      <c r="H27" s="289">
        <f t="shared" si="4"/>
        <v>16220.459574468085</v>
      </c>
      <c r="I27" s="289">
        <f t="shared" si="4"/>
        <v>14260.459574468085</v>
      </c>
      <c r="J27" s="289">
        <f t="shared" si="4"/>
        <v>8847.5234042553184</v>
      </c>
      <c r="K27" s="289">
        <f t="shared" si="4"/>
        <v>16220.459574468085</v>
      </c>
      <c r="L27" s="289">
        <f t="shared" si="4"/>
        <v>15483.165957446809</v>
      </c>
      <c r="M27" s="289">
        <f t="shared" si="4"/>
        <v>15483.165957446809</v>
      </c>
      <c r="N27" s="289">
        <f t="shared" si="4"/>
        <v>6887.5234042553193</v>
      </c>
      <c r="O27" s="286">
        <f>SUM(C27:N27)</f>
        <v>169627.00044968733</v>
      </c>
    </row>
    <row r="28" spans="2:17" ht="17" thickBot="1" x14ac:dyDescent="0.25">
      <c r="B28" s="257" t="s">
        <v>154</v>
      </c>
      <c r="C28" s="223">
        <f>C27-C23</f>
        <v>0</v>
      </c>
      <c r="D28" s="223">
        <f t="shared" ref="D28:N28" si="5">D27-D23</f>
        <v>0</v>
      </c>
      <c r="E28" s="223">
        <f t="shared" si="5"/>
        <v>105.95512811712979</v>
      </c>
      <c r="F28" s="223">
        <f t="shared" si="5"/>
        <v>0</v>
      </c>
      <c r="G28" s="223">
        <f t="shared" si="5"/>
        <v>0</v>
      </c>
      <c r="H28" s="223">
        <f t="shared" si="5"/>
        <v>0</v>
      </c>
      <c r="I28" s="223">
        <f t="shared" si="5"/>
        <v>0</v>
      </c>
      <c r="J28" s="223">
        <f t="shared" si="5"/>
        <v>0</v>
      </c>
      <c r="K28" s="223">
        <f t="shared" si="5"/>
        <v>969.80938146304834</v>
      </c>
      <c r="L28" s="223">
        <f t="shared" si="5"/>
        <v>2030.7057879878721</v>
      </c>
      <c r="M28" s="223">
        <f t="shared" si="5"/>
        <v>0</v>
      </c>
      <c r="N28" s="223">
        <f t="shared" si="5"/>
        <v>0</v>
      </c>
      <c r="O28" s="233">
        <f>SUM(C28:N28)</f>
        <v>3106.4702975680502</v>
      </c>
    </row>
    <row r="29" spans="2:17" x14ac:dyDescent="0.15"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6"/>
    </row>
    <row r="30" spans="2:17" x14ac:dyDescent="0.15">
      <c r="B30" s="297"/>
      <c r="O30" s="298"/>
    </row>
    <row r="31" spans="2:17" x14ac:dyDescent="0.15">
      <c r="B31" s="299" t="s">
        <v>160</v>
      </c>
      <c r="C31" s="1">
        <f>+C9</f>
        <v>52198.030813963218</v>
      </c>
      <c r="D31" s="1">
        <f>+D9+C31</f>
        <v>113200.63158598334</v>
      </c>
      <c r="E31" s="1">
        <f t="shared" ref="E31:N31" si="6">+E9+D31</f>
        <v>174203.23235800347</v>
      </c>
      <c r="F31" s="1">
        <f t="shared" si="6"/>
        <v>238110.71888107219</v>
      </c>
      <c r="G31" s="1">
        <f t="shared" si="6"/>
        <v>302018.20540414087</v>
      </c>
      <c r="H31" s="1">
        <f t="shared" si="6"/>
        <v>336876.83441672381</v>
      </c>
      <c r="I31" s="1">
        <f t="shared" si="6"/>
        <v>400784.32093979249</v>
      </c>
      <c r="J31" s="1">
        <f t="shared" si="6"/>
        <v>461786.92171181261</v>
      </c>
      <c r="K31" s="1">
        <f t="shared" si="6"/>
        <v>522789.52248383273</v>
      </c>
      <c r="L31" s="1">
        <f t="shared" si="6"/>
        <v>557648.15149641561</v>
      </c>
      <c r="M31" s="1">
        <f t="shared" si="6"/>
        <v>609011.6105494973</v>
      </c>
      <c r="N31" s="1">
        <f t="shared" si="6"/>
        <v>666082.12060847692</v>
      </c>
      <c r="O31" s="298"/>
    </row>
    <row r="32" spans="2:17" x14ac:dyDescent="0.15">
      <c r="B32" s="299" t="s">
        <v>161</v>
      </c>
      <c r="C32" s="1">
        <f>+C21</f>
        <v>53085.140425531914</v>
      </c>
      <c r="D32" s="1">
        <f>+C32+D21</f>
        <v>112068.62978723404</v>
      </c>
      <c r="E32" s="1">
        <f t="shared" ref="E32:N32" si="7">+D32+E21</f>
        <v>179475.82204072297</v>
      </c>
      <c r="F32" s="1">
        <f t="shared" si="7"/>
        <v>241408.48587051019</v>
      </c>
      <c r="G32" s="1">
        <f t="shared" si="7"/>
        <v>303341.14970029745</v>
      </c>
      <c r="H32" s="1">
        <f t="shared" si="7"/>
        <v>368222.98799816979</v>
      </c>
      <c r="I32" s="1">
        <f t="shared" si="7"/>
        <v>425264.82629604213</v>
      </c>
      <c r="J32" s="1">
        <f t="shared" si="7"/>
        <v>460654.91991306341</v>
      </c>
      <c r="K32" s="1">
        <f t="shared" si="7"/>
        <v>521657.52068508358</v>
      </c>
      <c r="L32" s="1">
        <f t="shared" si="7"/>
        <v>575467.36136291933</v>
      </c>
      <c r="M32" s="1">
        <f t="shared" si="7"/>
        <v>637400.02519270661</v>
      </c>
      <c r="N32" s="1">
        <f t="shared" si="7"/>
        <v>664950.11880972784</v>
      </c>
      <c r="O32" s="298"/>
    </row>
    <row r="33" spans="2:15" x14ac:dyDescent="0.15">
      <c r="B33" s="297"/>
      <c r="C33" s="1">
        <f>+C22</f>
        <v>53085.140425531914</v>
      </c>
      <c r="D33" s="1">
        <f>+D22+C22</f>
        <v>113200.63158598334</v>
      </c>
      <c r="E33" s="1">
        <f>+E22+D33</f>
        <v>180607.82383947226</v>
      </c>
      <c r="F33" s="1">
        <f t="shared" ref="F33:N33" si="8">+F22+E33</f>
        <v>242540.48766925948</v>
      </c>
      <c r="G33" s="1">
        <f t="shared" si="8"/>
        <v>304473.15149904671</v>
      </c>
      <c r="H33" s="1">
        <f t="shared" si="8"/>
        <v>369354.98979691905</v>
      </c>
      <c r="I33" s="1">
        <f t="shared" si="8"/>
        <v>426396.82809479139</v>
      </c>
      <c r="J33" s="1">
        <f t="shared" si="8"/>
        <v>461786.92171181267</v>
      </c>
      <c r="K33" s="1">
        <f t="shared" si="8"/>
        <v>522789.52248383278</v>
      </c>
      <c r="L33" s="1">
        <f t="shared" si="8"/>
        <v>576599.36316166853</v>
      </c>
      <c r="M33" s="1">
        <f t="shared" si="8"/>
        <v>638532.02699145582</v>
      </c>
      <c r="N33" s="1">
        <f t="shared" si="8"/>
        <v>666082.12060847704</v>
      </c>
      <c r="O33" s="298"/>
    </row>
    <row r="34" spans="2:15" x14ac:dyDescent="0.15">
      <c r="B34" s="29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98"/>
    </row>
    <row r="35" spans="2:15" ht="14" thickBot="1" x14ac:dyDescent="0.2">
      <c r="B35" s="300"/>
      <c r="C35" s="301">
        <f>+IF(C32&lt;C31,C31-C32,0)</f>
        <v>0</v>
      </c>
      <c r="D35" s="301">
        <f>+IF(D32&lt;D31,D31-D32,0)</f>
        <v>1132.0017987493047</v>
      </c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3"/>
    </row>
    <row r="36" spans="2:15" ht="16" x14ac:dyDescent="0.2">
      <c r="B36" s="18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225"/>
    </row>
    <row r="37" spans="2:15" ht="16" x14ac:dyDescent="0.2">
      <c r="B37" s="283" t="s">
        <v>79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225"/>
    </row>
    <row r="38" spans="2:15" ht="16" x14ac:dyDescent="0.2">
      <c r="B38" s="256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225"/>
    </row>
    <row r="39" spans="2:15" ht="16" x14ac:dyDescent="0.2">
      <c r="B39" s="256" t="s">
        <v>150</v>
      </c>
      <c r="C39" s="219">
        <f>'Tab 4'!C28</f>
        <v>3608.373268716542</v>
      </c>
      <c r="D39" s="219">
        <f>'Tab 4'!D28</f>
        <v>3741.1687639396041</v>
      </c>
      <c r="E39" s="219">
        <f>'Tab 4'!E28</f>
        <v>3919.3196574605345</v>
      </c>
      <c r="F39" s="219">
        <f>'Tab 4'!F28</f>
        <v>3919.3196574605354</v>
      </c>
      <c r="G39" s="219">
        <f>'Tab 4'!G28</f>
        <v>2137.8107222512008</v>
      </c>
      <c r="H39" s="219">
        <f>'Tab 4'!H28</f>
        <v>3919.3196574605354</v>
      </c>
      <c r="I39" s="219">
        <f>'Tab 4'!I28</f>
        <v>3741.1687639396023</v>
      </c>
      <c r="J39" s="219">
        <f>'Tab 4'!J28</f>
        <v>3741.1687639396027</v>
      </c>
      <c r="K39" s="219">
        <f>'Tab 4'!K28</f>
        <v>2137.8107222512008</v>
      </c>
      <c r="L39" s="219">
        <f>'Tab 4'!L28</f>
        <v>3391.3508305762534</v>
      </c>
      <c r="M39" s="219">
        <f>'Tab 4'!M28</f>
        <v>3768.1675895291683</v>
      </c>
      <c r="N39" s="219">
        <f>'Tab 4'!N28</f>
        <v>4333.3927279585441</v>
      </c>
      <c r="O39" s="284">
        <f>SUM(C39:N39)</f>
        <v>42358.371125483332</v>
      </c>
    </row>
    <row r="40" spans="2:15" ht="16" x14ac:dyDescent="0.2">
      <c r="B40" s="256" t="s">
        <v>151</v>
      </c>
      <c r="C40" s="219">
        <f>'All. 1'!$C$17/60*C39</f>
        <v>1443.3493074866169</v>
      </c>
      <c r="D40" s="219">
        <f>'All. 1'!$C$17/60*D39</f>
        <v>1496.4675055758416</v>
      </c>
      <c r="E40" s="219">
        <f>'All. 1'!$C$17/60*E39</f>
        <v>1567.727862984214</v>
      </c>
      <c r="F40" s="219">
        <f>'All. 1'!$C$17/60*F39</f>
        <v>1567.7278629842142</v>
      </c>
      <c r="G40" s="219">
        <f>'All. 1'!$C$17/60*G39</f>
        <v>855.12428890048034</v>
      </c>
      <c r="H40" s="219">
        <f>'All. 1'!$C$17/60*H39</f>
        <v>1567.7278629842142</v>
      </c>
      <c r="I40" s="219">
        <f>'All. 1'!$C$17/60*I39</f>
        <v>1496.467505575841</v>
      </c>
      <c r="J40" s="219">
        <f>'All. 1'!$C$17/60*J39</f>
        <v>1496.4675055758412</v>
      </c>
      <c r="K40" s="219">
        <f>'All. 1'!$C$17/60*K39</f>
        <v>855.12428890048034</v>
      </c>
      <c r="L40" s="219">
        <f>'All. 1'!$C$17/60*L39</f>
        <v>1356.5403322305015</v>
      </c>
      <c r="M40" s="219">
        <f>'All. 1'!$C$17/60*M39</f>
        <v>1507.2670358116675</v>
      </c>
      <c r="N40" s="219">
        <f>'All. 1'!$C$17/60*N39</f>
        <v>1733.3570911834177</v>
      </c>
      <c r="O40" s="284">
        <f>SUM(C40:N40)</f>
        <v>16943.348450193331</v>
      </c>
    </row>
    <row r="41" spans="2:15" ht="16" x14ac:dyDescent="0.2">
      <c r="B41" s="256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225"/>
    </row>
    <row r="42" spans="2:15" ht="16" x14ac:dyDescent="0.2">
      <c r="B42" s="256" t="s">
        <v>152</v>
      </c>
      <c r="C42" s="285">
        <f>C12</f>
        <v>18</v>
      </c>
      <c r="D42" s="285">
        <f t="shared" ref="D42:N42" si="9">D12</f>
        <v>20</v>
      </c>
      <c r="E42" s="285">
        <f t="shared" si="9"/>
        <v>23</v>
      </c>
      <c r="F42" s="285">
        <f t="shared" si="9"/>
        <v>21</v>
      </c>
      <c r="G42" s="285">
        <f t="shared" si="9"/>
        <v>21</v>
      </c>
      <c r="H42" s="285">
        <f t="shared" si="9"/>
        <v>22</v>
      </c>
      <c r="I42" s="285">
        <f t="shared" si="9"/>
        <v>22</v>
      </c>
      <c r="J42" s="285">
        <f t="shared" si="9"/>
        <v>12</v>
      </c>
      <c r="K42" s="285">
        <f t="shared" si="9"/>
        <v>22</v>
      </c>
      <c r="L42" s="285">
        <f t="shared" si="9"/>
        <v>21</v>
      </c>
      <c r="M42" s="285">
        <f t="shared" si="9"/>
        <v>21</v>
      </c>
      <c r="N42" s="285">
        <f t="shared" si="9"/>
        <v>12</v>
      </c>
      <c r="O42" s="286">
        <f>SUM(C42:N42)</f>
        <v>235</v>
      </c>
    </row>
    <row r="43" spans="2:15" ht="16" x14ac:dyDescent="0.2">
      <c r="B43" s="256" t="s">
        <v>4</v>
      </c>
      <c r="C43" s="287">
        <f>C42*-'All. 2'!$F$9</f>
        <v>-1.0723404255319149</v>
      </c>
      <c r="D43" s="287">
        <f>D42*-'All. 2'!$F$9</f>
        <v>-1.1914893617021276</v>
      </c>
      <c r="E43" s="287">
        <f>E42*-'All. 2'!$F$9</f>
        <v>-1.3702127659574468</v>
      </c>
      <c r="F43" s="287">
        <f>F42*-'All. 2'!$F$9</f>
        <v>-1.2510638297872341</v>
      </c>
      <c r="G43" s="287">
        <f>G42*-'All. 2'!$F$9</f>
        <v>-1.2510638297872341</v>
      </c>
      <c r="H43" s="287">
        <f>H42*-'All. 2'!$F$9</f>
        <v>-1.3106382978723405</v>
      </c>
      <c r="I43" s="287">
        <f>I42*-'All. 2'!$F$9</f>
        <v>-1.3106382978723405</v>
      </c>
      <c r="J43" s="287">
        <f>J42*-'All. 2'!$F$9</f>
        <v>-0.71489361702127663</v>
      </c>
      <c r="K43" s="287">
        <f>K42*-'All. 2'!$F$9</f>
        <v>-1.3106382978723405</v>
      </c>
      <c r="L43" s="287">
        <f>L42*-'All. 2'!$F$9</f>
        <v>-1.2510638297872341</v>
      </c>
      <c r="M43" s="287">
        <f>M42*-'All. 2'!$F$9</f>
        <v>-1.2510638297872341</v>
      </c>
      <c r="N43" s="287">
        <f>N42*-'All. 2'!$F$9</f>
        <v>-0.71489361702127663</v>
      </c>
      <c r="O43" s="290">
        <f>SUM(C43:N43)</f>
        <v>-14.000000000000004</v>
      </c>
    </row>
    <row r="44" spans="2:15" ht="16" x14ac:dyDescent="0.2">
      <c r="B44" s="256" t="s">
        <v>5</v>
      </c>
      <c r="C44" s="285"/>
      <c r="D44" s="285"/>
      <c r="E44" s="285"/>
      <c r="F44" s="285"/>
      <c r="G44" s="285"/>
      <c r="H44" s="285"/>
      <c r="I44" s="287">
        <f>'All. 2'!$D$8/2</f>
        <v>-2.5</v>
      </c>
      <c r="J44" s="285"/>
      <c r="K44" s="285"/>
      <c r="L44" s="285"/>
      <c r="M44" s="285"/>
      <c r="N44" s="287">
        <f>'All. 2'!$D$8/2</f>
        <v>-2.5</v>
      </c>
      <c r="O44" s="286">
        <f>SUM(C44:N44)</f>
        <v>-5</v>
      </c>
    </row>
    <row r="45" spans="2:15" ht="16" x14ac:dyDescent="0.2">
      <c r="B45" s="256" t="s">
        <v>6</v>
      </c>
      <c r="C45" s="304">
        <f>'All. 2'!$D$10</f>
        <v>8</v>
      </c>
      <c r="D45" s="304">
        <f>'All. 2'!$D$10</f>
        <v>8</v>
      </c>
      <c r="E45" s="304">
        <f>'All. 2'!$D$10</f>
        <v>8</v>
      </c>
      <c r="F45" s="304">
        <f>'All. 2'!$D$10</f>
        <v>8</v>
      </c>
      <c r="G45" s="304">
        <f>'All. 2'!$D$10</f>
        <v>8</v>
      </c>
      <c r="H45" s="304">
        <f>'All. 2'!$D$10</f>
        <v>8</v>
      </c>
      <c r="I45" s="304">
        <f>'All. 2'!$D$10</f>
        <v>8</v>
      </c>
      <c r="J45" s="304">
        <f>'All. 2'!$D$10</f>
        <v>8</v>
      </c>
      <c r="K45" s="304">
        <f>'All. 2'!$D$10</f>
        <v>8</v>
      </c>
      <c r="L45" s="304">
        <f>'All. 2'!$D$10</f>
        <v>8</v>
      </c>
      <c r="M45" s="304">
        <f>'All. 2'!$D$10</f>
        <v>8</v>
      </c>
      <c r="N45" s="304">
        <f>'All. 2'!$D$10</f>
        <v>8</v>
      </c>
      <c r="O45" s="288"/>
    </row>
    <row r="46" spans="2:15" ht="16" x14ac:dyDescent="0.2">
      <c r="B46" s="256" t="s">
        <v>7</v>
      </c>
      <c r="C46" s="285">
        <f>'All. 2'!$D$5</f>
        <v>11</v>
      </c>
      <c r="D46" s="285">
        <f>'All. 2'!$D$5</f>
        <v>11</v>
      </c>
      <c r="E46" s="285">
        <f>'All. 2'!$D$5</f>
        <v>11</v>
      </c>
      <c r="F46" s="285">
        <f>'All. 2'!$D$5</f>
        <v>11</v>
      </c>
      <c r="G46" s="285">
        <f>'All. 2'!$D$5</f>
        <v>11</v>
      </c>
      <c r="H46" s="285">
        <f>'All. 2'!$D$5</f>
        <v>11</v>
      </c>
      <c r="I46" s="285">
        <f>'All. 2'!$D$5</f>
        <v>11</v>
      </c>
      <c r="J46" s="285">
        <f>'All. 2'!$D$5</f>
        <v>11</v>
      </c>
      <c r="K46" s="285">
        <f>'All. 2'!$D$5</f>
        <v>11</v>
      </c>
      <c r="L46" s="285">
        <f>'All. 2'!$D$5</f>
        <v>11</v>
      </c>
      <c r="M46" s="285">
        <f>'All. 2'!$D$5</f>
        <v>11</v>
      </c>
      <c r="N46" s="285">
        <f>'All. 2'!$D$5</f>
        <v>11</v>
      </c>
      <c r="O46" s="288"/>
    </row>
    <row r="47" spans="2:15" ht="17" thickBot="1" x14ac:dyDescent="0.25">
      <c r="B47" s="256" t="s">
        <v>153</v>
      </c>
      <c r="C47" s="219">
        <f>(C42+C43+C44)*C45*C46</f>
        <v>1489.6340425531914</v>
      </c>
      <c r="D47" s="219">
        <f t="shared" ref="D47" si="10">(D42+D43+D44)*D45*D46</f>
        <v>1655.1489361702127</v>
      </c>
      <c r="E47" s="219">
        <f t="shared" ref="E47" si="11">(E42+E43+E44)*E45*E46</f>
        <v>1903.4212765957445</v>
      </c>
      <c r="F47" s="219">
        <f t="shared" ref="F47" si="12">(F42+F43+F44)*F45*F46</f>
        <v>1737.9063829787233</v>
      </c>
      <c r="G47" s="219">
        <f t="shared" ref="G47" si="13">(G42+G43+G44)*G45*G46</f>
        <v>1737.9063829787233</v>
      </c>
      <c r="H47" s="219">
        <f t="shared" ref="H47" si="14">(H42+H43+H44)*H45*H46</f>
        <v>1820.6638297872339</v>
      </c>
      <c r="I47" s="219">
        <f t="shared" ref="I47" si="15">(I42+I43+I44)*I45*I46</f>
        <v>1600.6638297872339</v>
      </c>
      <c r="J47" s="219">
        <f t="shared" ref="J47" si="16">(J42+J43+J44)*J45*J46</f>
        <v>993.08936170212769</v>
      </c>
      <c r="K47" s="219">
        <f t="shared" ref="K47" si="17">(K42+K43+K44)*K45*K46</f>
        <v>1820.6638297872339</v>
      </c>
      <c r="L47" s="219">
        <f t="shared" ref="L47" si="18">(L42+L43+L44)*L45*L46</f>
        <v>1737.9063829787233</v>
      </c>
      <c r="M47" s="219">
        <f t="shared" ref="M47" si="19">(M42+M43+M44)*M45*M46</f>
        <v>1737.9063829787233</v>
      </c>
      <c r="N47" s="219">
        <f t="shared" ref="N47" si="20">(N42+N43+N44)*N45*N46</f>
        <v>773.08936170212769</v>
      </c>
      <c r="O47" s="284">
        <f>SUM(C47:N47)</f>
        <v>19008</v>
      </c>
    </row>
    <row r="48" spans="2:15" ht="17" thickBot="1" x14ac:dyDescent="0.25">
      <c r="B48" s="257" t="s">
        <v>154</v>
      </c>
      <c r="C48" s="223">
        <f>C47-C40</f>
        <v>46.284735066574513</v>
      </c>
      <c r="D48" s="223">
        <f t="shared" ref="D48:O48" si="21">D47-D40</f>
        <v>158.68143059437102</v>
      </c>
      <c r="E48" s="223">
        <f t="shared" si="21"/>
        <v>335.69341361153056</v>
      </c>
      <c r="F48" s="223">
        <f t="shared" si="21"/>
        <v>170.17851999450909</v>
      </c>
      <c r="G48" s="223">
        <f t="shared" si="21"/>
        <v>882.78209407824295</v>
      </c>
      <c r="H48" s="223">
        <f t="shared" si="21"/>
        <v>252.93596680301971</v>
      </c>
      <c r="I48" s="223">
        <f t="shared" si="21"/>
        <v>104.19632421139295</v>
      </c>
      <c r="J48" s="223">
        <f t="shared" si="21"/>
        <v>-503.3781438737135</v>
      </c>
      <c r="K48" s="223">
        <f t="shared" si="21"/>
        <v>965.53954088675357</v>
      </c>
      <c r="L48" s="223">
        <f t="shared" si="21"/>
        <v>381.36605074822182</v>
      </c>
      <c r="M48" s="223">
        <f t="shared" si="21"/>
        <v>230.6393471670558</v>
      </c>
      <c r="N48" s="223">
        <f t="shared" si="21"/>
        <v>-960.26772948128996</v>
      </c>
      <c r="O48" s="233">
        <f t="shared" si="21"/>
        <v>2064.6515498066692</v>
      </c>
    </row>
    <row r="49" spans="2:15" ht="16" x14ac:dyDescent="0.2">
      <c r="B49" s="256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225"/>
    </row>
    <row r="50" spans="2:15" ht="16" x14ac:dyDescent="0.2">
      <c r="B50" s="256" t="s">
        <v>159</v>
      </c>
      <c r="C50" s="254">
        <f>C47/('All. 1'!$C$17/60)</f>
        <v>3724.0851063829782</v>
      </c>
      <c r="D50" s="254">
        <f>D47/('All. 1'!$C$17/60)</f>
        <v>4137.8723404255315</v>
      </c>
      <c r="E50" s="254">
        <f>E47/('All. 1'!$C$17/60)</f>
        <v>4758.5531914893609</v>
      </c>
      <c r="F50" s="254">
        <f>F47/('All. 1'!$C$17/60)</f>
        <v>4344.765957446808</v>
      </c>
      <c r="G50" s="254">
        <f>G47/('All. 1'!$C$17/60)</f>
        <v>4344.765957446808</v>
      </c>
      <c r="H50" s="254">
        <f>H47/('All. 1'!$C$17/60)</f>
        <v>4551.6595744680844</v>
      </c>
      <c r="I50" s="254">
        <f>I47/('All. 1'!$C$17/60)</f>
        <v>4001.6595744680844</v>
      </c>
      <c r="J50" s="254">
        <f>J47/('All. 1'!$C$17/60)</f>
        <v>2482.7234042553191</v>
      </c>
      <c r="K50" s="254">
        <f>K47/('All. 1'!$C$17/60)</f>
        <v>4551.6595744680844</v>
      </c>
      <c r="L50" s="254">
        <f>L47/('All. 1'!$C$17/60)</f>
        <v>4344.765957446808</v>
      </c>
      <c r="M50" s="254">
        <f>M47/('All. 1'!$C$17/60)</f>
        <v>4344.765957446808</v>
      </c>
      <c r="N50" s="254">
        <f>N47/('All. 1'!$C$17/60)</f>
        <v>1932.7234042553191</v>
      </c>
      <c r="O50" s="225"/>
    </row>
    <row r="51" spans="2:15" ht="16" x14ac:dyDescent="0.2">
      <c r="B51" s="256"/>
      <c r="C51" s="219">
        <f>MIN(SUM(C39:$N39)-SUM(D51:$N51),C50)</f>
        <v>3608.3732687165466</v>
      </c>
      <c r="D51" s="219">
        <f>MIN(SUM(D39:$N39)-SUM(E51:$N51),D50)</f>
        <v>3741.1687639395968</v>
      </c>
      <c r="E51" s="219">
        <f>MIN(SUM(E39:$N39)-SUM(F51:$N51),E50)</f>
        <v>3919.3196574605463</v>
      </c>
      <c r="F51" s="219">
        <f>MIN(SUM(F39:$N39)-SUM(G51:$N51),F50)</f>
        <v>3919.3196574605354</v>
      </c>
      <c r="G51" s="219">
        <f>MIN(SUM(G39:$N39)-SUM(H51:$N51),G50)</f>
        <v>2503.4253543994528</v>
      </c>
      <c r="H51" s="219">
        <f>MIN(SUM(H39:$N39)-SUM(I51:$N51),H50)</f>
        <v>4551.6595744680844</v>
      </c>
      <c r="I51" s="219">
        <f>MIN(SUM(I39:$N39)-SUM(J51:$N51),I50)</f>
        <v>4001.6595744680844</v>
      </c>
      <c r="J51" s="219">
        <f>MIN(SUM(J39:$N39)-SUM(K51:$N51),J50)</f>
        <v>2482.7234042553191</v>
      </c>
      <c r="K51" s="219">
        <f>MIN(SUM(K39:$N39)-SUM(L51:$N51),K50)</f>
        <v>3008.4665511662315</v>
      </c>
      <c r="L51" s="219">
        <f>MIN(SUM(L39:$N39)-SUM(M51:$N51),L50)</f>
        <v>4344.765957446808</v>
      </c>
      <c r="M51" s="219">
        <f>MIN(SUM(M39:$N39)-SUM(N51:$N51),M50)</f>
        <v>4344.765957446808</v>
      </c>
      <c r="N51" s="219">
        <f>+N50</f>
        <v>1932.7234042553191</v>
      </c>
      <c r="O51" s="284">
        <f>SUM(C51:N51)</f>
        <v>42358.371125483325</v>
      </c>
    </row>
    <row r="52" spans="2:15" ht="16" x14ac:dyDescent="0.2">
      <c r="B52" s="291" t="s">
        <v>155</v>
      </c>
      <c r="C52" s="292">
        <f>+C51+C65</f>
        <v>3608.3732687165466</v>
      </c>
      <c r="D52" s="292">
        <f>+D51+D65</f>
        <v>3741.1687639395996</v>
      </c>
      <c r="E52" s="292">
        <f t="shared" ref="E52" si="22">+E51+E65</f>
        <v>3919.3196574605463</v>
      </c>
      <c r="F52" s="292">
        <f t="shared" ref="F52" si="23">+F51+F65</f>
        <v>3919.3196574605354</v>
      </c>
      <c r="G52" s="292">
        <f t="shared" ref="G52" si="24">+G51+G65</f>
        <v>2503.4253543994528</v>
      </c>
      <c r="H52" s="292">
        <f t="shared" ref="H52" si="25">+H51+H65</f>
        <v>4551.6595744680844</v>
      </c>
      <c r="I52" s="292">
        <f t="shared" ref="I52" si="26">+I51+I65</f>
        <v>4001.6595744680844</v>
      </c>
      <c r="J52" s="292">
        <f t="shared" ref="J52" si="27">+J51+J65</f>
        <v>2482.7234042553191</v>
      </c>
      <c r="K52" s="292">
        <f t="shared" ref="K52" si="28">+K51+K65</f>
        <v>3008.4665511662315</v>
      </c>
      <c r="L52" s="292">
        <f t="shared" ref="L52" si="29">+L51+L65</f>
        <v>4344.765957446808</v>
      </c>
      <c r="M52" s="292">
        <f t="shared" ref="M52" si="30">+M51+M65</f>
        <v>4344.765957446808</v>
      </c>
      <c r="N52" s="292">
        <f t="shared" ref="N52" si="31">+N51+N65</f>
        <v>1932.7234042553191</v>
      </c>
      <c r="O52" s="293">
        <f>SUM(C52:N52)</f>
        <v>42358.371125483332</v>
      </c>
    </row>
    <row r="53" spans="2:15" ht="16" x14ac:dyDescent="0.2">
      <c r="B53" s="256" t="s">
        <v>162</v>
      </c>
      <c r="C53" s="219">
        <f>'All. 1'!$C$17/60*C52</f>
        <v>1443.3493074866187</v>
      </c>
      <c r="D53" s="219">
        <f>'All. 1'!$C$17/60*D52</f>
        <v>1496.4675055758398</v>
      </c>
      <c r="E53" s="219">
        <f>'All. 1'!$C$17/60*E52</f>
        <v>1567.7278629842185</v>
      </c>
      <c r="F53" s="219">
        <f>'All. 1'!$C$17/60*F52</f>
        <v>1567.7278629842142</v>
      </c>
      <c r="G53" s="219">
        <f>'All. 1'!$C$17/60*G52</f>
        <v>1001.3701417597812</v>
      </c>
      <c r="H53" s="219">
        <f>'All. 1'!$C$17/60*H52</f>
        <v>1820.6638297872339</v>
      </c>
      <c r="I53" s="219">
        <f>'All. 1'!$C$17/60*I52</f>
        <v>1600.6638297872339</v>
      </c>
      <c r="J53" s="219">
        <f>'All. 1'!$C$17/60*J52</f>
        <v>993.08936170212769</v>
      </c>
      <c r="K53" s="219">
        <f>'All. 1'!$C$17/60*K52</f>
        <v>1203.3866204664926</v>
      </c>
      <c r="L53" s="219">
        <f>'All. 1'!$C$17/60*L52</f>
        <v>1737.9063829787233</v>
      </c>
      <c r="M53" s="219">
        <f>'All. 1'!$C$17/60*M52</f>
        <v>1737.9063829787233</v>
      </c>
      <c r="N53" s="219">
        <f>'All. 1'!$C$17/60*N52</f>
        <v>773.08936170212769</v>
      </c>
      <c r="O53" s="284">
        <f>SUM(C53:N53)</f>
        <v>16943.348450193334</v>
      </c>
    </row>
    <row r="54" spans="2:15" ht="16" x14ac:dyDescent="0.2">
      <c r="B54" s="256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225"/>
    </row>
    <row r="55" spans="2:15" ht="16" x14ac:dyDescent="0.2">
      <c r="B55" s="256" t="s">
        <v>156</v>
      </c>
      <c r="C55" s="289">
        <f>C47</f>
        <v>1489.6340425531914</v>
      </c>
      <c r="D55" s="289">
        <f t="shared" ref="D55:N55" si="32">D47</f>
        <v>1655.1489361702127</v>
      </c>
      <c r="E55" s="289">
        <f t="shared" si="32"/>
        <v>1903.4212765957445</v>
      </c>
      <c r="F55" s="289">
        <f t="shared" si="32"/>
        <v>1737.9063829787233</v>
      </c>
      <c r="G55" s="289">
        <f t="shared" si="32"/>
        <v>1737.9063829787233</v>
      </c>
      <c r="H55" s="289">
        <f t="shared" si="32"/>
        <v>1820.6638297872339</v>
      </c>
      <c r="I55" s="289">
        <f t="shared" si="32"/>
        <v>1600.6638297872339</v>
      </c>
      <c r="J55" s="289">
        <f t="shared" si="32"/>
        <v>993.08936170212769</v>
      </c>
      <c r="K55" s="289">
        <f t="shared" si="32"/>
        <v>1820.6638297872339</v>
      </c>
      <c r="L55" s="289">
        <f t="shared" si="32"/>
        <v>1737.9063829787233</v>
      </c>
      <c r="M55" s="289">
        <f t="shared" si="32"/>
        <v>1737.9063829787233</v>
      </c>
      <c r="N55" s="289">
        <f t="shared" si="32"/>
        <v>773.08936170212769</v>
      </c>
      <c r="O55" s="286">
        <f>SUM(C55:N55)</f>
        <v>19008</v>
      </c>
    </row>
    <row r="56" spans="2:15" ht="16" x14ac:dyDescent="0.2">
      <c r="B56" s="256" t="s">
        <v>157</v>
      </c>
      <c r="C56" s="289"/>
      <c r="D56" s="289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6">
        <f>SUM(C56:N56)</f>
        <v>0</v>
      </c>
    </row>
    <row r="57" spans="2:15" ht="17" thickBot="1" x14ac:dyDescent="0.25">
      <c r="B57" s="256" t="s">
        <v>158</v>
      </c>
      <c r="C57" s="289">
        <f>C55+C56</f>
        <v>1489.6340425531914</v>
      </c>
      <c r="D57" s="289">
        <f t="shared" ref="D57" si="33">D55+D56</f>
        <v>1655.1489361702127</v>
      </c>
      <c r="E57" s="289">
        <f t="shared" ref="E57" si="34">E55+E56</f>
        <v>1903.4212765957445</v>
      </c>
      <c r="F57" s="289">
        <f t="shared" ref="F57" si="35">F55+F56</f>
        <v>1737.9063829787233</v>
      </c>
      <c r="G57" s="289">
        <f t="shared" ref="G57" si="36">G55+G56</f>
        <v>1737.9063829787233</v>
      </c>
      <c r="H57" s="289">
        <f t="shared" ref="H57" si="37">H55+H56</f>
        <v>1820.6638297872339</v>
      </c>
      <c r="I57" s="289">
        <f t="shared" ref="I57" si="38">I55+I56</f>
        <v>1600.6638297872339</v>
      </c>
      <c r="J57" s="289">
        <f t="shared" ref="J57" si="39">J55+J56</f>
        <v>993.08936170212769</v>
      </c>
      <c r="K57" s="289">
        <f t="shared" ref="K57" si="40">K55+K56</f>
        <v>1820.6638297872339</v>
      </c>
      <c r="L57" s="289">
        <f t="shared" ref="L57" si="41">L55+L56</f>
        <v>1737.9063829787233</v>
      </c>
      <c r="M57" s="289">
        <f t="shared" ref="M57" si="42">M55+M56</f>
        <v>1737.9063829787233</v>
      </c>
      <c r="N57" s="289">
        <f t="shared" ref="N57" si="43">N55+N56</f>
        <v>773.08936170212769</v>
      </c>
      <c r="O57" s="286">
        <f>SUM(C57:N57)</f>
        <v>19008</v>
      </c>
    </row>
    <row r="58" spans="2:15" ht="17" thickBot="1" x14ac:dyDescent="0.25">
      <c r="B58" s="257" t="s">
        <v>154</v>
      </c>
      <c r="C58" s="223">
        <f>C57-C53</f>
        <v>46.284735066572694</v>
      </c>
      <c r="D58" s="223">
        <f t="shared" ref="D58" si="44">D57-D53</f>
        <v>158.68143059437284</v>
      </c>
      <c r="E58" s="223">
        <f t="shared" ref="E58" si="45">E57-E53</f>
        <v>335.69341361152601</v>
      </c>
      <c r="F58" s="223">
        <f t="shared" ref="F58" si="46">F57-F53</f>
        <v>170.17851999450909</v>
      </c>
      <c r="G58" s="223">
        <f t="shared" ref="G58" si="47">G57-G53</f>
        <v>736.53624121894211</v>
      </c>
      <c r="H58" s="223">
        <f t="shared" ref="H58" si="48">H57-H53</f>
        <v>0</v>
      </c>
      <c r="I58" s="223">
        <f t="shared" ref="I58" si="49">I57-I53</f>
        <v>0</v>
      </c>
      <c r="J58" s="223">
        <f t="shared" ref="J58" si="50">J57-J53</f>
        <v>0</v>
      </c>
      <c r="K58" s="223">
        <f t="shared" ref="K58" si="51">K57-K53</f>
        <v>617.27720932074135</v>
      </c>
      <c r="L58" s="223">
        <f t="shared" ref="L58" si="52">L57-L53</f>
        <v>0</v>
      </c>
      <c r="M58" s="223">
        <f t="shared" ref="M58" si="53">M57-M53</f>
        <v>0</v>
      </c>
      <c r="N58" s="223">
        <f t="shared" ref="N58" si="54">N57-N53</f>
        <v>0</v>
      </c>
      <c r="O58" s="233">
        <f>SUM(C58:N58)</f>
        <v>2064.6515498066642</v>
      </c>
    </row>
    <row r="59" spans="2:15" x14ac:dyDescent="0.15">
      <c r="B59" s="294"/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6"/>
    </row>
    <row r="60" spans="2:15" x14ac:dyDescent="0.15">
      <c r="B60" s="297"/>
      <c r="O60" s="298"/>
    </row>
    <row r="61" spans="2:15" x14ac:dyDescent="0.15">
      <c r="B61" s="299" t="s">
        <v>160</v>
      </c>
      <c r="C61" s="1">
        <f>+C39</f>
        <v>3608.373268716542</v>
      </c>
      <c r="D61" s="1">
        <f t="shared" ref="D61:N61" si="55">+D39+C61</f>
        <v>7349.5420326561461</v>
      </c>
      <c r="E61" s="1">
        <f t="shared" si="55"/>
        <v>11268.861690116681</v>
      </c>
      <c r="F61" s="1">
        <f t="shared" si="55"/>
        <v>15188.181347577216</v>
      </c>
      <c r="G61" s="1">
        <f t="shared" si="55"/>
        <v>17325.992069828419</v>
      </c>
      <c r="H61" s="1">
        <f t="shared" si="55"/>
        <v>21245.311727288954</v>
      </c>
      <c r="I61" s="1">
        <f t="shared" si="55"/>
        <v>24986.480491228554</v>
      </c>
      <c r="J61" s="1">
        <f t="shared" si="55"/>
        <v>28727.649255168159</v>
      </c>
      <c r="K61" s="1">
        <f t="shared" si="55"/>
        <v>30865.459977419359</v>
      </c>
      <c r="L61" s="1">
        <f t="shared" si="55"/>
        <v>34256.810807995615</v>
      </c>
      <c r="M61" s="1">
        <f t="shared" si="55"/>
        <v>38024.978397524785</v>
      </c>
      <c r="N61" s="1">
        <f t="shared" si="55"/>
        <v>42358.371125483332</v>
      </c>
      <c r="O61" s="298"/>
    </row>
    <row r="62" spans="2:15" x14ac:dyDescent="0.15">
      <c r="B62" s="299" t="s">
        <v>161</v>
      </c>
      <c r="C62" s="1">
        <f>+C51</f>
        <v>3608.3732687165466</v>
      </c>
      <c r="D62" s="1">
        <f t="shared" ref="D62:N62" si="56">+C62+D51</f>
        <v>7349.5420326561434</v>
      </c>
      <c r="E62" s="1">
        <f t="shared" si="56"/>
        <v>11268.86169011669</v>
      </c>
      <c r="F62" s="1">
        <f t="shared" si="56"/>
        <v>15188.181347577225</v>
      </c>
      <c r="G62" s="1">
        <f t="shared" si="56"/>
        <v>17691.606701976678</v>
      </c>
      <c r="H62" s="1">
        <f t="shared" si="56"/>
        <v>22243.266276444763</v>
      </c>
      <c r="I62" s="1">
        <f t="shared" si="56"/>
        <v>26244.925850912849</v>
      </c>
      <c r="J62" s="1">
        <f t="shared" si="56"/>
        <v>28727.649255168166</v>
      </c>
      <c r="K62" s="1">
        <f t="shared" si="56"/>
        <v>31736.115806334397</v>
      </c>
      <c r="L62" s="1">
        <f t="shared" si="56"/>
        <v>36080.881763781203</v>
      </c>
      <c r="M62" s="1">
        <f t="shared" si="56"/>
        <v>40425.647721228008</v>
      </c>
      <c r="N62" s="1">
        <f t="shared" si="56"/>
        <v>42358.371125483325</v>
      </c>
      <c r="O62" s="298"/>
    </row>
    <row r="63" spans="2:15" x14ac:dyDescent="0.15">
      <c r="B63" s="297"/>
      <c r="C63" s="1">
        <f>+C52</f>
        <v>3608.3732687165466</v>
      </c>
      <c r="D63" s="1">
        <f>+D52+C52</f>
        <v>7349.5420326561461</v>
      </c>
      <c r="E63" s="1">
        <f>+E52+D63</f>
        <v>11268.861690116693</v>
      </c>
      <c r="F63" s="1">
        <f t="shared" ref="F63:N63" si="57">+F52+E63</f>
        <v>15188.181347577229</v>
      </c>
      <c r="G63" s="1">
        <f t="shared" si="57"/>
        <v>17691.606701976682</v>
      </c>
      <c r="H63" s="1">
        <f t="shared" si="57"/>
        <v>22243.266276444767</v>
      </c>
      <c r="I63" s="1">
        <f t="shared" si="57"/>
        <v>26244.925850912852</v>
      </c>
      <c r="J63" s="1">
        <f t="shared" si="57"/>
        <v>28727.649255168173</v>
      </c>
      <c r="K63" s="1">
        <f t="shared" si="57"/>
        <v>31736.115806334405</v>
      </c>
      <c r="L63" s="1">
        <f t="shared" si="57"/>
        <v>36080.88176378121</v>
      </c>
      <c r="M63" s="1">
        <f t="shared" si="57"/>
        <v>40425.647721228015</v>
      </c>
      <c r="N63" s="1">
        <f t="shared" si="57"/>
        <v>42358.371125483332</v>
      </c>
      <c r="O63" s="298"/>
    </row>
    <row r="64" spans="2:15" x14ac:dyDescent="0.15">
      <c r="B64" s="29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98"/>
    </row>
    <row r="65" spans="2:15" ht="14" thickBot="1" x14ac:dyDescent="0.2">
      <c r="B65" s="300"/>
      <c r="C65" s="301">
        <f>+IF(C62&lt;C61,C61-C62,0)</f>
        <v>0</v>
      </c>
      <c r="D65" s="301">
        <f>+IF(D62&lt;D61,D61-D62,0)</f>
        <v>2.7284841053187847E-12</v>
      </c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3"/>
    </row>
  </sheetData>
  <mergeCells count="1">
    <mergeCell ref="C4:O4"/>
  </mergeCells>
  <conditionalFormatting sqref="C18:N18 C28:N28">
    <cfRule type="cellIs" dxfId="3" priority="2" operator="lessThan">
      <formula>0</formula>
    </cfRule>
  </conditionalFormatting>
  <conditionalFormatting sqref="C48:N48 C58:N58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dimension ref="B2:Q56"/>
  <sheetViews>
    <sheetView showGridLines="0" zoomScale="137" zoomScaleNormal="140" workbookViewId="0">
      <selection activeCell="C14" sqref="C14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255" t="s">
        <v>172</v>
      </c>
    </row>
    <row r="3" spans="2:15" ht="14" thickBot="1" x14ac:dyDescent="0.2"/>
    <row r="4" spans="2:15" ht="16" x14ac:dyDescent="0.15">
      <c r="B4" s="217"/>
      <c r="C4" s="305" t="s">
        <v>85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7"/>
    </row>
    <row r="5" spans="2:15" ht="16" x14ac:dyDescent="0.15">
      <c r="B5" s="130"/>
      <c r="C5" s="224" t="s">
        <v>100</v>
      </c>
      <c r="D5" s="224" t="s">
        <v>101</v>
      </c>
      <c r="E5" s="224" t="s">
        <v>102</v>
      </c>
      <c r="F5" s="224" t="s">
        <v>103</v>
      </c>
      <c r="G5" s="224" t="s">
        <v>104</v>
      </c>
      <c r="H5" s="224" t="s">
        <v>105</v>
      </c>
      <c r="I5" s="224" t="s">
        <v>106</v>
      </c>
      <c r="J5" s="224" t="s">
        <v>107</v>
      </c>
      <c r="K5" s="224" t="s">
        <v>108</v>
      </c>
      <c r="L5" s="224" t="s">
        <v>109</v>
      </c>
      <c r="M5" s="224" t="s">
        <v>110</v>
      </c>
      <c r="N5" s="224" t="s">
        <v>111</v>
      </c>
      <c r="O5" s="229" t="s">
        <v>68</v>
      </c>
    </row>
    <row r="6" spans="2:15" ht="16" x14ac:dyDescent="0.2">
      <c r="B6" s="18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25"/>
    </row>
    <row r="7" spans="2:15" ht="16" x14ac:dyDescent="0.2">
      <c r="B7" s="283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225"/>
    </row>
    <row r="8" spans="2:15" ht="16" x14ac:dyDescent="0.2">
      <c r="B8" s="256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225"/>
    </row>
    <row r="9" spans="2:15" ht="16" x14ac:dyDescent="0.2">
      <c r="B9" s="256" t="s">
        <v>150</v>
      </c>
      <c r="C9" s="219">
        <f>'Tab 4'!C15</f>
        <v>52198.030813963218</v>
      </c>
      <c r="D9" s="219">
        <f>'Tab 4'!D15</f>
        <v>61002.600772020123</v>
      </c>
      <c r="E9" s="219">
        <f>'Tab 4'!E15</f>
        <v>61002.600772020131</v>
      </c>
      <c r="F9" s="219">
        <f>'Tab 4'!F15</f>
        <v>63907.486523068699</v>
      </c>
      <c r="G9" s="219">
        <f>'Tab 4'!G15</f>
        <v>63907.486523068714</v>
      </c>
      <c r="H9" s="219">
        <f>'Tab 4'!H15</f>
        <v>34858.629012582933</v>
      </c>
      <c r="I9" s="219">
        <f>'Tab 4'!I15</f>
        <v>63907.486523068706</v>
      </c>
      <c r="J9" s="219">
        <f>'Tab 4'!J15</f>
        <v>61002.600772020123</v>
      </c>
      <c r="K9" s="219">
        <f>'Tab 4'!K15</f>
        <v>61002.600772020138</v>
      </c>
      <c r="L9" s="219">
        <f>'Tab 4'!L15</f>
        <v>34858.629012582925</v>
      </c>
      <c r="M9" s="219">
        <f>'Tab 4'!M15</f>
        <v>51363.459053081679</v>
      </c>
      <c r="N9" s="219">
        <f>'Tab 4'!N15</f>
        <v>57070.510058979642</v>
      </c>
      <c r="O9" s="284">
        <f>SUM(C9:N9)</f>
        <v>666082.12060847692</v>
      </c>
    </row>
    <row r="10" spans="2:15" ht="16" x14ac:dyDescent="0.2">
      <c r="B10" s="256" t="s">
        <v>163</v>
      </c>
      <c r="C10" s="219">
        <f>'All. 1'!$D$10/60*C9</f>
        <v>1130.9573343025365</v>
      </c>
      <c r="D10" s="219">
        <f>'All. 1'!$D$10/60*D9</f>
        <v>1321.7230167271027</v>
      </c>
      <c r="E10" s="219">
        <f>'All. 1'!$D$10/60*E9</f>
        <v>1321.723016727103</v>
      </c>
      <c r="F10" s="219">
        <f>'All. 1'!$D$10/60*F9</f>
        <v>1384.6622079998219</v>
      </c>
      <c r="G10" s="219">
        <f>'All. 1'!$D$10/60*G9</f>
        <v>1384.6622079998222</v>
      </c>
      <c r="H10" s="219">
        <f>'All. 1'!$D$10/60*H9</f>
        <v>755.27029527263028</v>
      </c>
      <c r="I10" s="219">
        <f>'All. 1'!$D$10/60*I9</f>
        <v>1384.6622079998219</v>
      </c>
      <c r="J10" s="219">
        <f>'All. 1'!$D$10/60*J9</f>
        <v>1321.7230167271027</v>
      </c>
      <c r="K10" s="219">
        <f>'All. 1'!$D$10/60*K9</f>
        <v>1321.723016727103</v>
      </c>
      <c r="L10" s="219">
        <f>'All. 1'!$D$10/60*L9</f>
        <v>755.27029527263005</v>
      </c>
      <c r="M10" s="219">
        <f>'All. 1'!$D$10/60*M9</f>
        <v>1112.8749461501031</v>
      </c>
      <c r="N10" s="219">
        <f>'All. 1'!$D$10/60*N9</f>
        <v>1236.5277179445588</v>
      </c>
      <c r="O10" s="284">
        <f>SUM(C10:N10)</f>
        <v>14431.779279850336</v>
      </c>
    </row>
    <row r="11" spans="2:15" ht="16" x14ac:dyDescent="0.2">
      <c r="B11" s="25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225"/>
    </row>
    <row r="12" spans="2:15" ht="16" x14ac:dyDescent="0.2">
      <c r="B12" s="256" t="s">
        <v>164</v>
      </c>
      <c r="C12" s="304">
        <v>18</v>
      </c>
      <c r="D12" s="285">
        <v>20</v>
      </c>
      <c r="E12" s="285">
        <v>23</v>
      </c>
      <c r="F12" s="285">
        <v>21</v>
      </c>
      <c r="G12" s="285">
        <v>21</v>
      </c>
      <c r="H12" s="285">
        <v>22</v>
      </c>
      <c r="I12" s="285">
        <v>22</v>
      </c>
      <c r="J12" s="285">
        <v>12</v>
      </c>
      <c r="K12" s="285">
        <v>22</v>
      </c>
      <c r="L12" s="285">
        <v>21</v>
      </c>
      <c r="M12" s="285">
        <v>21</v>
      </c>
      <c r="N12" s="285">
        <v>12</v>
      </c>
      <c r="O12" s="286">
        <f>SUM(C12:N12)</f>
        <v>235</v>
      </c>
    </row>
    <row r="13" spans="2:15" ht="16" x14ac:dyDescent="0.2">
      <c r="B13" s="256" t="s">
        <v>165</v>
      </c>
      <c r="C13" s="304">
        <f>-'All. 3'!$C$9/12</f>
        <v>-1</v>
      </c>
      <c r="D13" s="304">
        <f>-'All. 3'!$C$9/12</f>
        <v>-1</v>
      </c>
      <c r="E13" s="304">
        <f>-'All. 3'!$C$9/12</f>
        <v>-1</v>
      </c>
      <c r="F13" s="304">
        <f>-'All. 3'!$C$9/12</f>
        <v>-1</v>
      </c>
      <c r="G13" s="304">
        <f>-'All. 3'!$C$9/12</f>
        <v>-1</v>
      </c>
      <c r="H13" s="304">
        <f>-'All. 3'!$C$9/12</f>
        <v>-1</v>
      </c>
      <c r="I13" s="304">
        <f>-'All. 3'!$C$9/12</f>
        <v>-1</v>
      </c>
      <c r="J13" s="304">
        <f>-'All. 3'!$C$9/12</f>
        <v>-1</v>
      </c>
      <c r="K13" s="304">
        <f>-'All. 3'!$C$9/12</f>
        <v>-1</v>
      </c>
      <c r="L13" s="304">
        <f>-'All. 3'!$C$9/12</f>
        <v>-1</v>
      </c>
      <c r="M13" s="304">
        <f>-'All. 3'!$C$9/12</f>
        <v>-1</v>
      </c>
      <c r="N13" s="304">
        <f>-'All. 3'!$C$9/12</f>
        <v>-1</v>
      </c>
      <c r="O13" s="290">
        <f>SUM(C13:N13)</f>
        <v>-12</v>
      </c>
    </row>
    <row r="14" spans="2:15" ht="16" x14ac:dyDescent="0.2">
      <c r="B14" s="256" t="s">
        <v>5</v>
      </c>
      <c r="C14" s="285"/>
      <c r="D14" s="285"/>
      <c r="E14" s="285"/>
      <c r="F14" s="285"/>
      <c r="G14" s="285"/>
      <c r="H14" s="285"/>
      <c r="I14" s="287">
        <f>'All. 2'!$C$8/2</f>
        <v>-2.5</v>
      </c>
      <c r="J14" s="285"/>
      <c r="K14" s="285"/>
      <c r="L14" s="285"/>
      <c r="M14" s="285"/>
      <c r="N14" s="287">
        <f>'All. 2'!$C$8/2</f>
        <v>-2.5</v>
      </c>
      <c r="O14" s="286">
        <f>SUM(C14:N14)</f>
        <v>-5</v>
      </c>
    </row>
    <row r="15" spans="2:15" ht="16" x14ac:dyDescent="0.2">
      <c r="B15" s="256" t="s">
        <v>166</v>
      </c>
      <c r="C15" s="304">
        <f>'All. 3'!$C$7</f>
        <v>3</v>
      </c>
      <c r="D15" s="304">
        <f>'All. 3'!$C$7</f>
        <v>3</v>
      </c>
      <c r="E15" s="304">
        <f>'All. 3'!$C$7</f>
        <v>3</v>
      </c>
      <c r="F15" s="304">
        <f>'All. 3'!$C$7</f>
        <v>3</v>
      </c>
      <c r="G15" s="304">
        <f>'All. 3'!$C$7</f>
        <v>3</v>
      </c>
      <c r="H15" s="304">
        <f>'All. 3'!$C$7</f>
        <v>3</v>
      </c>
      <c r="I15" s="304">
        <f>'All. 3'!$C$7</f>
        <v>3</v>
      </c>
      <c r="J15" s="304">
        <f>'All. 3'!$C$7</f>
        <v>3</v>
      </c>
      <c r="K15" s="304">
        <f>'All. 3'!$C$7</f>
        <v>3</v>
      </c>
      <c r="L15" s="304">
        <f>'All. 3'!$C$7</f>
        <v>3</v>
      </c>
      <c r="M15" s="304">
        <f>'All. 3'!$C$7</f>
        <v>3</v>
      </c>
      <c r="N15" s="304">
        <f>'All. 3'!$C$7</f>
        <v>3</v>
      </c>
      <c r="O15" s="288"/>
    </row>
    <row r="16" spans="2:15" ht="16" x14ac:dyDescent="0.2">
      <c r="B16" s="256" t="s">
        <v>8</v>
      </c>
      <c r="C16" s="304">
        <f>'All. 3'!$C$10</f>
        <v>3</v>
      </c>
      <c r="D16" s="304">
        <f>'All. 3'!$C$10</f>
        <v>3</v>
      </c>
      <c r="E16" s="304">
        <f>'All. 3'!$C$10</f>
        <v>3</v>
      </c>
      <c r="F16" s="304">
        <f>'All. 3'!$C$10</f>
        <v>3</v>
      </c>
      <c r="G16" s="304">
        <f>'All. 3'!$C$10</f>
        <v>3</v>
      </c>
      <c r="H16" s="304">
        <f>'All. 3'!$C$10</f>
        <v>3</v>
      </c>
      <c r="I16" s="304">
        <f>'All. 3'!$C$10</f>
        <v>3</v>
      </c>
      <c r="J16" s="304">
        <f>'All. 3'!$C$10</f>
        <v>3</v>
      </c>
      <c r="K16" s="304">
        <f>'All. 3'!$C$10</f>
        <v>3</v>
      </c>
      <c r="L16" s="304">
        <f>'All. 3'!$C$10</f>
        <v>3</v>
      </c>
      <c r="M16" s="304">
        <f>'All. 3'!$C$10</f>
        <v>3</v>
      </c>
      <c r="N16" s="304">
        <f>'All. 3'!$C$10</f>
        <v>3</v>
      </c>
      <c r="O16" s="288"/>
    </row>
    <row r="17" spans="2:17" ht="16" x14ac:dyDescent="0.2">
      <c r="B17" s="256" t="s">
        <v>167</v>
      </c>
      <c r="C17" s="304">
        <f>'All. 3'!$C$11</f>
        <v>8</v>
      </c>
      <c r="D17" s="304">
        <f>'All. 3'!$C$11</f>
        <v>8</v>
      </c>
      <c r="E17" s="304">
        <f>'All. 3'!$C$11</f>
        <v>8</v>
      </c>
      <c r="F17" s="304">
        <f>'All. 3'!$C$11</f>
        <v>8</v>
      </c>
      <c r="G17" s="304">
        <f>'All. 3'!$C$11</f>
        <v>8</v>
      </c>
      <c r="H17" s="304">
        <f>'All. 3'!$C$11</f>
        <v>8</v>
      </c>
      <c r="I17" s="304">
        <f>'All. 3'!$C$11</f>
        <v>8</v>
      </c>
      <c r="J17" s="304">
        <f>'All. 3'!$C$11</f>
        <v>8</v>
      </c>
      <c r="K17" s="304">
        <f>'All. 3'!$C$11</f>
        <v>8</v>
      </c>
      <c r="L17" s="304">
        <f>'All. 3'!$C$11</f>
        <v>8</v>
      </c>
      <c r="M17" s="304">
        <f>'All. 3'!$C$11</f>
        <v>8</v>
      </c>
      <c r="N17" s="304">
        <f>'All. 3'!$C$11</f>
        <v>8</v>
      </c>
      <c r="O17" s="288"/>
    </row>
    <row r="18" spans="2:17" ht="17" thickBot="1" x14ac:dyDescent="0.25">
      <c r="B18" s="256" t="s">
        <v>153</v>
      </c>
      <c r="C18" s="219">
        <f>(C12+C13+C14)*C15*C16*C17</f>
        <v>1224</v>
      </c>
      <c r="D18" s="219">
        <f t="shared" ref="D18:N18" si="0">(D12+D13+D14)*D15*D16*D17</f>
        <v>1368</v>
      </c>
      <c r="E18" s="219">
        <f t="shared" si="0"/>
        <v>1584</v>
      </c>
      <c r="F18" s="219">
        <f t="shared" si="0"/>
        <v>1440</v>
      </c>
      <c r="G18" s="219">
        <f t="shared" si="0"/>
        <v>1440</v>
      </c>
      <c r="H18" s="219">
        <f t="shared" si="0"/>
        <v>1512</v>
      </c>
      <c r="I18" s="219">
        <f t="shared" si="0"/>
        <v>1332</v>
      </c>
      <c r="J18" s="219">
        <f t="shared" si="0"/>
        <v>792</v>
      </c>
      <c r="K18" s="219">
        <f t="shared" si="0"/>
        <v>1512</v>
      </c>
      <c r="L18" s="219">
        <f t="shared" si="0"/>
        <v>1440</v>
      </c>
      <c r="M18" s="219">
        <f t="shared" si="0"/>
        <v>1440</v>
      </c>
      <c r="N18" s="219">
        <f t="shared" si="0"/>
        <v>612</v>
      </c>
      <c r="O18" s="284">
        <f>SUM(C18:N18)</f>
        <v>15696</v>
      </c>
    </row>
    <row r="19" spans="2:17" ht="17" thickBot="1" x14ac:dyDescent="0.25">
      <c r="B19" s="257" t="s">
        <v>154</v>
      </c>
      <c r="C19" s="223">
        <f>C18-C10</f>
        <v>93.042665697463462</v>
      </c>
      <c r="D19" s="223">
        <f t="shared" ref="D19:O19" si="1">D18-D10</f>
        <v>46.276983272897269</v>
      </c>
      <c r="E19" s="223">
        <f t="shared" si="1"/>
        <v>262.27698327289704</v>
      </c>
      <c r="F19" s="223">
        <f t="shared" si="1"/>
        <v>55.337792000178069</v>
      </c>
      <c r="G19" s="223">
        <f t="shared" si="1"/>
        <v>55.337792000177842</v>
      </c>
      <c r="H19" s="223">
        <f t="shared" si="1"/>
        <v>756.72970472736972</v>
      </c>
      <c r="I19" s="223">
        <f t="shared" si="1"/>
        <v>-52.662207999821931</v>
      </c>
      <c r="J19" s="223">
        <f t="shared" si="1"/>
        <v>-529.72301672710273</v>
      </c>
      <c r="K19" s="223">
        <f t="shared" si="1"/>
        <v>190.27698327289704</v>
      </c>
      <c r="L19" s="223">
        <f t="shared" si="1"/>
        <v>684.72970472736995</v>
      </c>
      <c r="M19" s="223">
        <f t="shared" si="1"/>
        <v>327.12505384989686</v>
      </c>
      <c r="N19" s="223">
        <f t="shared" si="1"/>
        <v>-624.52771794455884</v>
      </c>
      <c r="O19" s="233">
        <f t="shared" si="1"/>
        <v>1264.220720149664</v>
      </c>
    </row>
    <row r="20" spans="2:17" ht="16" x14ac:dyDescent="0.2">
      <c r="B20" s="25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225"/>
    </row>
    <row r="21" spans="2:17" ht="16" x14ac:dyDescent="0.2">
      <c r="B21" s="291" t="s">
        <v>155</v>
      </c>
      <c r="C21" s="292">
        <f>'Tab. 5'!C22</f>
        <v>53085.140425531914</v>
      </c>
      <c r="D21" s="292">
        <f>'Tab. 5'!D22</f>
        <v>60115.491160451427</v>
      </c>
      <c r="E21" s="292">
        <f>'Tab. 5'!E22</f>
        <v>67407.192253488931</v>
      </c>
      <c r="F21" s="292">
        <f>'Tab. 5'!F22</f>
        <v>61932.663829787234</v>
      </c>
      <c r="G21" s="292">
        <f>'Tab. 5'!G22</f>
        <v>61932.663829787234</v>
      </c>
      <c r="H21" s="292">
        <f>'Tab. 5'!H22</f>
        <v>64881.838297872338</v>
      </c>
      <c r="I21" s="292">
        <f>'Tab. 5'!I22</f>
        <v>57041.838297872338</v>
      </c>
      <c r="J21" s="292">
        <f>'Tab. 5'!J22</f>
        <v>35390.093617021274</v>
      </c>
      <c r="K21" s="292">
        <f>'Tab. 5'!K22</f>
        <v>61002.600772020145</v>
      </c>
      <c r="L21" s="292">
        <f>'Tab. 5'!L22</f>
        <v>53809.840677835746</v>
      </c>
      <c r="M21" s="292">
        <f>'Tab. 5'!M22</f>
        <v>61932.663829787234</v>
      </c>
      <c r="N21" s="292">
        <f>'Tab. 5'!N22</f>
        <v>27550.093617021277</v>
      </c>
      <c r="O21" s="293">
        <f>SUM(C21:N21)</f>
        <v>666082.12060847704</v>
      </c>
      <c r="Q21" s="1"/>
    </row>
    <row r="22" spans="2:17" ht="16" x14ac:dyDescent="0.2">
      <c r="B22" s="256" t="s">
        <v>168</v>
      </c>
      <c r="C22" s="219">
        <f>'All. 1'!$D$10/60*C21</f>
        <v>1150.1780425531915</v>
      </c>
      <c r="D22" s="219">
        <f>'All. 1'!$D$10/60*D21</f>
        <v>1302.5023084764475</v>
      </c>
      <c r="E22" s="219">
        <f>'All. 1'!$D$10/60*E21</f>
        <v>1460.4891654922603</v>
      </c>
      <c r="F22" s="219">
        <f>'All. 1'!$D$10/60*F21</f>
        <v>1341.8743829787234</v>
      </c>
      <c r="G22" s="219">
        <f>'All. 1'!$D$10/60*G21</f>
        <v>1341.8743829787234</v>
      </c>
      <c r="H22" s="219">
        <f>'All. 1'!$D$10/60*H21</f>
        <v>1405.7731631205675</v>
      </c>
      <c r="I22" s="219">
        <f>'All. 1'!$D$10/60*I21</f>
        <v>1235.9064964539007</v>
      </c>
      <c r="J22" s="219">
        <f>'All. 1'!$D$10/60*J21</f>
        <v>766.7853617021276</v>
      </c>
      <c r="K22" s="219">
        <f>'All. 1'!$D$10/60*K21</f>
        <v>1321.7230167271032</v>
      </c>
      <c r="L22" s="219">
        <f>'All. 1'!$D$10/60*L21</f>
        <v>1165.879881353108</v>
      </c>
      <c r="M22" s="219">
        <f>'All. 1'!$D$10/60*M21</f>
        <v>1341.8743829787234</v>
      </c>
      <c r="N22" s="219">
        <f>'All. 1'!$D$10/60*N21</f>
        <v>596.91869503546104</v>
      </c>
      <c r="O22" s="284">
        <f>SUM(C22:N22)</f>
        <v>14431.77927985034</v>
      </c>
    </row>
    <row r="23" spans="2:17" ht="16" x14ac:dyDescent="0.2">
      <c r="B23" s="256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225"/>
    </row>
    <row r="24" spans="2:17" ht="16" x14ac:dyDescent="0.2">
      <c r="B24" s="256" t="s">
        <v>156</v>
      </c>
      <c r="C24" s="289">
        <f t="shared" ref="C24:N24" si="2">C18</f>
        <v>1224</v>
      </c>
      <c r="D24" s="289">
        <f t="shared" si="2"/>
        <v>1368</v>
      </c>
      <c r="E24" s="289">
        <f t="shared" si="2"/>
        <v>1584</v>
      </c>
      <c r="F24" s="289">
        <f t="shared" si="2"/>
        <v>1440</v>
      </c>
      <c r="G24" s="289">
        <f t="shared" si="2"/>
        <v>1440</v>
      </c>
      <c r="H24" s="289">
        <f t="shared" si="2"/>
        <v>1512</v>
      </c>
      <c r="I24" s="289">
        <f t="shared" si="2"/>
        <v>1332</v>
      </c>
      <c r="J24" s="289">
        <f t="shared" si="2"/>
        <v>792</v>
      </c>
      <c r="K24" s="289">
        <f t="shared" si="2"/>
        <v>1512</v>
      </c>
      <c r="L24" s="289">
        <f t="shared" si="2"/>
        <v>1440</v>
      </c>
      <c r="M24" s="289">
        <f t="shared" si="2"/>
        <v>1440</v>
      </c>
      <c r="N24" s="289">
        <f t="shared" si="2"/>
        <v>612</v>
      </c>
      <c r="O24" s="286">
        <f>SUM(C24:N24)</f>
        <v>15696</v>
      </c>
    </row>
    <row r="25" spans="2:17" ht="16" x14ac:dyDescent="0.2">
      <c r="B25" s="256" t="s">
        <v>157</v>
      </c>
      <c r="C25" s="289"/>
      <c r="D25" s="289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6">
        <f>SUM(C25:N25)</f>
        <v>0</v>
      </c>
    </row>
    <row r="26" spans="2:17" ht="17" thickBot="1" x14ac:dyDescent="0.25">
      <c r="B26" s="256" t="s">
        <v>158</v>
      </c>
      <c r="C26" s="289">
        <f>C24+C25</f>
        <v>1224</v>
      </c>
      <c r="D26" s="289">
        <f t="shared" ref="D26:N26" si="3">D24+D25</f>
        <v>1368</v>
      </c>
      <c r="E26" s="289">
        <f t="shared" si="3"/>
        <v>1584</v>
      </c>
      <c r="F26" s="289">
        <f t="shared" si="3"/>
        <v>1440</v>
      </c>
      <c r="G26" s="289">
        <f t="shared" si="3"/>
        <v>1440</v>
      </c>
      <c r="H26" s="289">
        <f t="shared" si="3"/>
        <v>1512</v>
      </c>
      <c r="I26" s="289">
        <f t="shared" si="3"/>
        <v>1332</v>
      </c>
      <c r="J26" s="289">
        <f t="shared" si="3"/>
        <v>792</v>
      </c>
      <c r="K26" s="289">
        <f t="shared" si="3"/>
        <v>1512</v>
      </c>
      <c r="L26" s="289">
        <f t="shared" si="3"/>
        <v>1440</v>
      </c>
      <c r="M26" s="289">
        <f t="shared" si="3"/>
        <v>1440</v>
      </c>
      <c r="N26" s="289">
        <f t="shared" si="3"/>
        <v>612</v>
      </c>
      <c r="O26" s="286">
        <f>SUM(C26:N26)</f>
        <v>15696</v>
      </c>
    </row>
    <row r="27" spans="2:17" ht="17" thickBot="1" x14ac:dyDescent="0.25">
      <c r="B27" s="257" t="s">
        <v>154</v>
      </c>
      <c r="C27" s="223">
        <f>C26-C22</f>
        <v>73.821957446808483</v>
      </c>
      <c r="D27" s="223">
        <f t="shared" ref="D27:N27" si="4">D26-D22</f>
        <v>65.497691523552476</v>
      </c>
      <c r="E27" s="223">
        <f t="shared" si="4"/>
        <v>123.51083450773967</v>
      </c>
      <c r="F27" s="223">
        <f t="shared" si="4"/>
        <v>98.125617021276639</v>
      </c>
      <c r="G27" s="223">
        <f t="shared" si="4"/>
        <v>98.125617021276639</v>
      </c>
      <c r="H27" s="223">
        <f t="shared" si="4"/>
        <v>106.22683687943254</v>
      </c>
      <c r="I27" s="223">
        <f t="shared" si="4"/>
        <v>96.093503546099328</v>
      </c>
      <c r="J27" s="223">
        <f t="shared" si="4"/>
        <v>25.214638297872398</v>
      </c>
      <c r="K27" s="223">
        <f t="shared" si="4"/>
        <v>190.27698327289681</v>
      </c>
      <c r="L27" s="223">
        <f t="shared" si="4"/>
        <v>274.12011864689202</v>
      </c>
      <c r="M27" s="223">
        <f t="shared" si="4"/>
        <v>98.125617021276639</v>
      </c>
      <c r="N27" s="223">
        <f t="shared" si="4"/>
        <v>15.081304964538958</v>
      </c>
      <c r="O27" s="233">
        <f>SUM(C27:N27)</f>
        <v>1264.2207201496626</v>
      </c>
    </row>
    <row r="28" spans="2:17" ht="16" x14ac:dyDescent="0.2">
      <c r="B28" s="18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225"/>
    </row>
    <row r="29" spans="2:17" ht="16" x14ac:dyDescent="0.2">
      <c r="B29" s="283" t="s">
        <v>79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225"/>
    </row>
    <row r="30" spans="2:17" ht="16" x14ac:dyDescent="0.2">
      <c r="B30" s="25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225"/>
    </row>
    <row r="31" spans="2:17" ht="16" x14ac:dyDescent="0.2">
      <c r="B31" s="256" t="s">
        <v>150</v>
      </c>
      <c r="C31" s="219">
        <f>'Tab 4'!C28</f>
        <v>3608.373268716542</v>
      </c>
      <c r="D31" s="219">
        <f>'Tab 4'!D28</f>
        <v>3741.1687639396041</v>
      </c>
      <c r="E31" s="219">
        <f>'Tab 4'!E28</f>
        <v>3919.3196574605345</v>
      </c>
      <c r="F31" s="219">
        <f>'Tab 4'!F28</f>
        <v>3919.3196574605354</v>
      </c>
      <c r="G31" s="219">
        <f>'Tab 4'!G28</f>
        <v>2137.8107222512008</v>
      </c>
      <c r="H31" s="219">
        <f>'Tab 4'!H28</f>
        <v>3919.3196574605354</v>
      </c>
      <c r="I31" s="219">
        <f>'Tab 4'!I28</f>
        <v>3741.1687639396023</v>
      </c>
      <c r="J31" s="219">
        <f>'Tab 4'!J28</f>
        <v>3741.1687639396027</v>
      </c>
      <c r="K31" s="219">
        <f>'Tab 4'!K28</f>
        <v>2137.8107222512008</v>
      </c>
      <c r="L31" s="219">
        <f>'Tab 4'!L28</f>
        <v>3391.3508305762534</v>
      </c>
      <c r="M31" s="219">
        <f>'Tab 4'!M28</f>
        <v>3768.1675895291683</v>
      </c>
      <c r="N31" s="219">
        <f>'Tab 4'!N28</f>
        <v>4333.3927279585441</v>
      </c>
      <c r="O31" s="284">
        <f>SUM(C31:N31)</f>
        <v>42358.371125483332</v>
      </c>
    </row>
    <row r="32" spans="2:17" ht="16" x14ac:dyDescent="0.2">
      <c r="B32" s="256" t="s">
        <v>163</v>
      </c>
      <c r="C32" s="219">
        <f>'All. 1'!$D$17/60*C31</f>
        <v>132.30701985293987</v>
      </c>
      <c r="D32" s="219">
        <f>'All. 1'!$D$17/60*D31</f>
        <v>137.17618801111882</v>
      </c>
      <c r="E32" s="219">
        <f>'All. 1'!$D$17/60*E31</f>
        <v>143.70838744021961</v>
      </c>
      <c r="F32" s="219">
        <f>'All. 1'!$D$17/60*F31</f>
        <v>143.70838744021964</v>
      </c>
      <c r="G32" s="219">
        <f>'All. 1'!$D$17/60*G31</f>
        <v>78.38639314921069</v>
      </c>
      <c r="H32" s="219">
        <f>'All. 1'!$D$17/60*H31</f>
        <v>143.70838744021964</v>
      </c>
      <c r="I32" s="219">
        <f>'All. 1'!$D$17/60*I31</f>
        <v>137.17618801111874</v>
      </c>
      <c r="J32" s="219">
        <f>'All. 1'!$D$17/60*J31</f>
        <v>137.17618801111877</v>
      </c>
      <c r="K32" s="219">
        <f>'All. 1'!$D$17/60*K31</f>
        <v>78.38639314921069</v>
      </c>
      <c r="L32" s="219">
        <f>'All. 1'!$D$17/60*L31</f>
        <v>124.34953045446262</v>
      </c>
      <c r="M32" s="219">
        <f>'All. 1'!$D$17/60*M31</f>
        <v>138.16614494940285</v>
      </c>
      <c r="N32" s="219">
        <f>'All. 1'!$D$17/60*N31</f>
        <v>158.89106669181328</v>
      </c>
      <c r="O32" s="284">
        <f>SUM(C32:N32)</f>
        <v>1553.1402746010554</v>
      </c>
    </row>
    <row r="33" spans="2:15" ht="16" x14ac:dyDescent="0.2">
      <c r="B33" s="256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225"/>
    </row>
    <row r="34" spans="2:15" ht="16" x14ac:dyDescent="0.2">
      <c r="B34" s="256" t="s">
        <v>164</v>
      </c>
      <c r="C34" s="304">
        <f>C12</f>
        <v>18</v>
      </c>
      <c r="D34" s="304">
        <f t="shared" ref="D34:N34" si="5">D12</f>
        <v>20</v>
      </c>
      <c r="E34" s="304">
        <f t="shared" si="5"/>
        <v>23</v>
      </c>
      <c r="F34" s="304">
        <f t="shared" si="5"/>
        <v>21</v>
      </c>
      <c r="G34" s="304">
        <f t="shared" si="5"/>
        <v>21</v>
      </c>
      <c r="H34" s="304">
        <f t="shared" si="5"/>
        <v>22</v>
      </c>
      <c r="I34" s="304">
        <f t="shared" si="5"/>
        <v>22</v>
      </c>
      <c r="J34" s="304">
        <f t="shared" si="5"/>
        <v>12</v>
      </c>
      <c r="K34" s="304">
        <f t="shared" si="5"/>
        <v>22</v>
      </c>
      <c r="L34" s="304">
        <f t="shared" si="5"/>
        <v>21</v>
      </c>
      <c r="M34" s="304">
        <f t="shared" si="5"/>
        <v>21</v>
      </c>
      <c r="N34" s="304">
        <f t="shared" si="5"/>
        <v>12</v>
      </c>
      <c r="O34" s="286">
        <f>SUM(C34:N34)</f>
        <v>235</v>
      </c>
    </row>
    <row r="35" spans="2:15" ht="16" x14ac:dyDescent="0.2">
      <c r="B35" s="256" t="s">
        <v>165</v>
      </c>
      <c r="C35" s="304">
        <f>-'All. 3'!$D$9/12</f>
        <v>-1</v>
      </c>
      <c r="D35" s="304">
        <f>-'All. 3'!$D$9/12</f>
        <v>-1</v>
      </c>
      <c r="E35" s="304">
        <f>-'All. 3'!$D$9/12</f>
        <v>-1</v>
      </c>
      <c r="F35" s="304">
        <f>-'All. 3'!$D$9/12</f>
        <v>-1</v>
      </c>
      <c r="G35" s="304">
        <f>-'All. 3'!$D$9/12</f>
        <v>-1</v>
      </c>
      <c r="H35" s="304">
        <f>-'All. 3'!$D$9/12</f>
        <v>-1</v>
      </c>
      <c r="I35" s="304">
        <f>-'All. 3'!$D$9/12</f>
        <v>-1</v>
      </c>
      <c r="J35" s="304">
        <f>-'All. 3'!$D$9/12</f>
        <v>-1</v>
      </c>
      <c r="K35" s="304">
        <f>-'All. 3'!$D$9/12</f>
        <v>-1</v>
      </c>
      <c r="L35" s="304">
        <f>-'All. 3'!$D$9/12</f>
        <v>-1</v>
      </c>
      <c r="M35" s="304">
        <f>-'All. 3'!$D$9/12</f>
        <v>-1</v>
      </c>
      <c r="N35" s="304">
        <f>-'All. 3'!$D$9/12</f>
        <v>-1</v>
      </c>
      <c r="O35" s="290">
        <f>SUM(C35:N35)</f>
        <v>-12</v>
      </c>
    </row>
    <row r="36" spans="2:15" ht="16" x14ac:dyDescent="0.2">
      <c r="B36" s="256" t="s">
        <v>5</v>
      </c>
      <c r="C36" s="285"/>
      <c r="D36" s="285"/>
      <c r="E36" s="285"/>
      <c r="F36" s="285"/>
      <c r="G36" s="285"/>
      <c r="H36" s="285"/>
      <c r="I36" s="287">
        <f>'All. 2'!$D$8/2</f>
        <v>-2.5</v>
      </c>
      <c r="J36" s="285"/>
      <c r="K36" s="285"/>
      <c r="L36" s="285"/>
      <c r="M36" s="285"/>
      <c r="N36" s="287">
        <f>'All. 2'!$D$8/2</f>
        <v>-2.5</v>
      </c>
      <c r="O36" s="286">
        <f>SUM(C36:N36)</f>
        <v>-5</v>
      </c>
    </row>
    <row r="37" spans="2:15" ht="16" x14ac:dyDescent="0.2">
      <c r="B37" s="256" t="s">
        <v>166</v>
      </c>
      <c r="C37" s="304">
        <f>'All. 3'!$D$7</f>
        <v>1</v>
      </c>
      <c r="D37" s="304">
        <f>'All. 3'!$D$7</f>
        <v>1</v>
      </c>
      <c r="E37" s="304">
        <f>'All. 3'!$D$7</f>
        <v>1</v>
      </c>
      <c r="F37" s="304">
        <f>'All. 3'!$D$7</f>
        <v>1</v>
      </c>
      <c r="G37" s="304">
        <f>'All. 3'!$D$7</f>
        <v>1</v>
      </c>
      <c r="H37" s="304">
        <f>'All. 3'!$D$7</f>
        <v>1</v>
      </c>
      <c r="I37" s="304">
        <f>'All. 3'!$D$7</f>
        <v>1</v>
      </c>
      <c r="J37" s="304">
        <f>'All. 3'!$D$7</f>
        <v>1</v>
      </c>
      <c r="K37" s="304">
        <f>'All. 3'!$D$7</f>
        <v>1</v>
      </c>
      <c r="L37" s="304">
        <f>'All. 3'!$D$7</f>
        <v>1</v>
      </c>
      <c r="M37" s="304">
        <f>'All. 3'!$D$7</f>
        <v>1</v>
      </c>
      <c r="N37" s="304">
        <f>'All. 3'!$D$7</f>
        <v>1</v>
      </c>
      <c r="O37" s="288"/>
    </row>
    <row r="38" spans="2:15" ht="16" x14ac:dyDescent="0.2">
      <c r="B38" s="256" t="s">
        <v>8</v>
      </c>
      <c r="C38" s="304">
        <f>'All. 3'!$D$10</f>
        <v>2</v>
      </c>
      <c r="D38" s="304">
        <f>'All. 3'!$D$10</f>
        <v>2</v>
      </c>
      <c r="E38" s="304">
        <f>'All. 3'!$D$10</f>
        <v>2</v>
      </c>
      <c r="F38" s="304">
        <f>'All. 3'!$D$10</f>
        <v>2</v>
      </c>
      <c r="G38" s="304">
        <f>'All. 3'!$D$10</f>
        <v>2</v>
      </c>
      <c r="H38" s="304">
        <f>'All. 3'!$D$10</f>
        <v>2</v>
      </c>
      <c r="I38" s="304">
        <f>'All. 3'!$D$10</f>
        <v>2</v>
      </c>
      <c r="J38" s="304">
        <f>'All. 3'!$D$10</f>
        <v>2</v>
      </c>
      <c r="K38" s="304">
        <f>'All. 3'!$D$10</f>
        <v>2</v>
      </c>
      <c r="L38" s="304">
        <f>'All. 3'!$D$10</f>
        <v>2</v>
      </c>
      <c r="M38" s="304">
        <f>'All. 3'!$D$10</f>
        <v>2</v>
      </c>
      <c r="N38" s="304">
        <f>'All. 3'!$D$10</f>
        <v>2</v>
      </c>
      <c r="O38" s="288"/>
    </row>
    <row r="39" spans="2:15" ht="16" x14ac:dyDescent="0.2">
      <c r="B39" s="256" t="s">
        <v>167</v>
      </c>
      <c r="C39" s="304">
        <f>'All. 3'!$D$11</f>
        <v>8</v>
      </c>
      <c r="D39" s="304">
        <f>'All. 3'!$D$11</f>
        <v>8</v>
      </c>
      <c r="E39" s="304">
        <f>'All. 3'!$D$11</f>
        <v>8</v>
      </c>
      <c r="F39" s="304">
        <f>'All. 3'!$D$11</f>
        <v>8</v>
      </c>
      <c r="G39" s="304">
        <f>'All. 3'!$D$11</f>
        <v>8</v>
      </c>
      <c r="H39" s="304">
        <f>'All. 3'!$D$11</f>
        <v>8</v>
      </c>
      <c r="I39" s="304">
        <f>'All. 3'!$D$11</f>
        <v>8</v>
      </c>
      <c r="J39" s="304">
        <f>'All. 3'!$D$11</f>
        <v>8</v>
      </c>
      <c r="K39" s="304">
        <f>'All. 3'!$D$11</f>
        <v>8</v>
      </c>
      <c r="L39" s="304">
        <f>'All. 3'!$D$11</f>
        <v>8</v>
      </c>
      <c r="M39" s="304">
        <f>'All. 3'!$D$11</f>
        <v>8</v>
      </c>
      <c r="N39" s="304">
        <f>'All. 3'!$D$11</f>
        <v>8</v>
      </c>
      <c r="O39" s="288"/>
    </row>
    <row r="40" spans="2:15" ht="17" thickBot="1" x14ac:dyDescent="0.25">
      <c r="B40" s="256" t="s">
        <v>153</v>
      </c>
      <c r="C40" s="219">
        <f>(C34+C35+C36)*C37*C38*C39</f>
        <v>272</v>
      </c>
      <c r="D40" s="219">
        <f t="shared" ref="D40:N40" si="6">(D34+D35+D36)*D37*D38*D39</f>
        <v>304</v>
      </c>
      <c r="E40" s="219">
        <f t="shared" si="6"/>
        <v>352</v>
      </c>
      <c r="F40" s="219">
        <f t="shared" si="6"/>
        <v>320</v>
      </c>
      <c r="G40" s="219">
        <f t="shared" si="6"/>
        <v>320</v>
      </c>
      <c r="H40" s="219">
        <f t="shared" si="6"/>
        <v>336</v>
      </c>
      <c r="I40" s="219">
        <f t="shared" si="6"/>
        <v>296</v>
      </c>
      <c r="J40" s="219">
        <f t="shared" si="6"/>
        <v>176</v>
      </c>
      <c r="K40" s="219">
        <f t="shared" si="6"/>
        <v>336</v>
      </c>
      <c r="L40" s="219">
        <f t="shared" si="6"/>
        <v>320</v>
      </c>
      <c r="M40" s="219">
        <f t="shared" si="6"/>
        <v>320</v>
      </c>
      <c r="N40" s="219">
        <f t="shared" si="6"/>
        <v>136</v>
      </c>
      <c r="O40" s="284">
        <f>SUM(C40:N40)</f>
        <v>3488</v>
      </c>
    </row>
    <row r="41" spans="2:15" ht="17" thickBot="1" x14ac:dyDescent="0.25">
      <c r="B41" s="257" t="s">
        <v>154</v>
      </c>
      <c r="C41" s="223">
        <f>C40-C32</f>
        <v>139.69298014706013</v>
      </c>
      <c r="D41" s="223">
        <f t="shared" ref="D41:O41" si="7">D40-D32</f>
        <v>166.82381198888118</v>
      </c>
      <c r="E41" s="223">
        <f t="shared" si="7"/>
        <v>208.29161255978039</v>
      </c>
      <c r="F41" s="223">
        <f t="shared" si="7"/>
        <v>176.29161255978036</v>
      </c>
      <c r="G41" s="223">
        <f t="shared" si="7"/>
        <v>241.61360685078932</v>
      </c>
      <c r="H41" s="223">
        <f t="shared" si="7"/>
        <v>192.29161255978036</v>
      </c>
      <c r="I41" s="223">
        <f t="shared" si="7"/>
        <v>158.82381198888126</v>
      </c>
      <c r="J41" s="223">
        <f t="shared" si="7"/>
        <v>38.823811988881232</v>
      </c>
      <c r="K41" s="223">
        <f t="shared" si="7"/>
        <v>257.61360685078932</v>
      </c>
      <c r="L41" s="223">
        <f t="shared" si="7"/>
        <v>195.65046954553736</v>
      </c>
      <c r="M41" s="223">
        <f t="shared" si="7"/>
        <v>181.83385505059715</v>
      </c>
      <c r="N41" s="223">
        <f t="shared" si="7"/>
        <v>-22.891066691813279</v>
      </c>
      <c r="O41" s="233">
        <f t="shared" si="7"/>
        <v>1934.8597253989446</v>
      </c>
    </row>
    <row r="42" spans="2:15" ht="17" customHeight="1" x14ac:dyDescent="0.2">
      <c r="B42" s="256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225"/>
    </row>
    <row r="43" spans="2:15" ht="16" x14ac:dyDescent="0.2">
      <c r="B43" s="291" t="s">
        <v>155</v>
      </c>
      <c r="C43" s="292">
        <f>'Tab. 5'!C52</f>
        <v>3608.3732687165466</v>
      </c>
      <c r="D43" s="292">
        <f>'Tab. 5'!D52</f>
        <v>3741.1687639395996</v>
      </c>
      <c r="E43" s="292">
        <f>'Tab. 5'!E52</f>
        <v>3919.3196574605463</v>
      </c>
      <c r="F43" s="292">
        <f>'Tab. 5'!F52</f>
        <v>3919.3196574605354</v>
      </c>
      <c r="G43" s="292">
        <f>'Tab. 5'!G52</f>
        <v>2503.4253543994528</v>
      </c>
      <c r="H43" s="292">
        <f>'Tab. 5'!H52</f>
        <v>4551.6595744680844</v>
      </c>
      <c r="I43" s="292">
        <f>'Tab. 5'!I52</f>
        <v>4001.6595744680844</v>
      </c>
      <c r="J43" s="292">
        <f>'Tab. 5'!J52</f>
        <v>2482.7234042553191</v>
      </c>
      <c r="K43" s="292">
        <f>'Tab. 5'!K52</f>
        <v>3008.4665511662315</v>
      </c>
      <c r="L43" s="292">
        <f>'Tab. 5'!L52</f>
        <v>4344.765957446808</v>
      </c>
      <c r="M43" s="292">
        <f>'Tab. 5'!M52</f>
        <v>4344.765957446808</v>
      </c>
      <c r="N43" s="292">
        <f>'Tab. 5'!N52</f>
        <v>1932.7234042553191</v>
      </c>
      <c r="O43" s="293">
        <f>SUM(C43:N43)</f>
        <v>42358.371125483332</v>
      </c>
    </row>
    <row r="44" spans="2:15" ht="16" x14ac:dyDescent="0.2">
      <c r="B44" s="256" t="s">
        <v>168</v>
      </c>
      <c r="C44" s="219">
        <f>'All. 1'!$D$17/60*C43</f>
        <v>132.30701985294004</v>
      </c>
      <c r="D44" s="219">
        <f>'All. 1'!$D$17/60*D43</f>
        <v>137.17618801111865</v>
      </c>
      <c r="E44" s="219">
        <f>'All. 1'!$D$17/60*E43</f>
        <v>143.70838744022004</v>
      </c>
      <c r="F44" s="219">
        <f>'All. 1'!$D$17/60*F43</f>
        <v>143.70838744021964</v>
      </c>
      <c r="G44" s="219">
        <f>'All. 1'!$D$17/60*G43</f>
        <v>91.792262994646606</v>
      </c>
      <c r="H44" s="219">
        <f>'All. 1'!$D$17/60*H43</f>
        <v>166.89418439716309</v>
      </c>
      <c r="I44" s="219">
        <f>'All. 1'!$D$17/60*I43</f>
        <v>146.72751773049643</v>
      </c>
      <c r="J44" s="219">
        <f>'All. 1'!$D$17/60*J43</f>
        <v>91.033191489361698</v>
      </c>
      <c r="K44" s="219">
        <f>'All. 1'!$D$17/60*K43</f>
        <v>110.31044020942849</v>
      </c>
      <c r="L44" s="219">
        <f>'All. 1'!$D$17/60*L43</f>
        <v>159.30808510638295</v>
      </c>
      <c r="M44" s="219">
        <f>'All. 1'!$D$17/60*M43</f>
        <v>159.30808510638295</v>
      </c>
      <c r="N44" s="219">
        <f>'All. 1'!$D$17/60*N43</f>
        <v>70.866524822695041</v>
      </c>
      <c r="O44" s="284">
        <f>SUM(C44:N44)</f>
        <v>1553.1402746010558</v>
      </c>
    </row>
    <row r="45" spans="2:15" ht="16" x14ac:dyDescent="0.2">
      <c r="B45" s="256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225"/>
    </row>
    <row r="46" spans="2:15" ht="16" x14ac:dyDescent="0.2">
      <c r="B46" s="256" t="s">
        <v>156</v>
      </c>
      <c r="C46" s="289">
        <f t="shared" ref="C46:N46" si="8">C40</f>
        <v>272</v>
      </c>
      <c r="D46" s="289">
        <f t="shared" si="8"/>
        <v>304</v>
      </c>
      <c r="E46" s="289">
        <f t="shared" si="8"/>
        <v>352</v>
      </c>
      <c r="F46" s="289">
        <f t="shared" si="8"/>
        <v>320</v>
      </c>
      <c r="G46" s="289">
        <f t="shared" si="8"/>
        <v>320</v>
      </c>
      <c r="H46" s="289">
        <f t="shared" si="8"/>
        <v>336</v>
      </c>
      <c r="I46" s="289">
        <f t="shared" si="8"/>
        <v>296</v>
      </c>
      <c r="J46" s="289">
        <f t="shared" si="8"/>
        <v>176</v>
      </c>
      <c r="K46" s="289">
        <f t="shared" si="8"/>
        <v>336</v>
      </c>
      <c r="L46" s="289">
        <f t="shared" si="8"/>
        <v>320</v>
      </c>
      <c r="M46" s="289">
        <f t="shared" si="8"/>
        <v>320</v>
      </c>
      <c r="N46" s="289">
        <f t="shared" si="8"/>
        <v>136</v>
      </c>
      <c r="O46" s="286">
        <f>SUM(C46:N46)</f>
        <v>3488</v>
      </c>
    </row>
    <row r="47" spans="2:15" ht="16" hidden="1" x14ac:dyDescent="0.2">
      <c r="B47" s="256" t="s">
        <v>157</v>
      </c>
      <c r="C47" s="289"/>
      <c r="D47" s="289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6">
        <f>SUM(C47:N47)</f>
        <v>0</v>
      </c>
    </row>
    <row r="48" spans="2:15" ht="17" thickBot="1" x14ac:dyDescent="0.25">
      <c r="B48" s="256" t="s">
        <v>158</v>
      </c>
      <c r="C48" s="289">
        <f>C46+C47</f>
        <v>272</v>
      </c>
      <c r="D48" s="289">
        <f t="shared" ref="D48:N48" si="9">D46+D47</f>
        <v>304</v>
      </c>
      <c r="E48" s="289">
        <f t="shared" si="9"/>
        <v>352</v>
      </c>
      <c r="F48" s="289">
        <f t="shared" si="9"/>
        <v>320</v>
      </c>
      <c r="G48" s="289">
        <f t="shared" si="9"/>
        <v>320</v>
      </c>
      <c r="H48" s="289">
        <f t="shared" si="9"/>
        <v>336</v>
      </c>
      <c r="I48" s="289">
        <f t="shared" si="9"/>
        <v>296</v>
      </c>
      <c r="J48" s="289">
        <f t="shared" si="9"/>
        <v>176</v>
      </c>
      <c r="K48" s="289">
        <f t="shared" si="9"/>
        <v>336</v>
      </c>
      <c r="L48" s="289">
        <f t="shared" si="9"/>
        <v>320</v>
      </c>
      <c r="M48" s="289">
        <f t="shared" si="9"/>
        <v>320</v>
      </c>
      <c r="N48" s="289">
        <f t="shared" si="9"/>
        <v>136</v>
      </c>
      <c r="O48" s="286">
        <f>SUM(C48:N48)</f>
        <v>3488</v>
      </c>
    </row>
    <row r="49" spans="2:15" ht="17" thickBot="1" x14ac:dyDescent="0.25">
      <c r="B49" s="257" t="s">
        <v>154</v>
      </c>
      <c r="C49" s="223">
        <f>C48-C44</f>
        <v>139.69298014705996</v>
      </c>
      <c r="D49" s="223">
        <f t="shared" ref="D49:N49" si="10">D48-D44</f>
        <v>166.82381198888135</v>
      </c>
      <c r="E49" s="223">
        <f t="shared" si="10"/>
        <v>208.29161255977996</v>
      </c>
      <c r="F49" s="223">
        <f t="shared" si="10"/>
        <v>176.29161255978036</v>
      </c>
      <c r="G49" s="223">
        <f t="shared" si="10"/>
        <v>228.20773700535341</v>
      </c>
      <c r="H49" s="223">
        <f t="shared" si="10"/>
        <v>169.10581560283691</v>
      </c>
      <c r="I49" s="223">
        <f t="shared" si="10"/>
        <v>149.27248226950357</v>
      </c>
      <c r="J49" s="223">
        <f t="shared" si="10"/>
        <v>84.966808510638302</v>
      </c>
      <c r="K49" s="223">
        <f t="shared" si="10"/>
        <v>225.68955979057151</v>
      </c>
      <c r="L49" s="223">
        <f t="shared" si="10"/>
        <v>160.69191489361705</v>
      </c>
      <c r="M49" s="223">
        <f t="shared" si="10"/>
        <v>160.69191489361705</v>
      </c>
      <c r="N49" s="223">
        <f t="shared" si="10"/>
        <v>65.133475177304959</v>
      </c>
      <c r="O49" s="233">
        <f>SUM(C49:N49)</f>
        <v>1934.8597253989442</v>
      </c>
    </row>
    <row r="50" spans="2:15" hidden="1" x14ac:dyDescent="0.15">
      <c r="B50" s="294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6"/>
    </row>
    <row r="51" spans="2:15" hidden="1" x14ac:dyDescent="0.15">
      <c r="B51" s="297"/>
      <c r="O51" s="298"/>
    </row>
    <row r="52" spans="2:15" hidden="1" x14ac:dyDescent="0.15">
      <c r="B52" s="299" t="s">
        <v>160</v>
      </c>
      <c r="C52" s="1">
        <f>+C31</f>
        <v>3608.373268716542</v>
      </c>
      <c r="D52" s="1">
        <f t="shared" ref="D52:N52" si="11">+D31+C52</f>
        <v>7349.5420326561461</v>
      </c>
      <c r="E52" s="1">
        <f t="shared" si="11"/>
        <v>11268.861690116681</v>
      </c>
      <c r="F52" s="1">
        <f t="shared" si="11"/>
        <v>15188.181347577216</v>
      </c>
      <c r="G52" s="1">
        <f t="shared" si="11"/>
        <v>17325.992069828419</v>
      </c>
      <c r="H52" s="1">
        <f t="shared" si="11"/>
        <v>21245.311727288954</v>
      </c>
      <c r="I52" s="1">
        <f t="shared" si="11"/>
        <v>24986.480491228554</v>
      </c>
      <c r="J52" s="1">
        <f t="shared" si="11"/>
        <v>28727.649255168159</v>
      </c>
      <c r="K52" s="1">
        <f t="shared" si="11"/>
        <v>30865.459977419359</v>
      </c>
      <c r="L52" s="1">
        <f t="shared" si="11"/>
        <v>34256.810807995615</v>
      </c>
      <c r="M52" s="1">
        <f t="shared" si="11"/>
        <v>38024.978397524785</v>
      </c>
      <c r="N52" s="1">
        <f t="shared" si="11"/>
        <v>42358.371125483332</v>
      </c>
      <c r="O52" s="298"/>
    </row>
    <row r="53" spans="2:15" hidden="1" x14ac:dyDescent="0.15">
      <c r="B53" s="299" t="s">
        <v>161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298"/>
    </row>
    <row r="54" spans="2:15" hidden="1" x14ac:dyDescent="0.15">
      <c r="B54" s="297"/>
      <c r="C54" s="1">
        <f>+C43</f>
        <v>3608.3732687165466</v>
      </c>
      <c r="D54" s="1">
        <f>+D43+C43</f>
        <v>7349.5420326561461</v>
      </c>
      <c r="E54" s="1">
        <f>+E43+D54</f>
        <v>11268.861690116693</v>
      </c>
      <c r="F54" s="1">
        <f t="shared" ref="F54:N54" si="12">+F43+E54</f>
        <v>15188.181347577229</v>
      </c>
      <c r="G54" s="1">
        <f t="shared" si="12"/>
        <v>17691.606701976682</v>
      </c>
      <c r="H54" s="1">
        <f t="shared" si="12"/>
        <v>22243.266276444767</v>
      </c>
      <c r="I54" s="1">
        <f t="shared" si="12"/>
        <v>26244.925850912852</v>
      </c>
      <c r="J54" s="1">
        <f t="shared" si="12"/>
        <v>28727.649255168173</v>
      </c>
      <c r="K54" s="1">
        <f t="shared" si="12"/>
        <v>31736.115806334405</v>
      </c>
      <c r="L54" s="1">
        <f t="shared" si="12"/>
        <v>36080.88176378121</v>
      </c>
      <c r="M54" s="1">
        <f t="shared" si="12"/>
        <v>40425.647721228015</v>
      </c>
      <c r="N54" s="1">
        <f t="shared" si="12"/>
        <v>42358.371125483332</v>
      </c>
      <c r="O54" s="298"/>
    </row>
    <row r="55" spans="2:15" hidden="1" x14ac:dyDescent="0.15">
      <c r="B55" s="29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98"/>
    </row>
    <row r="56" spans="2:15" ht="14" hidden="1" thickBot="1" x14ac:dyDescent="0.2">
      <c r="B56" s="300"/>
      <c r="C56" s="301" t="e">
        <f>+IF(C53&lt;C52,C52-C53,0)</f>
        <v>#REF!</v>
      </c>
      <c r="D56" s="301" t="e">
        <f>+IF(D53&lt;D52,D52-D53,0)</f>
        <v>#REF!</v>
      </c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3"/>
    </row>
  </sheetData>
  <mergeCells count="1">
    <mergeCell ref="C4:O4"/>
  </mergeCells>
  <conditionalFormatting sqref="C19:N19 C27:N27">
    <cfRule type="cellIs" dxfId="1" priority="2" operator="lessThan">
      <formula>0</formula>
    </cfRule>
  </conditionalFormatting>
  <conditionalFormatting sqref="C41:N41 C49:N4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F1" zoomScale="180" zoomScaleNormal="180" workbookViewId="0">
      <selection activeCell="S9" sqref="S9"/>
    </sheetView>
  </sheetViews>
  <sheetFormatPr baseColWidth="10" defaultRowHeight="16" x14ac:dyDescent="0.15"/>
  <cols>
    <col min="1" max="1" width="1.83203125" style="72" customWidth="1"/>
    <col min="2" max="2" width="28.33203125" style="72" bestFit="1" customWidth="1"/>
    <col min="3" max="3" width="12.33203125" style="72" customWidth="1"/>
    <col min="4" max="4" width="14.83203125" style="72" customWidth="1"/>
    <col min="5" max="5" width="13.33203125" style="72" customWidth="1"/>
    <col min="6" max="6" width="13.5" style="72" customWidth="1"/>
    <col min="7" max="9" width="14.1640625" style="72" customWidth="1"/>
    <col min="10" max="10" width="14.33203125" style="72" customWidth="1"/>
    <col min="11" max="11" width="2" style="72" customWidth="1"/>
    <col min="12" max="14" width="7.6640625" style="72" hidden="1" customWidth="1"/>
    <col min="15" max="15" width="8.33203125" style="72" hidden="1" customWidth="1"/>
    <col min="16" max="16" width="2.83203125" style="72" hidden="1" customWidth="1"/>
    <col min="17" max="20" width="14.1640625" style="72" customWidth="1"/>
    <col min="21" max="16384" width="10.83203125" style="72"/>
  </cols>
  <sheetData>
    <row r="1" spans="2:20" x14ac:dyDescent="0.15">
      <c r="B1" s="72" t="s">
        <v>114</v>
      </c>
    </row>
    <row r="2" spans="2:20" ht="17" thickBot="1" x14ac:dyDescent="0.2"/>
    <row r="3" spans="2:20" x14ac:dyDescent="0.15">
      <c r="C3" s="327" t="s">
        <v>59</v>
      </c>
      <c r="D3" s="328"/>
      <c r="E3" s="328"/>
      <c r="F3" s="329"/>
      <c r="G3" s="324" t="s">
        <v>72</v>
      </c>
      <c r="H3" s="306"/>
      <c r="I3" s="306"/>
      <c r="J3" s="307"/>
      <c r="L3" s="324" t="s">
        <v>75</v>
      </c>
      <c r="M3" s="306"/>
      <c r="N3" s="306"/>
      <c r="O3" s="307"/>
      <c r="Q3" s="318" t="s">
        <v>125</v>
      </c>
      <c r="R3" s="319"/>
      <c r="S3" s="319"/>
      <c r="T3" s="320"/>
    </row>
    <row r="4" spans="2:20" x14ac:dyDescent="0.15">
      <c r="C4" s="321" t="s">
        <v>39</v>
      </c>
      <c r="D4" s="309"/>
      <c r="E4" s="310"/>
      <c r="F4" s="330" t="s">
        <v>3</v>
      </c>
      <c r="G4" s="321" t="s">
        <v>39</v>
      </c>
      <c r="H4" s="309"/>
      <c r="I4" s="310"/>
      <c r="J4" s="325" t="s">
        <v>3</v>
      </c>
      <c r="L4" s="321" t="s">
        <v>39</v>
      </c>
      <c r="M4" s="309"/>
      <c r="N4" s="310"/>
      <c r="O4" s="325" t="s">
        <v>3</v>
      </c>
      <c r="Q4" s="321" t="s">
        <v>39</v>
      </c>
      <c r="R4" s="309"/>
      <c r="S4" s="310"/>
      <c r="T4" s="322" t="s">
        <v>3</v>
      </c>
    </row>
    <row r="5" spans="2:20" x14ac:dyDescent="0.15">
      <c r="C5" s="117" t="s">
        <v>55</v>
      </c>
      <c r="D5" s="92" t="s">
        <v>56</v>
      </c>
      <c r="E5" s="90" t="s">
        <v>57</v>
      </c>
      <c r="F5" s="331"/>
      <c r="G5" s="117" t="s">
        <v>55</v>
      </c>
      <c r="H5" s="92" t="s">
        <v>56</v>
      </c>
      <c r="I5" s="90" t="s">
        <v>57</v>
      </c>
      <c r="J5" s="326"/>
      <c r="L5" s="117" t="s">
        <v>76</v>
      </c>
      <c r="M5" s="92" t="s">
        <v>77</v>
      </c>
      <c r="N5" s="90" t="s">
        <v>57</v>
      </c>
      <c r="O5" s="326"/>
      <c r="Q5" s="117" t="s">
        <v>55</v>
      </c>
      <c r="R5" s="92" t="s">
        <v>56</v>
      </c>
      <c r="S5" s="90" t="s">
        <v>57</v>
      </c>
      <c r="T5" s="323"/>
    </row>
    <row r="6" spans="2:20" ht="17" thickBot="1" x14ac:dyDescent="0.2">
      <c r="C6" s="118"/>
      <c r="D6" s="79"/>
      <c r="E6" s="79"/>
      <c r="F6" s="119"/>
      <c r="G6" s="118"/>
      <c r="H6" s="79"/>
      <c r="I6" s="79"/>
      <c r="J6" s="145"/>
      <c r="L6" s="118"/>
      <c r="M6" s="79"/>
      <c r="N6" s="79"/>
      <c r="O6" s="145"/>
      <c r="Q6" s="118"/>
      <c r="R6" s="79"/>
      <c r="S6" s="79"/>
      <c r="T6" s="238"/>
    </row>
    <row r="7" spans="2:20" x14ac:dyDescent="0.15">
      <c r="B7" s="137" t="s">
        <v>40</v>
      </c>
      <c r="C7" s="120">
        <f>+'Tab 0'!B20</f>
        <v>128140000</v>
      </c>
      <c r="D7" s="86">
        <f>+'Tab 0'!C20</f>
        <v>123000000</v>
      </c>
      <c r="E7" s="86">
        <f>+'Tab 0'!D20</f>
        <v>77900000</v>
      </c>
      <c r="F7" s="121">
        <f>SUM(C7:E7)</f>
        <v>329040000</v>
      </c>
      <c r="G7" s="120">
        <f>C7*(1+'Tab 0'!B$10)</f>
        <v>129421400</v>
      </c>
      <c r="H7" s="86">
        <f>D7*(1+'Tab 0'!C$10)</f>
        <v>120540000</v>
      </c>
      <c r="I7" s="86">
        <f>E7*(1+'Tab 0'!D$10)</f>
        <v>81795000</v>
      </c>
      <c r="J7" s="146">
        <f>SUM(G7:I7)</f>
        <v>331756400</v>
      </c>
      <c r="L7" s="170">
        <f t="shared" ref="L7:L16" si="0">IFERROR((G7-C7)/C7,0)</f>
        <v>0.01</v>
      </c>
      <c r="M7" s="168">
        <f t="shared" ref="M7:M16" si="1">IFERROR((H7-D7)/D7,0)</f>
        <v>-0.02</v>
      </c>
      <c r="N7" s="168">
        <f t="shared" ref="N7:N16" si="2">IFERROR((I7-E7)/E7,0)</f>
        <v>0.05</v>
      </c>
      <c r="O7" s="169">
        <f t="shared" ref="O7:O16" si="3">IFERROR((J7-F7)/F7,0)</f>
        <v>8.25553124240214E-3</v>
      </c>
      <c r="Q7" s="120">
        <f>G7*(1+'Tab 0'!B11)</f>
        <v>132009828</v>
      </c>
      <c r="R7" s="86">
        <f>H7*(1+'Tab 0'!C11)</f>
        <v>115718400</v>
      </c>
      <c r="S7" s="86">
        <f>I7*(1+'Tab 0'!D11)</f>
        <v>88338600</v>
      </c>
      <c r="T7" s="239">
        <f>SUM(Q7:S7)</f>
        <v>336066828</v>
      </c>
    </row>
    <row r="8" spans="2:20" x14ac:dyDescent="0.15">
      <c r="B8" s="138" t="s">
        <v>41</v>
      </c>
      <c r="C8" s="122">
        <f>+'Tab 0'!B22</f>
        <v>22111</v>
      </c>
      <c r="D8" s="104">
        <f>+'Tab 0'!C22</f>
        <v>683333.33333333337</v>
      </c>
      <c r="E8" s="104">
        <f>+'Tab 0'!D22</f>
        <v>3158</v>
      </c>
      <c r="F8" s="123">
        <f>SUM(C8:E8)</f>
        <v>708602.33333333337</v>
      </c>
      <c r="G8" s="155">
        <f>C8</f>
        <v>22111</v>
      </c>
      <c r="H8" s="104">
        <f>H7/180</f>
        <v>669666.66666666663</v>
      </c>
      <c r="I8" s="109">
        <f t="shared" ref="I8" si="4">E8</f>
        <v>3158</v>
      </c>
      <c r="J8" s="147">
        <f>SUM(G8:I8)</f>
        <v>694935.66666666663</v>
      </c>
      <c r="L8" s="170">
        <f t="shared" si="0"/>
        <v>0</v>
      </c>
      <c r="M8" s="168">
        <f t="shared" si="1"/>
        <v>-2.0000000000000111E-2</v>
      </c>
      <c r="N8" s="168">
        <f t="shared" si="2"/>
        <v>0</v>
      </c>
      <c r="O8" s="169">
        <f t="shared" si="3"/>
        <v>-1.928679320371051E-2</v>
      </c>
      <c r="Q8" s="122">
        <f>+G8</f>
        <v>22111</v>
      </c>
      <c r="R8" s="104">
        <f>R7/180</f>
        <v>642880</v>
      </c>
      <c r="S8" s="104">
        <f>I8</f>
        <v>3158</v>
      </c>
      <c r="T8" s="240">
        <f>SUM(Q8:S8)</f>
        <v>668149</v>
      </c>
    </row>
    <row r="9" spans="2:20" x14ac:dyDescent="0.15">
      <c r="B9" s="138" t="s">
        <v>45</v>
      </c>
      <c r="C9" s="124">
        <f>C7/C8</f>
        <v>5795.3055040477593</v>
      </c>
      <c r="D9" s="83">
        <f t="shared" ref="D9:F9" si="5">D7/D8</f>
        <v>180</v>
      </c>
      <c r="E9" s="83">
        <f t="shared" si="5"/>
        <v>24667.511082963902</v>
      </c>
      <c r="F9" s="125">
        <f t="shared" si="5"/>
        <v>464.35071481089295</v>
      </c>
      <c r="G9" s="124">
        <f>G7/G8</f>
        <v>5853.2585590882363</v>
      </c>
      <c r="H9" s="83">
        <f t="shared" ref="H9" si="6">H7/H8</f>
        <v>180</v>
      </c>
      <c r="I9" s="83">
        <f t="shared" ref="I9" si="7">I7/I8</f>
        <v>25900.886637112097</v>
      </c>
      <c r="J9" s="148">
        <f t="shared" ref="J9" si="8">J7/J8</f>
        <v>477.39152832852159</v>
      </c>
      <c r="L9" s="170">
        <f t="shared" si="0"/>
        <v>9.9999999999998996E-3</v>
      </c>
      <c r="M9" s="171">
        <f t="shared" si="1"/>
        <v>0</v>
      </c>
      <c r="N9" s="171">
        <f t="shared" si="2"/>
        <v>0.05</v>
      </c>
      <c r="O9" s="169">
        <f t="shared" si="3"/>
        <v>2.8083974249807093E-2</v>
      </c>
      <c r="Q9" s="244">
        <f>Q7/Q8</f>
        <v>5970.3237302700018</v>
      </c>
      <c r="R9" s="245">
        <f t="shared" ref="R9:T9" si="9">R7/R8</f>
        <v>180</v>
      </c>
      <c r="S9" s="245">
        <f t="shared" si="9"/>
        <v>27972.957568081063</v>
      </c>
      <c r="T9" s="241">
        <f t="shared" si="9"/>
        <v>502.98186183022051</v>
      </c>
    </row>
    <row r="10" spans="2:20" ht="17" thickBot="1" x14ac:dyDescent="0.2">
      <c r="B10" s="138"/>
      <c r="C10" s="124"/>
      <c r="D10" s="83"/>
      <c r="E10" s="83"/>
      <c r="F10" s="125"/>
      <c r="G10" s="124"/>
      <c r="H10" s="83"/>
      <c r="I10" s="83"/>
      <c r="J10" s="148"/>
      <c r="L10" s="124"/>
      <c r="M10" s="83"/>
      <c r="N10" s="83"/>
      <c r="O10" s="148"/>
      <c r="Q10" s="244"/>
      <c r="R10" s="245"/>
      <c r="S10" s="245"/>
      <c r="T10" s="241"/>
    </row>
    <row r="11" spans="2:20" ht="17" thickBot="1" x14ac:dyDescent="0.2">
      <c r="B11" s="141" t="s">
        <v>43</v>
      </c>
      <c r="C11" s="142">
        <f>'Tab 0'!B24</f>
        <v>38442000</v>
      </c>
      <c r="D11" s="143">
        <f>'Tab 0'!C24</f>
        <v>79446800</v>
      </c>
      <c r="E11" s="143">
        <f>'Tab 0'!D24</f>
        <v>10251200</v>
      </c>
      <c r="F11" s="144">
        <f>SUM(C11:E11)</f>
        <v>128140000</v>
      </c>
      <c r="G11" s="142">
        <f>+G14*G15</f>
        <v>52151533.258064516</v>
      </c>
      <c r="H11" s="143">
        <f>+H12*H7</f>
        <v>77857864</v>
      </c>
      <c r="I11" s="143">
        <f>+I14*I15</f>
        <v>13800000</v>
      </c>
      <c r="J11" s="149">
        <f>SUM(G11:I11)</f>
        <v>143809397.25806451</v>
      </c>
      <c r="L11" s="172">
        <f t="shared" si="0"/>
        <v>0.35662903225806453</v>
      </c>
      <c r="M11" s="173">
        <f t="shared" si="1"/>
        <v>-0.02</v>
      </c>
      <c r="N11" s="173">
        <f t="shared" si="2"/>
        <v>0.34618386140159202</v>
      </c>
      <c r="O11" s="174">
        <f t="shared" si="3"/>
        <v>0.12228341858954665</v>
      </c>
      <c r="Q11" s="142">
        <f>Q12*Q7</f>
        <v>53194563.923225805</v>
      </c>
      <c r="R11" s="143">
        <f t="shared" ref="R11:S11" si="10">R12*R7</f>
        <v>74743549.439999998</v>
      </c>
      <c r="S11" s="143">
        <f t="shared" si="10"/>
        <v>14904000</v>
      </c>
      <c r="T11" s="242">
        <f>SUM(Q11:S11)</f>
        <v>142842113.36322582</v>
      </c>
    </row>
    <row r="12" spans="2:20" s="100" customFormat="1" ht="17" thickBot="1" x14ac:dyDescent="0.2">
      <c r="B12" s="139" t="s">
        <v>42</v>
      </c>
      <c r="C12" s="157">
        <f>'Tab 0'!B26</f>
        <v>0.3</v>
      </c>
      <c r="D12" s="158">
        <f>'Tab 0'!C26</f>
        <v>0.64590894308943092</v>
      </c>
      <c r="E12" s="158">
        <f>'Tab 0'!D26</f>
        <v>0.13159435173299103</v>
      </c>
      <c r="F12" s="159">
        <f>'Tab 0'!E26</f>
        <v>0.31253658536585366</v>
      </c>
      <c r="G12" s="157">
        <f>+G11/G7</f>
        <v>0.40295911849249438</v>
      </c>
      <c r="H12" s="160">
        <f>+D12</f>
        <v>0.64590894308943092</v>
      </c>
      <c r="I12" s="158">
        <f>+I11/I7</f>
        <v>0.16871446909957821</v>
      </c>
      <c r="J12" s="161">
        <f>+J11/J7</f>
        <v>0.433478893724626</v>
      </c>
      <c r="L12" s="172">
        <f t="shared" si="0"/>
        <v>0.34319706164164798</v>
      </c>
      <c r="M12" s="173">
        <f t="shared" si="1"/>
        <v>0</v>
      </c>
      <c r="N12" s="173">
        <f t="shared" si="2"/>
        <v>0.28207986800151608</v>
      </c>
      <c r="O12" s="174">
        <f t="shared" si="3"/>
        <v>0.38697008293348417</v>
      </c>
      <c r="Q12" s="236">
        <f>G12</f>
        <v>0.40295911849249438</v>
      </c>
      <c r="R12" s="237">
        <f t="shared" ref="R12:S12" si="11">H12</f>
        <v>0.64590894308943092</v>
      </c>
      <c r="S12" s="237">
        <f t="shared" si="11"/>
        <v>0.16871446909957821</v>
      </c>
      <c r="T12" s="243">
        <f>+T11/T7</f>
        <v>0.42504079981147624</v>
      </c>
    </row>
    <row r="13" spans="2:20" x14ac:dyDescent="0.15">
      <c r="B13" s="138"/>
      <c r="C13" s="126"/>
      <c r="D13" s="105"/>
      <c r="E13" s="105"/>
      <c r="F13" s="127"/>
      <c r="G13" s="126"/>
      <c r="H13" s="105"/>
      <c r="I13" s="105"/>
      <c r="J13" s="150"/>
      <c r="L13" s="126"/>
      <c r="M13" s="105"/>
      <c r="N13" s="105"/>
      <c r="O13" s="150"/>
    </row>
    <row r="14" spans="2:20" x14ac:dyDescent="0.15">
      <c r="B14" s="138" t="s">
        <v>44</v>
      </c>
      <c r="C14" s="122">
        <f>'Tab 0'!B28</f>
        <v>6200</v>
      </c>
      <c r="D14" s="104">
        <f>'Tab 0'!C28</f>
        <v>441371.11111111112</v>
      </c>
      <c r="E14" s="104">
        <f>'Tab 0'!D28</f>
        <v>600</v>
      </c>
      <c r="F14" s="123">
        <f>SUM(C14:E14)</f>
        <v>448171.11111111112</v>
      </c>
      <c r="G14" s="122">
        <f>G8*G16</f>
        <v>8411.1</v>
      </c>
      <c r="H14" s="104">
        <f>H11/180</f>
        <v>432543.68888888886</v>
      </c>
      <c r="I14" s="109">
        <f>+E14</f>
        <v>600</v>
      </c>
      <c r="J14" s="147">
        <f>SUM(G14:I14)</f>
        <v>441554.78888888884</v>
      </c>
      <c r="L14" s="170">
        <f t="shared" si="0"/>
        <v>0.35662903225806458</v>
      </c>
      <c r="M14" s="171">
        <f t="shared" si="1"/>
        <v>-2.0000000000000084E-2</v>
      </c>
      <c r="N14" s="171">
        <f t="shared" si="2"/>
        <v>0</v>
      </c>
      <c r="O14" s="169">
        <f t="shared" si="3"/>
        <v>-1.4762937766825307E-2</v>
      </c>
    </row>
    <row r="15" spans="2:20" x14ac:dyDescent="0.15">
      <c r="B15" s="138" t="s">
        <v>45</v>
      </c>
      <c r="C15" s="128">
        <f>+C11/C14</f>
        <v>6200.322580645161</v>
      </c>
      <c r="D15" s="106">
        <f t="shared" ref="D15:F15" si="12">+D11/D14</f>
        <v>180</v>
      </c>
      <c r="E15" s="106">
        <f t="shared" si="12"/>
        <v>17085.333333333332</v>
      </c>
      <c r="F15" s="129">
        <f t="shared" si="12"/>
        <v>285.91758108262218</v>
      </c>
      <c r="G15" s="128">
        <f>+C15</f>
        <v>6200.322580645161</v>
      </c>
      <c r="H15" s="106">
        <f t="shared" ref="H15" si="13">+H11/H14</f>
        <v>180</v>
      </c>
      <c r="I15" s="116">
        <v>23000</v>
      </c>
      <c r="J15" s="151">
        <f t="shared" ref="J15" si="14">+J11/J14</f>
        <v>325.68868207712308</v>
      </c>
      <c r="L15" s="170">
        <f t="shared" si="0"/>
        <v>0</v>
      </c>
      <c r="M15" s="171">
        <f t="shared" si="1"/>
        <v>0</v>
      </c>
      <c r="N15" s="171">
        <f t="shared" si="2"/>
        <v>0.34618386140159213</v>
      </c>
      <c r="O15" s="169">
        <f t="shared" si="3"/>
        <v>0.13909987921661998</v>
      </c>
    </row>
    <row r="16" spans="2:20" s="100" customFormat="1" x14ac:dyDescent="0.15">
      <c r="B16" s="139" t="s">
        <v>46</v>
      </c>
      <c r="C16" s="162">
        <f>C14/C8</f>
        <v>0.28040341911265887</v>
      </c>
      <c r="D16" s="163">
        <f t="shared" ref="D16:F16" si="15">D14/D8</f>
        <v>0.64590894308943092</v>
      </c>
      <c r="E16" s="163">
        <f t="shared" si="15"/>
        <v>0.18999366687777075</v>
      </c>
      <c r="F16" s="164">
        <f t="shared" si="15"/>
        <v>0.63247196633247205</v>
      </c>
      <c r="G16" s="165">
        <f>+C16+10%</f>
        <v>0.38040341911265885</v>
      </c>
      <c r="H16" s="163">
        <f t="shared" ref="H16:J16" si="16">H14/H8</f>
        <v>0.64590894308943092</v>
      </c>
      <c r="I16" s="163">
        <f t="shared" si="16"/>
        <v>0.18999366687777075</v>
      </c>
      <c r="J16" s="166">
        <f t="shared" si="16"/>
        <v>0.63538944692082611</v>
      </c>
      <c r="L16" s="172">
        <f t="shared" si="0"/>
        <v>0.35662903225806442</v>
      </c>
      <c r="M16" s="173">
        <f t="shared" si="1"/>
        <v>0</v>
      </c>
      <c r="N16" s="173">
        <f t="shared" si="2"/>
        <v>0</v>
      </c>
      <c r="O16" s="174">
        <f t="shared" si="3"/>
        <v>4.6128219805088178E-3</v>
      </c>
    </row>
    <row r="17" spans="2:15" x14ac:dyDescent="0.15">
      <c r="B17" s="138"/>
      <c r="C17" s="126"/>
      <c r="D17" s="105"/>
      <c r="E17" s="105"/>
      <c r="F17" s="127"/>
      <c r="G17" s="126"/>
      <c r="H17" s="105"/>
      <c r="I17" s="105"/>
      <c r="J17" s="150"/>
      <c r="L17" s="126"/>
      <c r="M17" s="105"/>
      <c r="N17" s="105"/>
      <c r="O17" s="150"/>
    </row>
    <row r="18" spans="2:15" x14ac:dyDescent="0.15">
      <c r="B18" s="138" t="s">
        <v>64</v>
      </c>
      <c r="C18" s="130"/>
      <c r="D18" s="80"/>
      <c r="E18" s="80"/>
      <c r="F18" s="131"/>
      <c r="G18" s="130"/>
      <c r="H18" s="80"/>
      <c r="I18" s="80"/>
      <c r="J18" s="152"/>
      <c r="L18" s="130"/>
      <c r="M18" s="80"/>
      <c r="N18" s="80"/>
      <c r="O18" s="152"/>
    </row>
    <row r="19" spans="2:15" x14ac:dyDescent="0.15">
      <c r="B19" s="138" t="s">
        <v>65</v>
      </c>
      <c r="C19" s="130">
        <f>+'Tab 0'!B52</f>
        <v>50</v>
      </c>
      <c r="D19" s="80">
        <f>+'Tab 0'!C52</f>
        <v>0</v>
      </c>
      <c r="E19" s="80">
        <f>+'Tab 0'!D52</f>
        <v>7</v>
      </c>
      <c r="F19" s="131">
        <f t="shared" ref="F19:F22" si="17">SUM(C19:E19)</f>
        <v>57</v>
      </c>
      <c r="G19" s="167">
        <f>+C19+2</f>
        <v>52</v>
      </c>
      <c r="H19" s="80">
        <f>+D19</f>
        <v>0</v>
      </c>
      <c r="I19" s="80">
        <f>+E19</f>
        <v>7</v>
      </c>
      <c r="J19" s="152">
        <f t="shared" ref="J19:J22" si="18">SUM(G19:I19)</f>
        <v>59</v>
      </c>
      <c r="L19" s="170">
        <f>IFERROR((G19-C19)/C19,0)</f>
        <v>0.04</v>
      </c>
      <c r="M19" s="171">
        <f>IFERROR((H19-D19)/D19,0)</f>
        <v>0</v>
      </c>
      <c r="N19" s="171">
        <f t="shared" ref="N19:O22" si="19">IFERROR((I19-E19)/E19,0)</f>
        <v>0</v>
      </c>
      <c r="O19" s="169">
        <f t="shared" si="19"/>
        <v>3.5087719298245612E-2</v>
      </c>
    </row>
    <row r="20" spans="2:15" x14ac:dyDescent="0.15">
      <c r="B20" s="138" t="s">
        <v>66</v>
      </c>
      <c r="C20" s="130">
        <f>+'Tab 0'!B53</f>
        <v>40</v>
      </c>
      <c r="D20" s="80">
        <f>+'Tab 0'!C53</f>
        <v>0</v>
      </c>
      <c r="E20" s="80">
        <f>+'Tab 0'!D53</f>
        <v>2</v>
      </c>
      <c r="F20" s="131">
        <f t="shared" si="17"/>
        <v>42</v>
      </c>
      <c r="G20" s="167">
        <f>+C20+1</f>
        <v>41</v>
      </c>
      <c r="H20" s="80">
        <f t="shared" ref="H20:I21" si="20">+D20</f>
        <v>0</v>
      </c>
      <c r="I20" s="80">
        <f t="shared" si="20"/>
        <v>2</v>
      </c>
      <c r="J20" s="152">
        <f t="shared" si="18"/>
        <v>43</v>
      </c>
      <c r="L20" s="170">
        <f t="shared" ref="L20:M24" si="21">IFERROR((G20-C20)/C20,0)</f>
        <v>2.5000000000000001E-2</v>
      </c>
      <c r="M20" s="171">
        <f t="shared" si="21"/>
        <v>0</v>
      </c>
      <c r="N20" s="171">
        <f t="shared" si="19"/>
        <v>0</v>
      </c>
      <c r="O20" s="169">
        <f t="shared" si="19"/>
        <v>2.3809523809523808E-2</v>
      </c>
    </row>
    <row r="21" spans="2:15" x14ac:dyDescent="0.15">
      <c r="B21" s="138" t="s">
        <v>67</v>
      </c>
      <c r="C21" s="130">
        <f>+'Tab 0'!B54</f>
        <v>25</v>
      </c>
      <c r="D21" s="80">
        <f>+'Tab 0'!C54</f>
        <v>0</v>
      </c>
      <c r="E21" s="80">
        <f>+'Tab 0'!D54</f>
        <v>3</v>
      </c>
      <c r="F21" s="131">
        <f t="shared" si="17"/>
        <v>28</v>
      </c>
      <c r="G21" s="167">
        <f>+C21+4</f>
        <v>29</v>
      </c>
      <c r="H21" s="80">
        <f t="shared" si="20"/>
        <v>0</v>
      </c>
      <c r="I21" s="80">
        <f t="shared" si="20"/>
        <v>3</v>
      </c>
      <c r="J21" s="152">
        <f t="shared" si="18"/>
        <v>32</v>
      </c>
      <c r="L21" s="170">
        <f t="shared" si="21"/>
        <v>0.16</v>
      </c>
      <c r="M21" s="171">
        <f t="shared" si="21"/>
        <v>0</v>
      </c>
      <c r="N21" s="171">
        <f t="shared" si="19"/>
        <v>0</v>
      </c>
      <c r="O21" s="169">
        <f t="shared" si="19"/>
        <v>0.14285714285714285</v>
      </c>
    </row>
    <row r="22" spans="2:15" x14ac:dyDescent="0.15">
      <c r="B22" s="139" t="s">
        <v>68</v>
      </c>
      <c r="C22" s="132">
        <f>SUM(C19:C21)</f>
        <v>115</v>
      </c>
      <c r="D22" s="107">
        <f t="shared" ref="D22:E22" si="22">SUM(D19:D21)</f>
        <v>0</v>
      </c>
      <c r="E22" s="107">
        <f t="shared" si="22"/>
        <v>12</v>
      </c>
      <c r="F22" s="133">
        <f t="shared" si="17"/>
        <v>127</v>
      </c>
      <c r="G22" s="132">
        <f>SUM(G19:G21)</f>
        <v>122</v>
      </c>
      <c r="H22" s="107">
        <f t="shared" ref="H22" si="23">SUM(H19:H21)</f>
        <v>0</v>
      </c>
      <c r="I22" s="107">
        <f t="shared" ref="I22" si="24">SUM(I19:I21)</f>
        <v>12</v>
      </c>
      <c r="J22" s="153">
        <f t="shared" si="18"/>
        <v>134</v>
      </c>
      <c r="L22" s="172">
        <f t="shared" si="21"/>
        <v>6.0869565217391307E-2</v>
      </c>
      <c r="M22" s="173">
        <f t="shared" si="21"/>
        <v>0</v>
      </c>
      <c r="N22" s="173">
        <f t="shared" si="19"/>
        <v>0</v>
      </c>
      <c r="O22" s="174">
        <f t="shared" si="19"/>
        <v>5.5118110236220472E-2</v>
      </c>
    </row>
    <row r="23" spans="2:15" ht="5" customHeight="1" x14ac:dyDescent="0.15">
      <c r="B23" s="138"/>
      <c r="C23" s="130"/>
      <c r="D23" s="80"/>
      <c r="E23" s="80"/>
      <c r="F23" s="131"/>
      <c r="G23" s="130"/>
      <c r="H23" s="80"/>
      <c r="I23" s="80"/>
      <c r="J23" s="152"/>
      <c r="L23" s="130"/>
      <c r="M23" s="80"/>
      <c r="N23" s="80"/>
      <c r="O23" s="152"/>
    </row>
    <row r="24" spans="2:15" ht="17" thickBot="1" x14ac:dyDescent="0.2">
      <c r="B24" s="140" t="s">
        <v>47</v>
      </c>
      <c r="C24" s="134">
        <f t="shared" ref="C24:J24" si="25">IFERROR(C11/C22,0)</f>
        <v>334278.26086956525</v>
      </c>
      <c r="D24" s="135">
        <f t="shared" si="25"/>
        <v>0</v>
      </c>
      <c r="E24" s="135">
        <f t="shared" si="25"/>
        <v>854266.66666666663</v>
      </c>
      <c r="F24" s="136">
        <f t="shared" si="25"/>
        <v>1008976.3779527559</v>
      </c>
      <c r="G24" s="134">
        <f t="shared" si="25"/>
        <v>427471.584082496</v>
      </c>
      <c r="H24" s="135">
        <f t="shared" si="25"/>
        <v>0</v>
      </c>
      <c r="I24" s="135">
        <f t="shared" si="25"/>
        <v>1150000</v>
      </c>
      <c r="J24" s="154">
        <f t="shared" si="25"/>
        <v>1073204.4571497352</v>
      </c>
      <c r="L24" s="175">
        <f t="shared" si="21"/>
        <v>0.27878966155473273</v>
      </c>
      <c r="M24" s="176">
        <f t="shared" si="21"/>
        <v>0</v>
      </c>
      <c r="N24" s="176">
        <f t="shared" ref="N24" si="26">IFERROR((I24-E24)/E24,0)</f>
        <v>0.34618386140159207</v>
      </c>
      <c r="O24" s="177">
        <f t="shared" ref="O24" si="27">IFERROR((J24-F24)/F24,0)</f>
        <v>6.3656672842331591E-2</v>
      </c>
    </row>
  </sheetData>
  <mergeCells count="12">
    <mergeCell ref="C3:F3"/>
    <mergeCell ref="C4:E4"/>
    <mergeCell ref="F4:F5"/>
    <mergeCell ref="G3:J3"/>
    <mergeCell ref="G4:I4"/>
    <mergeCell ref="J4:J5"/>
    <mergeCell ref="Q3:T3"/>
    <mergeCell ref="Q4:S4"/>
    <mergeCell ref="T4:T5"/>
    <mergeCell ref="L3:O3"/>
    <mergeCell ref="L4:N4"/>
    <mergeCell ref="O4:O5"/>
  </mergeCells>
  <pageMargins left="0.25" right="0.25" top="0.75" bottom="0.75" header="0.3" footer="0.3"/>
  <pageSetup paperSize="9"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24"/>
  <sheetViews>
    <sheetView showGridLines="0" topLeftCell="I2" zoomScale="180" zoomScaleNormal="180" workbookViewId="0">
      <selection activeCell="S24" sqref="S24"/>
    </sheetView>
  </sheetViews>
  <sheetFormatPr baseColWidth="10" defaultRowHeight="16" x14ac:dyDescent="0.2"/>
  <cols>
    <col min="1" max="1" width="2" style="3" customWidth="1"/>
    <col min="2" max="2" width="10.83203125" style="3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72" t="s">
        <v>113</v>
      </c>
    </row>
    <row r="2" spans="2:19" ht="17" thickBot="1" x14ac:dyDescent="0.25"/>
    <row r="3" spans="2:19" x14ac:dyDescent="0.2">
      <c r="B3" s="332"/>
      <c r="C3" s="346" t="s">
        <v>59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5"/>
      <c r="P3" s="343" t="s">
        <v>84</v>
      </c>
      <c r="Q3" s="344"/>
      <c r="R3" s="344"/>
      <c r="S3" s="345"/>
    </row>
    <row r="4" spans="2:19" x14ac:dyDescent="0.2">
      <c r="B4" s="333"/>
      <c r="C4" s="339" t="s">
        <v>81</v>
      </c>
      <c r="D4" s="340"/>
      <c r="E4" s="341"/>
      <c r="F4" s="339" t="s">
        <v>82</v>
      </c>
      <c r="G4" s="340"/>
      <c r="H4" s="341"/>
      <c r="I4" s="339" t="s">
        <v>83</v>
      </c>
      <c r="J4" s="340"/>
      <c r="K4" s="341"/>
      <c r="L4" s="339" t="s">
        <v>3</v>
      </c>
      <c r="M4" s="340"/>
      <c r="N4" s="342"/>
      <c r="P4" s="76" t="s">
        <v>76</v>
      </c>
      <c r="Q4" s="77" t="s">
        <v>77</v>
      </c>
      <c r="R4" s="77" t="s">
        <v>57</v>
      </c>
      <c r="S4" s="193" t="s">
        <v>68</v>
      </c>
    </row>
    <row r="5" spans="2:19" x14ac:dyDescent="0.2">
      <c r="B5" s="334"/>
      <c r="C5" s="178" t="s">
        <v>80</v>
      </c>
      <c r="D5" s="179" t="s">
        <v>9</v>
      </c>
      <c r="E5" s="180" t="s">
        <v>37</v>
      </c>
      <c r="F5" s="178" t="s">
        <v>80</v>
      </c>
      <c r="G5" s="179" t="s">
        <v>9</v>
      </c>
      <c r="H5" s="180" t="s">
        <v>37</v>
      </c>
      <c r="I5" s="178" t="s">
        <v>80</v>
      </c>
      <c r="J5" s="179" t="s">
        <v>9</v>
      </c>
      <c r="K5" s="180" t="s">
        <v>37</v>
      </c>
      <c r="L5" s="178" t="s">
        <v>80</v>
      </c>
      <c r="M5" s="179" t="s">
        <v>9</v>
      </c>
      <c r="N5" s="184" t="s">
        <v>37</v>
      </c>
      <c r="P5" s="76" t="s">
        <v>37</v>
      </c>
      <c r="Q5" s="77" t="s">
        <v>37</v>
      </c>
      <c r="R5" s="77" t="s">
        <v>37</v>
      </c>
      <c r="S5" s="193" t="s">
        <v>37</v>
      </c>
    </row>
    <row r="6" spans="2:19" x14ac:dyDescent="0.2">
      <c r="B6" s="185" t="s">
        <v>78</v>
      </c>
      <c r="C6" s="181">
        <f>+E6/D6</f>
        <v>151632.33333333334</v>
      </c>
      <c r="D6" s="182">
        <f>+'Tab 0'!$B33</f>
        <v>180</v>
      </c>
      <c r="E6" s="183">
        <f>+E$8*P6</f>
        <v>27293820</v>
      </c>
      <c r="F6" s="181">
        <f>+H6/G6</f>
        <v>441371.11111111112</v>
      </c>
      <c r="G6" s="182">
        <f>+'Tab 0'!$B33</f>
        <v>180</v>
      </c>
      <c r="H6" s="183">
        <f>+H$8*Q6</f>
        <v>79446800</v>
      </c>
      <c r="I6" s="181">
        <f>+K6/J6</f>
        <v>5125.6000000000004</v>
      </c>
      <c r="J6" s="182">
        <f>+'Tab 0'!$B33</f>
        <v>180</v>
      </c>
      <c r="K6" s="183">
        <f>+K$8*R6</f>
        <v>922608</v>
      </c>
      <c r="L6" s="181">
        <f t="shared" ref="L6:N7" si="0">+C6+F6+I6</f>
        <v>598129.04444444447</v>
      </c>
      <c r="M6" s="182">
        <f>+N6/L6</f>
        <v>180</v>
      </c>
      <c r="N6" s="186">
        <f t="shared" si="0"/>
        <v>107663228</v>
      </c>
      <c r="P6" s="200">
        <f>+'Tab 0'!B37</f>
        <v>0.71</v>
      </c>
      <c r="Q6" s="197">
        <f>+'Tab 0'!C37</f>
        <v>1</v>
      </c>
      <c r="R6" s="197">
        <f>+'Tab 0'!D37</f>
        <v>0.09</v>
      </c>
      <c r="S6" s="194">
        <f>N6/N$8</f>
        <v>0.84019999999999995</v>
      </c>
    </row>
    <row r="7" spans="2:19" x14ac:dyDescent="0.2">
      <c r="B7" s="73" t="s">
        <v>79</v>
      </c>
      <c r="C7" s="34">
        <f>+E7/D7</f>
        <v>22296.360000000004</v>
      </c>
      <c r="D7" s="74">
        <f>+'Tab 0'!$B34</f>
        <v>500</v>
      </c>
      <c r="E7" s="61">
        <f>+E$8*P7</f>
        <v>11148180.000000002</v>
      </c>
      <c r="F7" s="34">
        <f>+H7/G7</f>
        <v>0</v>
      </c>
      <c r="G7" s="74">
        <f>+'Tab 0'!$B34</f>
        <v>500</v>
      </c>
      <c r="H7" s="61">
        <f>+H$8*Q7</f>
        <v>0</v>
      </c>
      <c r="I7" s="34">
        <f>+K7/J7</f>
        <v>18657.184000000001</v>
      </c>
      <c r="J7" s="74">
        <f>+'Tab 0'!$B34</f>
        <v>500</v>
      </c>
      <c r="K7" s="61">
        <f>+K$8*R7</f>
        <v>9328592</v>
      </c>
      <c r="L7" s="34">
        <f t="shared" si="0"/>
        <v>40953.544000000009</v>
      </c>
      <c r="M7" s="74">
        <f>+N7/L7</f>
        <v>499.99999999999989</v>
      </c>
      <c r="N7" s="187">
        <f t="shared" si="0"/>
        <v>20476772</v>
      </c>
      <c r="P7" s="200">
        <f>+'Tab 0'!B38</f>
        <v>0.29000000000000004</v>
      </c>
      <c r="Q7" s="197">
        <f>+'Tab 0'!C38</f>
        <v>0</v>
      </c>
      <c r="R7" s="197">
        <f>+'Tab 0'!D38</f>
        <v>0.91</v>
      </c>
      <c r="S7" s="194">
        <f>N7/N$8</f>
        <v>0.1598</v>
      </c>
    </row>
    <row r="8" spans="2:19" ht="17" thickBot="1" x14ac:dyDescent="0.25">
      <c r="B8" s="188" t="s">
        <v>3</v>
      </c>
      <c r="C8" s="189"/>
      <c r="D8" s="190"/>
      <c r="E8" s="191">
        <f>+'Tab 1'!C11</f>
        <v>38442000</v>
      </c>
      <c r="F8" s="189"/>
      <c r="G8" s="190"/>
      <c r="H8" s="191">
        <f>+'Tab 1'!D11</f>
        <v>79446800</v>
      </c>
      <c r="I8" s="189"/>
      <c r="J8" s="190"/>
      <c r="K8" s="191">
        <f>+'Tab 1'!E11</f>
        <v>10251200</v>
      </c>
      <c r="L8" s="189"/>
      <c r="M8" s="190"/>
      <c r="N8" s="192">
        <f>+E8+H8+K8</f>
        <v>128140000</v>
      </c>
      <c r="P8" s="199"/>
      <c r="Q8" s="195"/>
      <c r="R8" s="195"/>
      <c r="S8" s="196"/>
    </row>
    <row r="10" spans="2:19" ht="17" thickBot="1" x14ac:dyDescent="0.25"/>
    <row r="11" spans="2:19" x14ac:dyDescent="0.2">
      <c r="B11" s="332"/>
      <c r="C11" s="335" t="s">
        <v>85</v>
      </c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N11" s="337"/>
      <c r="P11" s="338" t="s">
        <v>84</v>
      </c>
      <c r="Q11" s="336"/>
      <c r="R11" s="336"/>
      <c r="S11" s="337"/>
    </row>
    <row r="12" spans="2:19" x14ac:dyDescent="0.2">
      <c r="B12" s="333"/>
      <c r="C12" s="339" t="s">
        <v>81</v>
      </c>
      <c r="D12" s="340"/>
      <c r="E12" s="341"/>
      <c r="F12" s="339" t="s">
        <v>82</v>
      </c>
      <c r="G12" s="340"/>
      <c r="H12" s="341"/>
      <c r="I12" s="339" t="s">
        <v>83</v>
      </c>
      <c r="J12" s="340"/>
      <c r="K12" s="341"/>
      <c r="L12" s="339" t="s">
        <v>3</v>
      </c>
      <c r="M12" s="340"/>
      <c r="N12" s="342"/>
      <c r="P12" s="76" t="s">
        <v>76</v>
      </c>
      <c r="Q12" s="77" t="s">
        <v>77</v>
      </c>
      <c r="R12" s="77" t="s">
        <v>57</v>
      </c>
      <c r="S12" s="193" t="s">
        <v>68</v>
      </c>
    </row>
    <row r="13" spans="2:19" x14ac:dyDescent="0.2">
      <c r="B13" s="334"/>
      <c r="C13" s="178" t="s">
        <v>80</v>
      </c>
      <c r="D13" s="179" t="s">
        <v>9</v>
      </c>
      <c r="E13" s="180" t="s">
        <v>37</v>
      </c>
      <c r="F13" s="178" t="s">
        <v>80</v>
      </c>
      <c r="G13" s="179" t="s">
        <v>9</v>
      </c>
      <c r="H13" s="180" t="s">
        <v>37</v>
      </c>
      <c r="I13" s="178" t="s">
        <v>80</v>
      </c>
      <c r="J13" s="179" t="s">
        <v>9</v>
      </c>
      <c r="K13" s="180" t="s">
        <v>37</v>
      </c>
      <c r="L13" s="178" t="s">
        <v>80</v>
      </c>
      <c r="M13" s="179" t="s">
        <v>9</v>
      </c>
      <c r="N13" s="184" t="s">
        <v>37</v>
      </c>
      <c r="P13" s="76" t="s">
        <v>37</v>
      </c>
      <c r="Q13" s="77" t="s">
        <v>37</v>
      </c>
      <c r="R13" s="77" t="s">
        <v>37</v>
      </c>
      <c r="S13" s="193" t="s">
        <v>37</v>
      </c>
    </row>
    <row r="14" spans="2:19" x14ac:dyDescent="0.2">
      <c r="B14" s="185" t="s">
        <v>78</v>
      </c>
      <c r="C14" s="181">
        <f>+E14/D14</f>
        <v>246271.12927419352</v>
      </c>
      <c r="D14" s="182">
        <f>+D6</f>
        <v>180</v>
      </c>
      <c r="E14" s="183">
        <f>+E$16*P14</f>
        <v>44328803.269354835</v>
      </c>
      <c r="F14" s="181">
        <f>+H14/G14</f>
        <v>432543.68888888886</v>
      </c>
      <c r="G14" s="182">
        <f>+G6</f>
        <v>180</v>
      </c>
      <c r="H14" s="183">
        <f>+H$16*Q14</f>
        <v>77857864</v>
      </c>
      <c r="I14" s="181">
        <f>+K14/J14</f>
        <v>3833.3333333333367</v>
      </c>
      <c r="J14" s="182">
        <f>+J6</f>
        <v>180</v>
      </c>
      <c r="K14" s="183">
        <f>+K$16*R14</f>
        <v>690000.00000000058</v>
      </c>
      <c r="L14" s="181">
        <f t="shared" ref="L14:L15" si="1">+C14+F14+I14</f>
        <v>682648.15149641572</v>
      </c>
      <c r="M14" s="182">
        <f>+N14/L14</f>
        <v>180</v>
      </c>
      <c r="N14" s="186">
        <f t="shared" ref="N14:N15" si="2">+E14+H14+K14</f>
        <v>122876667.26935484</v>
      </c>
      <c r="P14" s="201">
        <v>0.85</v>
      </c>
      <c r="Q14" s="197">
        <f>+Q6</f>
        <v>1</v>
      </c>
      <c r="R14" s="197">
        <f>1-R15</f>
        <v>5.0000000000000044E-2</v>
      </c>
      <c r="S14" s="194">
        <f>N14/N$16</f>
        <v>0.85444115344461047</v>
      </c>
    </row>
    <row r="15" spans="2:19" x14ac:dyDescent="0.2">
      <c r="B15" s="73" t="s">
        <v>79</v>
      </c>
      <c r="C15" s="34">
        <f>+E15/D15</f>
        <v>15645.459977419358</v>
      </c>
      <c r="D15" s="74">
        <f>+D7</f>
        <v>500</v>
      </c>
      <c r="E15" s="61">
        <f>+E$16*P15</f>
        <v>7822729.9887096789</v>
      </c>
      <c r="F15" s="34">
        <f>+H15/G15</f>
        <v>0</v>
      </c>
      <c r="G15" s="74">
        <f>+G7</f>
        <v>500</v>
      </c>
      <c r="H15" s="61">
        <f>+H$16*Q15</f>
        <v>0</v>
      </c>
      <c r="I15" s="34">
        <f>+K15/J15</f>
        <v>26220</v>
      </c>
      <c r="J15" s="74">
        <f>+J7</f>
        <v>500</v>
      </c>
      <c r="K15" s="61">
        <f>+K$16*R15</f>
        <v>13110000</v>
      </c>
      <c r="L15" s="34">
        <f t="shared" si="1"/>
        <v>41865.459977419356</v>
      </c>
      <c r="M15" s="74">
        <f>+N15/L15</f>
        <v>500.00000000000006</v>
      </c>
      <c r="N15" s="187">
        <f t="shared" si="2"/>
        <v>20932729.988709681</v>
      </c>
      <c r="P15" s="200">
        <f>1-P14</f>
        <v>0.15000000000000002</v>
      </c>
      <c r="Q15" s="197">
        <f>+Q7</f>
        <v>0</v>
      </c>
      <c r="R15" s="198">
        <v>0.95</v>
      </c>
      <c r="S15" s="194">
        <f>N15/N$16</f>
        <v>0.14555884655538961</v>
      </c>
    </row>
    <row r="16" spans="2:19" ht="17" thickBot="1" x14ac:dyDescent="0.25">
      <c r="B16" s="188" t="s">
        <v>3</v>
      </c>
      <c r="C16" s="189"/>
      <c r="D16" s="190"/>
      <c r="E16" s="191">
        <f>+'Tab 1'!G11</f>
        <v>52151533.258064516</v>
      </c>
      <c r="F16" s="189"/>
      <c r="G16" s="190"/>
      <c r="H16" s="191">
        <f>+'Tab 1'!H11</f>
        <v>77857864</v>
      </c>
      <c r="I16" s="189"/>
      <c r="J16" s="190"/>
      <c r="K16" s="191">
        <f>+'Tab 1'!I11</f>
        <v>13800000</v>
      </c>
      <c r="L16" s="189"/>
      <c r="M16" s="190"/>
      <c r="N16" s="192">
        <f>+E16+H16+K16</f>
        <v>143809397.25806451</v>
      </c>
      <c r="P16" s="199"/>
      <c r="Q16" s="195"/>
      <c r="R16" s="195"/>
      <c r="S16" s="196"/>
    </row>
    <row r="18" spans="2:19" ht="17" thickBot="1" x14ac:dyDescent="0.25"/>
    <row r="19" spans="2:19" x14ac:dyDescent="0.2">
      <c r="B19" s="332"/>
      <c r="C19" s="335" t="s">
        <v>126</v>
      </c>
      <c r="D19" s="336"/>
      <c r="E19" s="336"/>
      <c r="F19" s="336"/>
      <c r="G19" s="336"/>
      <c r="H19" s="336"/>
      <c r="I19" s="336"/>
      <c r="J19" s="336"/>
      <c r="K19" s="336"/>
      <c r="L19" s="336"/>
      <c r="M19" s="336"/>
      <c r="N19" s="337"/>
      <c r="P19" s="338" t="s">
        <v>84</v>
      </c>
      <c r="Q19" s="336"/>
      <c r="R19" s="336"/>
      <c r="S19" s="337"/>
    </row>
    <row r="20" spans="2:19" x14ac:dyDescent="0.2">
      <c r="B20" s="333"/>
      <c r="C20" s="339" t="s">
        <v>81</v>
      </c>
      <c r="D20" s="340"/>
      <c r="E20" s="341"/>
      <c r="F20" s="339" t="s">
        <v>82</v>
      </c>
      <c r="G20" s="340"/>
      <c r="H20" s="341"/>
      <c r="I20" s="339" t="s">
        <v>83</v>
      </c>
      <c r="J20" s="340"/>
      <c r="K20" s="341"/>
      <c r="L20" s="339" t="s">
        <v>3</v>
      </c>
      <c r="M20" s="340"/>
      <c r="N20" s="342"/>
      <c r="P20" s="76" t="s">
        <v>76</v>
      </c>
      <c r="Q20" s="77" t="s">
        <v>77</v>
      </c>
      <c r="R20" s="77" t="s">
        <v>57</v>
      </c>
      <c r="S20" s="193" t="s">
        <v>68</v>
      </c>
    </row>
    <row r="21" spans="2:19" x14ac:dyDescent="0.2">
      <c r="B21" s="334"/>
      <c r="C21" s="178" t="s">
        <v>80</v>
      </c>
      <c r="D21" s="179" t="s">
        <v>9</v>
      </c>
      <c r="E21" s="180" t="s">
        <v>37</v>
      </c>
      <c r="F21" s="178" t="s">
        <v>80</v>
      </c>
      <c r="G21" s="179" t="s">
        <v>9</v>
      </c>
      <c r="H21" s="180" t="s">
        <v>37</v>
      </c>
      <c r="I21" s="178" t="s">
        <v>80</v>
      </c>
      <c r="J21" s="179" t="s">
        <v>9</v>
      </c>
      <c r="K21" s="180" t="s">
        <v>37</v>
      </c>
      <c r="L21" s="178" t="s">
        <v>80</v>
      </c>
      <c r="M21" s="179" t="s">
        <v>9</v>
      </c>
      <c r="N21" s="184" t="s">
        <v>37</v>
      </c>
      <c r="P21" s="76" t="s">
        <v>37</v>
      </c>
      <c r="Q21" s="77" t="s">
        <v>37</v>
      </c>
      <c r="R21" s="77" t="s">
        <v>37</v>
      </c>
      <c r="S21" s="193" t="s">
        <v>37</v>
      </c>
    </row>
    <row r="22" spans="2:19" x14ac:dyDescent="0.2">
      <c r="B22" s="185" t="s">
        <v>78</v>
      </c>
      <c r="C22" s="181">
        <f>+E22/D22</f>
        <v>251196.55185967742</v>
      </c>
      <c r="D22" s="182">
        <f>+D14</f>
        <v>180</v>
      </c>
      <c r="E22" s="183">
        <f>+E$24*P22</f>
        <v>45215379.334741935</v>
      </c>
      <c r="F22" s="181">
        <f>+H22/G22</f>
        <v>415241.94133333332</v>
      </c>
      <c r="G22" s="182">
        <f>+G14</f>
        <v>180</v>
      </c>
      <c r="H22" s="183">
        <f>+H$24*Q22</f>
        <v>74743549.439999998</v>
      </c>
      <c r="I22" s="181">
        <f>+K22/J22</f>
        <v>4140.0000000000036</v>
      </c>
      <c r="J22" s="182">
        <f>+J14</f>
        <v>180</v>
      </c>
      <c r="K22" s="183">
        <f>+K$24*R22</f>
        <v>745200.0000000007</v>
      </c>
      <c r="L22" s="181">
        <f t="shared" ref="L22:L23" si="3">+C22+F22+I22</f>
        <v>670578.4931930108</v>
      </c>
      <c r="M22" s="182">
        <f>+N22/L22</f>
        <v>179.99999999999997</v>
      </c>
      <c r="N22" s="186">
        <f t="shared" ref="N22:N23" si="4">+E22+H22+K22</f>
        <v>120704128.77474193</v>
      </c>
      <c r="P22" s="200">
        <f t="shared" ref="P22:R23" si="5">+P14</f>
        <v>0.85</v>
      </c>
      <c r="Q22" s="197">
        <f t="shared" si="5"/>
        <v>1</v>
      </c>
      <c r="R22" s="197">
        <f t="shared" si="5"/>
        <v>5.0000000000000044E-2</v>
      </c>
      <c r="S22" s="194">
        <f>N22/N$24</f>
        <v>0.84501780275267735</v>
      </c>
    </row>
    <row r="23" spans="2:19" x14ac:dyDescent="0.2">
      <c r="B23" s="73" t="s">
        <v>79</v>
      </c>
      <c r="C23" s="34">
        <f>+E23/D23</f>
        <v>15958.369176967744</v>
      </c>
      <c r="D23" s="74">
        <f>+D15</f>
        <v>500</v>
      </c>
      <c r="E23" s="61">
        <f>+E$24*P23</f>
        <v>7979184.5884838719</v>
      </c>
      <c r="F23" s="34">
        <f>+H23/G23</f>
        <v>0</v>
      </c>
      <c r="G23" s="74">
        <f>+G15</f>
        <v>500</v>
      </c>
      <c r="H23" s="61">
        <f>+H$24*Q23</f>
        <v>0</v>
      </c>
      <c r="I23" s="34">
        <f>+K23/J23</f>
        <v>28317.599999999999</v>
      </c>
      <c r="J23" s="74">
        <f>+J15</f>
        <v>500</v>
      </c>
      <c r="K23" s="61">
        <f>+K$24*R23</f>
        <v>14158800</v>
      </c>
      <c r="L23" s="34">
        <f t="shared" si="3"/>
        <v>44275.969176967745</v>
      </c>
      <c r="M23" s="74">
        <f>+N23/L23</f>
        <v>499.99999999999994</v>
      </c>
      <c r="N23" s="187">
        <f t="shared" si="4"/>
        <v>22137984.58848387</v>
      </c>
      <c r="P23" s="200">
        <f t="shared" si="5"/>
        <v>0.15000000000000002</v>
      </c>
      <c r="Q23" s="197">
        <f t="shared" si="5"/>
        <v>0</v>
      </c>
      <c r="R23" s="197">
        <f t="shared" si="5"/>
        <v>0.95</v>
      </c>
      <c r="S23" s="194">
        <f>N23/N$24</f>
        <v>0.15498219724732254</v>
      </c>
    </row>
    <row r="24" spans="2:19" ht="17" thickBot="1" x14ac:dyDescent="0.25">
      <c r="B24" s="188" t="s">
        <v>3</v>
      </c>
      <c r="C24" s="189"/>
      <c r="D24" s="190"/>
      <c r="E24" s="191">
        <f>+'Tab 1'!Q11</f>
        <v>53194563.923225805</v>
      </c>
      <c r="F24" s="189"/>
      <c r="G24" s="190"/>
      <c r="H24" s="191">
        <f>+'Tab 1'!R11</f>
        <v>74743549.439999998</v>
      </c>
      <c r="I24" s="189"/>
      <c r="J24" s="190"/>
      <c r="K24" s="191">
        <f>+'Tab 1'!S11</f>
        <v>14904000</v>
      </c>
      <c r="L24" s="189"/>
      <c r="M24" s="190"/>
      <c r="N24" s="192">
        <f>+E24+H24+K24</f>
        <v>142842113.36322582</v>
      </c>
      <c r="P24" s="199"/>
      <c r="Q24" s="195"/>
      <c r="R24" s="195"/>
      <c r="S24" s="196"/>
    </row>
  </sheetData>
  <mergeCells count="21"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  <mergeCell ref="B19:B21"/>
    <mergeCell ref="C19:N19"/>
    <mergeCell ref="P19:S19"/>
    <mergeCell ref="C20:E20"/>
    <mergeCell ref="F20:H20"/>
    <mergeCell ref="I20:K20"/>
    <mergeCell ref="L20:N20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72" t="s">
        <v>112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359" t="s">
        <v>85</v>
      </c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1"/>
      <c r="X5" s="14"/>
    </row>
    <row r="6" spans="2:24" x14ac:dyDescent="0.2">
      <c r="B6" s="15"/>
      <c r="C6" s="363" t="s">
        <v>29</v>
      </c>
      <c r="D6" s="364"/>
      <c r="E6" s="364"/>
      <c r="F6" s="364" t="s">
        <v>30</v>
      </c>
      <c r="G6" s="364"/>
      <c r="H6" s="364"/>
      <c r="I6" s="364" t="s">
        <v>31</v>
      </c>
      <c r="J6" s="364"/>
      <c r="K6" s="364"/>
      <c r="L6" s="364" t="s">
        <v>32</v>
      </c>
      <c r="M6" s="364"/>
      <c r="N6" s="364"/>
      <c r="O6" s="364" t="s">
        <v>33</v>
      </c>
      <c r="P6" s="364"/>
      <c r="Q6" s="364"/>
      <c r="R6" s="364" t="s">
        <v>34</v>
      </c>
      <c r="S6" s="364"/>
      <c r="T6" s="339"/>
      <c r="U6" s="350" t="s">
        <v>2</v>
      </c>
      <c r="V6" s="351"/>
      <c r="W6" s="352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88</v>
      </c>
      <c r="C9" s="32">
        <f>QUANTITÀ!B8</f>
        <v>18863.320540150991</v>
      </c>
      <c r="D9" s="58">
        <f>PREZZI!B5</f>
        <v>180</v>
      </c>
      <c r="E9" s="61">
        <f>C9*D9</f>
        <v>3395397.6972271786</v>
      </c>
      <c r="F9" s="33">
        <f>QUANTITÀ!C8</f>
        <v>20959.245044612213</v>
      </c>
      <c r="G9" s="58">
        <f>PREZZI!C5</f>
        <v>180</v>
      </c>
      <c r="H9" s="61">
        <f>F9*G9</f>
        <v>3772664.1080301981</v>
      </c>
      <c r="I9" s="34">
        <f>QUANTITÀ!D8</f>
        <v>24103.131801304044</v>
      </c>
      <c r="J9" s="58">
        <f>PREZZI!D5</f>
        <v>180</v>
      </c>
      <c r="K9" s="61">
        <f>I9*J9</f>
        <v>4338563.7242347281</v>
      </c>
      <c r="L9" s="34">
        <f>QUANTITÀ!E8</f>
        <v>22007.207296842822</v>
      </c>
      <c r="M9" s="58">
        <f>PREZZI!E5</f>
        <v>180</v>
      </c>
      <c r="N9" s="61">
        <f>L9*M9</f>
        <v>3961297.3134317081</v>
      </c>
      <c r="O9" s="34">
        <f>QUANTITÀ!F8</f>
        <v>22007.207296842822</v>
      </c>
      <c r="P9" s="58">
        <f>PREZZI!F5</f>
        <v>180</v>
      </c>
      <c r="Q9" s="61">
        <f>O9*P9</f>
        <v>3961297.3134317081</v>
      </c>
      <c r="R9" s="33">
        <f>QUANTITÀ!G8</f>
        <v>23055.169549073435</v>
      </c>
      <c r="S9" s="58">
        <f>PREZZI!G5</f>
        <v>180</v>
      </c>
      <c r="T9" s="61">
        <f>R9*S9</f>
        <v>4149930.5188332181</v>
      </c>
      <c r="U9" s="35">
        <f>C9+F9+I9+L9+O9+R9</f>
        <v>130995.28152882634</v>
      </c>
      <c r="V9" s="63">
        <f>IFERROR(W9/U9,0)</f>
        <v>180.00000000000003</v>
      </c>
      <c r="W9" s="66">
        <f>E9+H9+K9+N9+Q9+T9</f>
        <v>23579150.675188743</v>
      </c>
      <c r="X9" s="36"/>
    </row>
    <row r="10" spans="2:24" x14ac:dyDescent="0.2">
      <c r="B10" s="17" t="s">
        <v>89</v>
      </c>
      <c r="C10" s="32">
        <f>QUANTITÀ!B9</f>
        <v>33131.005957446803</v>
      </c>
      <c r="D10" s="58">
        <f>PREZZI!B6</f>
        <v>180</v>
      </c>
      <c r="E10" s="61">
        <f>C10*D10</f>
        <v>5963581.0723404242</v>
      </c>
      <c r="F10" s="33">
        <f>QUANTITÀ!C9</f>
        <v>36812.228841607561</v>
      </c>
      <c r="G10" s="58">
        <f>PREZZI!C6</f>
        <v>180</v>
      </c>
      <c r="H10" s="61">
        <f>F10*G10</f>
        <v>6626201.1914893612</v>
      </c>
      <c r="I10" s="34">
        <f>QUANTITÀ!D9</f>
        <v>42334.063167848697</v>
      </c>
      <c r="J10" s="58">
        <f>PREZZI!D6</f>
        <v>180</v>
      </c>
      <c r="K10" s="61">
        <f>I10*J10</f>
        <v>7620131.3702127654</v>
      </c>
      <c r="L10" s="34">
        <f>QUANTITÀ!E9</f>
        <v>38652.84028368794</v>
      </c>
      <c r="M10" s="58">
        <f>PREZZI!E6</f>
        <v>180</v>
      </c>
      <c r="N10" s="61">
        <f>L10*M10</f>
        <v>6957511.2510638293</v>
      </c>
      <c r="O10" s="34">
        <f>QUANTITÀ!F9</f>
        <v>38652.84028368794</v>
      </c>
      <c r="P10" s="58">
        <f>PREZZI!F6</f>
        <v>180</v>
      </c>
      <c r="Q10" s="61">
        <f>O10*P10</f>
        <v>6957511.2510638293</v>
      </c>
      <c r="R10" s="33">
        <f>QUANTITÀ!G9</f>
        <v>40493.451725768318</v>
      </c>
      <c r="S10" s="58">
        <f>PREZZI!G6</f>
        <v>180</v>
      </c>
      <c r="T10" s="61">
        <f>R10*S10</f>
        <v>7288821.3106382973</v>
      </c>
      <c r="U10" s="35">
        <f>C10+F10+I10+L10+O10+R10</f>
        <v>230076.43026004726</v>
      </c>
      <c r="V10" s="63">
        <f t="shared" ref="V10:V12" si="0">IFERROR(W10/U10,0)</f>
        <v>180.00000000000006</v>
      </c>
      <c r="W10" s="66">
        <f>E10+H10+K10+N10+Q10+T10</f>
        <v>41413757.446808517</v>
      </c>
      <c r="X10" s="36"/>
    </row>
    <row r="11" spans="2:24" x14ac:dyDescent="0.2">
      <c r="B11" s="17" t="s">
        <v>90</v>
      </c>
      <c r="C11" s="32">
        <f>QUANTITÀ!B10</f>
        <v>293.61702127659601</v>
      </c>
      <c r="D11" s="58">
        <f>PREZZI!B7</f>
        <v>180</v>
      </c>
      <c r="E11" s="61">
        <f>C11*D11</f>
        <v>52851.063829787279</v>
      </c>
      <c r="F11" s="33">
        <f>QUANTITÀ!C10</f>
        <v>326.2411347517733</v>
      </c>
      <c r="G11" s="58">
        <f>PREZZI!C7</f>
        <v>180</v>
      </c>
      <c r="H11" s="61">
        <f>F11*G11</f>
        <v>58723.404255319198</v>
      </c>
      <c r="I11" s="34">
        <f>QUANTITÀ!D10</f>
        <v>375.1773049645393</v>
      </c>
      <c r="J11" s="58">
        <f>PREZZI!D7</f>
        <v>180</v>
      </c>
      <c r="K11" s="61">
        <f>I11*J11</f>
        <v>67531.914893617068</v>
      </c>
      <c r="L11" s="34">
        <f>QUANTITÀ!E10</f>
        <v>342.55319148936201</v>
      </c>
      <c r="M11" s="58">
        <f>PREZZI!E7</f>
        <v>180</v>
      </c>
      <c r="N11" s="61">
        <f>L11*M11</f>
        <v>61659.574468085164</v>
      </c>
      <c r="O11" s="34">
        <f>QUANTITÀ!F10</f>
        <v>342.55319148936201</v>
      </c>
      <c r="P11" s="58">
        <f>PREZZI!F7</f>
        <v>180</v>
      </c>
      <c r="Q11" s="61">
        <f>O11*P11</f>
        <v>61659.574468085164</v>
      </c>
      <c r="R11" s="33">
        <f>QUANTITÀ!G10</f>
        <v>358.86524822695065</v>
      </c>
      <c r="S11" s="58">
        <f>PREZZI!G7</f>
        <v>180</v>
      </c>
      <c r="T11" s="61">
        <f>R11*S11</f>
        <v>64595.744680851116</v>
      </c>
      <c r="U11" s="35">
        <f>C11+F11+I11+L11+O11+R11</f>
        <v>2039.0070921985832</v>
      </c>
      <c r="V11" s="63">
        <f t="shared" si="0"/>
        <v>180</v>
      </c>
      <c r="W11" s="66">
        <f>E11+H11+K11+N11+Q11+T11</f>
        <v>367021.276595745</v>
      </c>
      <c r="X11" s="36"/>
    </row>
    <row r="12" spans="2:24" s="12" customFormat="1" ht="17" thickBot="1" x14ac:dyDescent="0.25">
      <c r="B12" s="37" t="s">
        <v>78</v>
      </c>
      <c r="C12" s="38">
        <f>SUM(C9:C11)</f>
        <v>52287.943518874388</v>
      </c>
      <c r="D12" s="59">
        <f>E12/C12</f>
        <v>180</v>
      </c>
      <c r="E12" s="62">
        <f>SUM(E9:E11)</f>
        <v>9411829.8333973903</v>
      </c>
      <c r="F12" s="39">
        <f>SUM(F9:F11)</f>
        <v>58097.71502097154</v>
      </c>
      <c r="G12" s="59">
        <f>H12/F12</f>
        <v>180.00000000000003</v>
      </c>
      <c r="H12" s="62">
        <f>SUM(H9:H11)</f>
        <v>10457588.703774879</v>
      </c>
      <c r="I12" s="40">
        <f>SUM(I9:I11)</f>
        <v>66812.372274117282</v>
      </c>
      <c r="J12" s="59">
        <f>K12/I12</f>
        <v>180</v>
      </c>
      <c r="K12" s="62">
        <f>SUM(K9:K11)</f>
        <v>12026227.009341111</v>
      </c>
      <c r="L12" s="40">
        <f>SUM(L9:L11)</f>
        <v>61002.600772020131</v>
      </c>
      <c r="M12" s="59">
        <f>N12/L12</f>
        <v>180</v>
      </c>
      <c r="N12" s="62">
        <f>SUM(N9:N11)</f>
        <v>10980468.138963623</v>
      </c>
      <c r="O12" s="40">
        <f>SUM(O9:O11)</f>
        <v>61002.600772020131</v>
      </c>
      <c r="P12" s="59">
        <f>Q12/O12</f>
        <v>180</v>
      </c>
      <c r="Q12" s="62">
        <f>SUM(Q9:Q11)</f>
        <v>10980468.138963623</v>
      </c>
      <c r="R12" s="39">
        <f>SUM(R9:R11)</f>
        <v>63907.486523068706</v>
      </c>
      <c r="S12" s="59">
        <f>T12/R12</f>
        <v>180</v>
      </c>
      <c r="T12" s="62">
        <f>SUM(T9:T11)</f>
        <v>11503347.574152367</v>
      </c>
      <c r="U12" s="38">
        <f>SUM(U9:U11)</f>
        <v>363110.71888107219</v>
      </c>
      <c r="V12" s="64">
        <f t="shared" si="0"/>
        <v>180.00000000000003</v>
      </c>
      <c r="W12" s="67">
        <f>SUM(W9:W11)</f>
        <v>65359929.398593001</v>
      </c>
      <c r="X12" s="41"/>
    </row>
    <row r="13" spans="2:24" x14ac:dyDescent="0.2">
      <c r="B13" s="17"/>
      <c r="C13" s="17"/>
      <c r="D13" s="58"/>
      <c r="E13" s="61"/>
      <c r="G13" s="58"/>
      <c r="H13" s="61"/>
      <c r="I13" s="28"/>
      <c r="J13" s="58"/>
      <c r="K13" s="61"/>
      <c r="L13" s="28"/>
      <c r="M13" s="58"/>
      <c r="N13" s="61"/>
      <c r="O13" s="28"/>
      <c r="P13" s="58"/>
      <c r="Q13" s="61"/>
      <c r="S13" s="58"/>
      <c r="T13" s="61"/>
      <c r="U13" s="29"/>
      <c r="V13" s="65"/>
      <c r="W13" s="66"/>
    </row>
    <row r="14" spans="2:24" x14ac:dyDescent="0.2">
      <c r="B14" s="26"/>
      <c r="C14" s="17"/>
      <c r="D14" s="58"/>
      <c r="E14" s="61"/>
      <c r="G14" s="58"/>
      <c r="H14" s="61"/>
      <c r="I14" s="28"/>
      <c r="J14" s="58"/>
      <c r="K14" s="61"/>
      <c r="L14" s="28"/>
      <c r="M14" s="58"/>
      <c r="N14" s="61"/>
      <c r="O14" s="28"/>
      <c r="P14" s="58"/>
      <c r="Q14" s="61"/>
      <c r="S14" s="58"/>
      <c r="T14" s="61"/>
      <c r="U14" s="29"/>
      <c r="V14" s="65"/>
      <c r="W14" s="66"/>
    </row>
    <row r="15" spans="2:24" x14ac:dyDescent="0.2">
      <c r="B15" s="17" t="s">
        <v>88</v>
      </c>
      <c r="C15" s="32">
        <f>QUANTITÀ!B15</f>
        <v>1198.375657844887</v>
      </c>
      <c r="D15" s="58">
        <f>PREZZI!B12</f>
        <v>500</v>
      </c>
      <c r="E15" s="61">
        <f>C15*D15</f>
        <v>599187.82892244344</v>
      </c>
      <c r="F15" s="33">
        <f>QUANTITÀ!C15</f>
        <v>1331.528508716541</v>
      </c>
      <c r="G15" s="58">
        <f>PREZZI!C12</f>
        <v>500</v>
      </c>
      <c r="H15" s="61">
        <f>F15*G15</f>
        <v>665764.25435827044</v>
      </c>
      <c r="I15" s="34">
        <f>QUANTITÀ!D15</f>
        <v>1531.257785024022</v>
      </c>
      <c r="J15" s="58">
        <f>PREZZI!D12</f>
        <v>500</v>
      </c>
      <c r="K15" s="61">
        <f>I15*J15</f>
        <v>765628.89251201099</v>
      </c>
      <c r="L15" s="34">
        <f>QUANTITÀ!E15</f>
        <v>1398.1049341523681</v>
      </c>
      <c r="M15" s="58">
        <f>PREZZI!E12</f>
        <v>500</v>
      </c>
      <c r="N15" s="61">
        <f>L15*M15</f>
        <v>699052.467076184</v>
      </c>
      <c r="O15" s="34">
        <f>QUANTITÀ!F15</f>
        <v>1398.1049341523681</v>
      </c>
      <c r="P15" s="58">
        <f>PREZZI!F12</f>
        <v>500</v>
      </c>
      <c r="Q15" s="61">
        <f>O15*P15</f>
        <v>699052.467076184</v>
      </c>
      <c r="R15" s="33">
        <f>QUANTITÀ!G15</f>
        <v>1464.6813595881949</v>
      </c>
      <c r="S15" s="58">
        <f>PREZZI!G12</f>
        <v>500</v>
      </c>
      <c r="T15" s="61">
        <f>R15*S15</f>
        <v>732340.67979409744</v>
      </c>
      <c r="U15" s="35">
        <f>C15+F15+I15+L15+O15+R15</f>
        <v>8322.0531794783819</v>
      </c>
      <c r="V15" s="63">
        <f>IFERROR(W15/U15,0)</f>
        <v>499.99999999999994</v>
      </c>
      <c r="W15" s="66">
        <f>E15+H15+K15+N15+Q15+T15</f>
        <v>4161026.5897391904</v>
      </c>
      <c r="X15" s="36"/>
    </row>
    <row r="16" spans="2:24" x14ac:dyDescent="0.2">
      <c r="B16" s="17" t="s">
        <v>89</v>
      </c>
      <c r="C16" s="32">
        <f>QUANTITÀ!B16</f>
        <v>0</v>
      </c>
      <c r="D16" s="58">
        <f>PREZZI!B13</f>
        <v>500</v>
      </c>
      <c r="E16" s="61">
        <f>C16*D16</f>
        <v>0</v>
      </c>
      <c r="F16" s="33">
        <f>QUANTITÀ!C16</f>
        <v>0</v>
      </c>
      <c r="G16" s="58">
        <f>PREZZI!C13</f>
        <v>500</v>
      </c>
      <c r="H16" s="61">
        <f>F16*G16</f>
        <v>0</v>
      </c>
      <c r="I16" s="34">
        <f>QUANTITÀ!D16</f>
        <v>0</v>
      </c>
      <c r="J16" s="58">
        <f>PREZZI!D13</f>
        <v>500</v>
      </c>
      <c r="K16" s="61">
        <f>I16*J16</f>
        <v>0</v>
      </c>
      <c r="L16" s="34">
        <f>QUANTITÀ!E16</f>
        <v>0</v>
      </c>
      <c r="M16" s="58">
        <f>PREZZI!E13</f>
        <v>500</v>
      </c>
      <c r="N16" s="61">
        <f>L16*M16</f>
        <v>0</v>
      </c>
      <c r="O16" s="34">
        <f>QUANTITÀ!F16</f>
        <v>0</v>
      </c>
      <c r="P16" s="58">
        <f>PREZZI!F13</f>
        <v>500</v>
      </c>
      <c r="Q16" s="61">
        <f>O16*P16</f>
        <v>0</v>
      </c>
      <c r="R16" s="33">
        <f>QUANTITÀ!G16</f>
        <v>0</v>
      </c>
      <c r="S16" s="58">
        <f>PREZZI!G13</f>
        <v>500</v>
      </c>
      <c r="T16" s="61">
        <f>R16*S16</f>
        <v>0</v>
      </c>
      <c r="U16" s="35">
        <f>C16+F16+I16+L16+O16+R16</f>
        <v>0</v>
      </c>
      <c r="V16" s="63">
        <f t="shared" ref="V16:V18" si="1">IFERROR(W16/U16,0)</f>
        <v>0</v>
      </c>
      <c r="W16" s="66">
        <f>E16+H16+K16+N16+Q16+T16</f>
        <v>0</v>
      </c>
      <c r="X16" s="36"/>
    </row>
    <row r="17" spans="2:111" x14ac:dyDescent="0.2">
      <c r="B17" s="17" t="s">
        <v>90</v>
      </c>
      <c r="C17" s="32">
        <f>QUANTITÀ!B17</f>
        <v>2008.3404255319151</v>
      </c>
      <c r="D17" s="58">
        <f>PREZZI!B14</f>
        <v>500</v>
      </c>
      <c r="E17" s="61">
        <f>C17*D17</f>
        <v>1004170.2127659576</v>
      </c>
      <c r="F17" s="33">
        <f>QUANTITÀ!C17</f>
        <v>2231.489361702128</v>
      </c>
      <c r="G17" s="58">
        <f>PREZZI!C14</f>
        <v>500</v>
      </c>
      <c r="H17" s="61">
        <f>F17*G17</f>
        <v>1115744.6808510639</v>
      </c>
      <c r="I17" s="34">
        <f>QUANTITÀ!D17</f>
        <v>2566.2127659574471</v>
      </c>
      <c r="J17" s="58">
        <f>PREZZI!D14</f>
        <v>500</v>
      </c>
      <c r="K17" s="61">
        <f>I17*J17</f>
        <v>1283106.3829787236</v>
      </c>
      <c r="L17" s="34">
        <f>QUANTITÀ!E17</f>
        <v>2343.0638297872342</v>
      </c>
      <c r="M17" s="58">
        <f>PREZZI!E14</f>
        <v>500</v>
      </c>
      <c r="N17" s="61">
        <f>L17*M17</f>
        <v>1171531.9148936172</v>
      </c>
      <c r="O17" s="34">
        <f>QUANTITÀ!F17</f>
        <v>2343.0638297872342</v>
      </c>
      <c r="P17" s="58">
        <f>PREZZI!F14</f>
        <v>500</v>
      </c>
      <c r="Q17" s="61">
        <f>O17*P17</f>
        <v>1171531.9148936172</v>
      </c>
      <c r="R17" s="33">
        <f>QUANTITÀ!G17</f>
        <v>2454.6382978723404</v>
      </c>
      <c r="S17" s="58">
        <f>PREZZI!G14</f>
        <v>500</v>
      </c>
      <c r="T17" s="61">
        <f>R17*S17</f>
        <v>1227319.1489361702</v>
      </c>
      <c r="U17" s="35">
        <f>C17+F17+I17+L17+O17+R17</f>
        <v>13946.808510638297</v>
      </c>
      <c r="V17" s="63">
        <f t="shared" si="1"/>
        <v>500.00000000000006</v>
      </c>
      <c r="W17" s="66">
        <f>E17+H17+K17+N17+Q17+T17</f>
        <v>6973404.2553191492</v>
      </c>
      <c r="X17" s="36"/>
    </row>
    <row r="18" spans="2:111" ht="17" thickBot="1" x14ac:dyDescent="0.25">
      <c r="B18" s="37" t="s">
        <v>79</v>
      </c>
      <c r="C18" s="38">
        <f>SUM(C15:C17)</f>
        <v>3206.7160833768021</v>
      </c>
      <c r="D18" s="59">
        <f>E18/C18</f>
        <v>500</v>
      </c>
      <c r="E18" s="62">
        <f>SUM(E15:E17)</f>
        <v>1603358.041688401</v>
      </c>
      <c r="F18" s="39">
        <f>SUM(F15:F17)</f>
        <v>3563.0178704186692</v>
      </c>
      <c r="G18" s="59">
        <f>H18/F18</f>
        <v>499.99999999999994</v>
      </c>
      <c r="H18" s="62">
        <f>SUM(H15:H17)</f>
        <v>1781508.9352093344</v>
      </c>
      <c r="I18" s="40">
        <f>SUM(I15:I17)</f>
        <v>4097.4705509814694</v>
      </c>
      <c r="J18" s="59">
        <f>K18/I18</f>
        <v>500</v>
      </c>
      <c r="K18" s="62">
        <f>SUM(K15:K17)</f>
        <v>2048735.2754907347</v>
      </c>
      <c r="L18" s="40">
        <f>SUM(L15:L17)</f>
        <v>3741.1687639396023</v>
      </c>
      <c r="M18" s="59">
        <f>N18/L18</f>
        <v>500</v>
      </c>
      <c r="N18" s="62">
        <f>SUM(N15:N17)</f>
        <v>1870584.3819698012</v>
      </c>
      <c r="O18" s="40">
        <f>SUM(O15:O17)</f>
        <v>3741.1687639396023</v>
      </c>
      <c r="P18" s="59">
        <f>Q18/O18</f>
        <v>500</v>
      </c>
      <c r="Q18" s="62">
        <f>SUM(Q15:Q17)</f>
        <v>1870584.3819698012</v>
      </c>
      <c r="R18" s="39">
        <f>SUM(R15:R17)</f>
        <v>3919.3196574605354</v>
      </c>
      <c r="S18" s="59">
        <f>T18/R18</f>
        <v>499.99999999999994</v>
      </c>
      <c r="T18" s="62">
        <f>SUM(T15:T17)</f>
        <v>1959659.8287302675</v>
      </c>
      <c r="U18" s="38">
        <f>SUM(U15:U17)</f>
        <v>22268.861690116679</v>
      </c>
      <c r="V18" s="64">
        <f t="shared" si="1"/>
        <v>500.00000000000006</v>
      </c>
      <c r="W18" s="67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8"/>
      <c r="E19" s="61"/>
      <c r="G19" s="58"/>
      <c r="H19" s="61"/>
      <c r="I19" s="28"/>
      <c r="J19" s="58"/>
      <c r="K19" s="61"/>
      <c r="L19" s="28"/>
      <c r="M19" s="58"/>
      <c r="N19" s="61"/>
      <c r="O19" s="28"/>
      <c r="P19" s="58"/>
      <c r="Q19" s="61"/>
      <c r="S19" s="58"/>
      <c r="T19" s="61"/>
      <c r="U19" s="29"/>
      <c r="V19" s="65"/>
      <c r="W19" s="66"/>
      <c r="X19" s="41"/>
      <c r="Y19" s="36"/>
      <c r="Z19" s="44"/>
      <c r="AA19" s="44"/>
    </row>
    <row r="20" spans="2:111" x14ac:dyDescent="0.2">
      <c r="B20" s="26"/>
      <c r="C20" s="17"/>
      <c r="D20" s="58"/>
      <c r="E20" s="61"/>
      <c r="G20" s="58"/>
      <c r="H20" s="61"/>
      <c r="I20" s="28"/>
      <c r="J20" s="58"/>
      <c r="K20" s="61"/>
      <c r="L20" s="28"/>
      <c r="M20" s="58"/>
      <c r="N20" s="61"/>
      <c r="O20" s="28"/>
      <c r="P20" s="58"/>
      <c r="Q20" s="61"/>
      <c r="S20" s="58"/>
      <c r="T20" s="61"/>
      <c r="U20" s="29"/>
      <c r="V20" s="65"/>
      <c r="W20" s="66"/>
      <c r="X20" s="41"/>
      <c r="Y20" s="36"/>
      <c r="Z20" s="44"/>
      <c r="AA20" s="44"/>
    </row>
    <row r="21" spans="2:111" x14ac:dyDescent="0.2">
      <c r="B21" s="17" t="s">
        <v>88</v>
      </c>
      <c r="C21" s="42">
        <f>C9+C15</f>
        <v>20061.69619799588</v>
      </c>
      <c r="D21" s="60">
        <f>E21/C21</f>
        <v>199.11504424778761</v>
      </c>
      <c r="E21" s="61">
        <f>E9+E15</f>
        <v>3994585.5261496222</v>
      </c>
      <c r="F21" s="42">
        <f>F9+F15</f>
        <v>22290.773553328752</v>
      </c>
      <c r="G21" s="60">
        <f>H21/F21</f>
        <v>199.11504424778761</v>
      </c>
      <c r="H21" s="61">
        <f>H9+H15</f>
        <v>4438428.3623884683</v>
      </c>
      <c r="I21" s="42">
        <f>I9+I15</f>
        <v>25634.389586328067</v>
      </c>
      <c r="J21" s="60">
        <f>K21/I21</f>
        <v>199.11504424778764</v>
      </c>
      <c r="K21" s="61">
        <f>K9+K15</f>
        <v>5104192.6167467395</v>
      </c>
      <c r="L21" s="42">
        <f>L9+L15</f>
        <v>23405.31223099519</v>
      </c>
      <c r="M21" s="60">
        <f>N21/L21</f>
        <v>199.11504424778764</v>
      </c>
      <c r="N21" s="61">
        <f>N9+N15</f>
        <v>4660349.7805078924</v>
      </c>
      <c r="O21" s="42">
        <f>O9+O15</f>
        <v>23405.31223099519</v>
      </c>
      <c r="P21" s="60">
        <f>Q21/O21</f>
        <v>199.11504424778764</v>
      </c>
      <c r="Q21" s="61">
        <f>Q9+Q15</f>
        <v>4660349.7805078924</v>
      </c>
      <c r="R21" s="42">
        <f>R9+R15</f>
        <v>24519.850908661629</v>
      </c>
      <c r="S21" s="60">
        <f>T21/R21</f>
        <v>199.11504424778761</v>
      </c>
      <c r="T21" s="61">
        <f>T9+T15</f>
        <v>4882271.1986273155</v>
      </c>
      <c r="U21" s="35">
        <f>C21+F21+I21+L21+O21+R21</f>
        <v>139317.3347083047</v>
      </c>
      <c r="V21" s="63">
        <f>IFERROR(W21/U21,0)</f>
        <v>199.11504424778764</v>
      </c>
      <c r="W21" s="66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89</v>
      </c>
      <c r="C22" s="42">
        <f t="shared" ref="C22:C23" si="2">C10+C16</f>
        <v>33131.005957446803</v>
      </c>
      <c r="D22" s="60">
        <f>E22/C22</f>
        <v>180</v>
      </c>
      <c r="E22" s="61">
        <f t="shared" ref="E22:F23" si="3">E10+E16</f>
        <v>5963581.0723404242</v>
      </c>
      <c r="F22" s="42">
        <f t="shared" si="3"/>
        <v>36812.228841607561</v>
      </c>
      <c r="G22" s="60">
        <f>H22/F22</f>
        <v>180</v>
      </c>
      <c r="H22" s="61">
        <f t="shared" ref="H22:I23" si="4">H10+H16</f>
        <v>6626201.1914893612</v>
      </c>
      <c r="I22" s="42">
        <f t="shared" si="4"/>
        <v>42334.063167848697</v>
      </c>
      <c r="J22" s="60">
        <f>K22/I22</f>
        <v>180</v>
      </c>
      <c r="K22" s="61">
        <f t="shared" ref="K22:L23" si="5">K10+K16</f>
        <v>7620131.3702127654</v>
      </c>
      <c r="L22" s="42">
        <f t="shared" si="5"/>
        <v>38652.84028368794</v>
      </c>
      <c r="M22" s="60">
        <f>N22/L22</f>
        <v>180</v>
      </c>
      <c r="N22" s="61">
        <f t="shared" ref="N22:O23" si="6">N10+N16</f>
        <v>6957511.2510638293</v>
      </c>
      <c r="O22" s="42">
        <f t="shared" si="6"/>
        <v>38652.84028368794</v>
      </c>
      <c r="P22" s="60">
        <f>Q22/O22</f>
        <v>180</v>
      </c>
      <c r="Q22" s="61">
        <f t="shared" ref="Q22:R23" si="7">Q10+Q16</f>
        <v>6957511.2510638293</v>
      </c>
      <c r="R22" s="42">
        <f t="shared" si="7"/>
        <v>40493.451725768318</v>
      </c>
      <c r="S22" s="60">
        <f>T22/R22</f>
        <v>180</v>
      </c>
      <c r="T22" s="61">
        <f t="shared" ref="T22" si="8">T10+T16</f>
        <v>7288821.3106382973</v>
      </c>
      <c r="U22" s="35">
        <f>C22+F22+I22+L22+O22+R22</f>
        <v>230076.43026004726</v>
      </c>
      <c r="V22" s="63">
        <f t="shared" ref="V22:V24" si="9">IFERROR(W22/U22,0)</f>
        <v>180.00000000000006</v>
      </c>
      <c r="W22" s="66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90</v>
      </c>
      <c r="C23" s="42">
        <f t="shared" si="2"/>
        <v>2301.9574468085111</v>
      </c>
      <c r="D23" s="60">
        <f>E23/C23</f>
        <v>459.18367346938771</v>
      </c>
      <c r="E23" s="61">
        <f t="shared" si="3"/>
        <v>1057021.2765957448</v>
      </c>
      <c r="F23" s="42">
        <f t="shared" si="3"/>
        <v>2557.7304964539012</v>
      </c>
      <c r="G23" s="60">
        <f>H23/F23</f>
        <v>459.18367346938771</v>
      </c>
      <c r="H23" s="61">
        <f t="shared" ref="H23" si="10">H11+H17</f>
        <v>1174468.0851063831</v>
      </c>
      <c r="I23" s="42">
        <f t="shared" si="4"/>
        <v>2941.3900709219865</v>
      </c>
      <c r="J23" s="60">
        <f>K23/I23</f>
        <v>459.18367346938777</v>
      </c>
      <c r="K23" s="61">
        <f t="shared" ref="K23" si="11">K11+K17</f>
        <v>1350638.2978723408</v>
      </c>
      <c r="L23" s="42">
        <f t="shared" si="5"/>
        <v>2685.6170212765965</v>
      </c>
      <c r="M23" s="60">
        <f>N23/L23</f>
        <v>459.18367346938766</v>
      </c>
      <c r="N23" s="61">
        <f t="shared" ref="N23" si="12">N11+N17</f>
        <v>1233191.4893617022</v>
      </c>
      <c r="O23" s="42">
        <f t="shared" si="6"/>
        <v>2685.6170212765965</v>
      </c>
      <c r="P23" s="60">
        <f>Q23/O23</f>
        <v>459.18367346938766</v>
      </c>
      <c r="Q23" s="61">
        <f t="shared" ref="Q23" si="13">Q11+Q17</f>
        <v>1233191.4893617022</v>
      </c>
      <c r="R23" s="42">
        <f t="shared" si="7"/>
        <v>2813.5035460992913</v>
      </c>
      <c r="S23" s="60">
        <f>T23/R23</f>
        <v>459.18367346938771</v>
      </c>
      <c r="T23" s="61">
        <f t="shared" ref="T23" si="14">T11+T17</f>
        <v>1291914.8936170214</v>
      </c>
      <c r="U23" s="35">
        <f>C23+F23+I23+L23+O23+R23</f>
        <v>15985.815602836883</v>
      </c>
      <c r="V23" s="63">
        <f t="shared" si="9"/>
        <v>459.18367346938777</v>
      </c>
      <c r="W23" s="66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59">
        <f>E24/C24</f>
        <v>198.49095307612177</v>
      </c>
      <c r="E24" s="62">
        <f>SUM(E21:E23)</f>
        <v>11015187.875085792</v>
      </c>
      <c r="F24" s="38">
        <f>SUM(F21:F23)</f>
        <v>61660.732891390209</v>
      </c>
      <c r="G24" s="59">
        <f>H24/F24</f>
        <v>198.4909530761218</v>
      </c>
      <c r="H24" s="62">
        <f>SUM(H21:H23)</f>
        <v>12239097.638984215</v>
      </c>
      <c r="I24" s="38">
        <f>SUM(I21:I23)</f>
        <v>70909.842825098749</v>
      </c>
      <c r="J24" s="59">
        <f>K24/I24</f>
        <v>198.49095307612177</v>
      </c>
      <c r="K24" s="62">
        <f>SUM(K21:K23)</f>
        <v>14074962.284831846</v>
      </c>
      <c r="L24" s="38">
        <f>SUM(L21:L23)</f>
        <v>64743.76953595972</v>
      </c>
      <c r="M24" s="59">
        <f>N24/L24</f>
        <v>198.49095307612177</v>
      </c>
      <c r="N24" s="62">
        <f>SUM(N21:N23)</f>
        <v>12851052.520933423</v>
      </c>
      <c r="O24" s="38">
        <f>SUM(O21:O23)</f>
        <v>64743.76953595972</v>
      </c>
      <c r="P24" s="59">
        <f>Q24/O24</f>
        <v>198.49095307612177</v>
      </c>
      <c r="Q24" s="62">
        <f>SUM(Q21:Q23)</f>
        <v>12851052.520933423</v>
      </c>
      <c r="R24" s="38">
        <f>SUM(R21:R23)</f>
        <v>67826.806180529238</v>
      </c>
      <c r="S24" s="59">
        <f>T24/R24</f>
        <v>198.49095307612174</v>
      </c>
      <c r="T24" s="62">
        <f>SUM(T21:T23)</f>
        <v>13463007.402882634</v>
      </c>
      <c r="U24" s="38">
        <f>SUM(U21:U23)</f>
        <v>385379.58057118882</v>
      </c>
      <c r="V24" s="64">
        <f t="shared" si="9"/>
        <v>198.49095307612177</v>
      </c>
      <c r="W24" s="67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359" t="s">
        <v>85</v>
      </c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1"/>
      <c r="X29" s="14"/>
      <c r="Y29" s="353" t="s">
        <v>3</v>
      </c>
      <c r="Z29" s="354"/>
      <c r="AA29" s="355"/>
    </row>
    <row r="30" spans="2:111" x14ac:dyDescent="0.2">
      <c r="B30" s="15"/>
      <c r="C30" s="362" t="s">
        <v>23</v>
      </c>
      <c r="D30" s="340"/>
      <c r="E30" s="341"/>
      <c r="F30" s="347" t="s">
        <v>24</v>
      </c>
      <c r="G30" s="348"/>
      <c r="H30" s="349"/>
      <c r="I30" s="347" t="s">
        <v>25</v>
      </c>
      <c r="J30" s="348"/>
      <c r="K30" s="349"/>
      <c r="L30" s="347" t="s">
        <v>26</v>
      </c>
      <c r="M30" s="348"/>
      <c r="N30" s="349"/>
      <c r="O30" s="347" t="s">
        <v>27</v>
      </c>
      <c r="P30" s="348"/>
      <c r="Q30" s="349"/>
      <c r="R30" s="347" t="s">
        <v>28</v>
      </c>
      <c r="S30" s="348"/>
      <c r="T30" s="349"/>
      <c r="U30" s="350" t="s">
        <v>128</v>
      </c>
      <c r="V30" s="351"/>
      <c r="W30" s="352"/>
      <c r="X30" s="16"/>
      <c r="Y30" s="356"/>
      <c r="Z30" s="357"/>
      <c r="AA30" s="358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88</v>
      </c>
      <c r="C33" s="32">
        <f>QUANTITÀ!H8</f>
        <v>23055.169549073435</v>
      </c>
      <c r="D33" s="58">
        <f>PREZZI!H5</f>
        <v>180</v>
      </c>
      <c r="E33" s="61">
        <f>C33*D33</f>
        <v>4149930.5188332181</v>
      </c>
      <c r="F33" s="33">
        <f>QUANTITÀ!I8</f>
        <v>12575.547026767326</v>
      </c>
      <c r="G33" s="58">
        <f>PREZZI!I5</f>
        <v>180</v>
      </c>
      <c r="H33" s="61">
        <f>F33*G33</f>
        <v>2263598.4648181186</v>
      </c>
      <c r="I33" s="34">
        <f>QUANTITÀ!J8</f>
        <v>23055.169549073435</v>
      </c>
      <c r="J33" s="58">
        <f>PREZZI!J5</f>
        <v>180</v>
      </c>
      <c r="K33" s="61">
        <f>I33*J33</f>
        <v>4149930.5188332181</v>
      </c>
      <c r="L33" s="34">
        <f>QUANTITÀ!K8</f>
        <v>22007.207296842822</v>
      </c>
      <c r="M33" s="58">
        <f>PREZZI!K5</f>
        <v>180</v>
      </c>
      <c r="N33" s="61">
        <f>L33*M33</f>
        <v>3961297.3134317081</v>
      </c>
      <c r="O33" s="34">
        <f>QUANTITÀ!L8</f>
        <v>22007.207296842822</v>
      </c>
      <c r="P33" s="58">
        <f>PREZZI!L5</f>
        <v>180</v>
      </c>
      <c r="Q33" s="61">
        <f>O33*P33</f>
        <v>3961297.3134317081</v>
      </c>
      <c r="R33" s="33">
        <f>QUANTITÀ!M8</f>
        <v>12575.547026767326</v>
      </c>
      <c r="S33" s="58">
        <f>PREZZI!M5</f>
        <v>180</v>
      </c>
      <c r="T33" s="61">
        <f>R33*S33</f>
        <v>2263598.4648181186</v>
      </c>
      <c r="U33" s="35">
        <f>C33+F33+I33+L33+O33+R33</f>
        <v>115275.84774536717</v>
      </c>
      <c r="V33" s="63">
        <f>IFERROR(W33/U33,0)</f>
        <v>180.00000000000003</v>
      </c>
      <c r="W33" s="66">
        <f>E33+H33+K33+N33+Q33+T33</f>
        <v>20749652.594166093</v>
      </c>
      <c r="X33" s="36"/>
      <c r="Y33" s="35">
        <f>U9+U33</f>
        <v>246271.12927419349</v>
      </c>
      <c r="Z33" s="63">
        <f>IFERROR(AA33/Y33,0)</f>
        <v>180.00000000000003</v>
      </c>
      <c r="AA33" s="66">
        <f>W9+W33</f>
        <v>44328803.269354835</v>
      </c>
    </row>
    <row r="34" spans="2:32" x14ac:dyDescent="0.2">
      <c r="B34" s="17" t="s">
        <v>89</v>
      </c>
      <c r="C34" s="32">
        <f>QUANTITÀ!H9</f>
        <v>40493.451725768318</v>
      </c>
      <c r="D34" s="58">
        <f>PREZZI!H6</f>
        <v>180</v>
      </c>
      <c r="E34" s="61">
        <f>C34*D34</f>
        <v>7288821.3106382973</v>
      </c>
      <c r="F34" s="33">
        <f>QUANTITÀ!I9</f>
        <v>22087.337304964538</v>
      </c>
      <c r="G34" s="58">
        <f>PREZZI!I6</f>
        <v>180</v>
      </c>
      <c r="H34" s="61">
        <f>F34*G34</f>
        <v>3975720.7148936167</v>
      </c>
      <c r="I34" s="34">
        <f>QUANTITÀ!J9</f>
        <v>40493.451725768318</v>
      </c>
      <c r="J34" s="58">
        <f>PREZZI!J6</f>
        <v>180</v>
      </c>
      <c r="K34" s="61">
        <f>I34*J34</f>
        <v>7288821.3106382973</v>
      </c>
      <c r="L34" s="34">
        <f>QUANTITÀ!K9</f>
        <v>38652.84028368794</v>
      </c>
      <c r="M34" s="58">
        <f>PREZZI!K6</f>
        <v>180</v>
      </c>
      <c r="N34" s="61">
        <f>L34*M34</f>
        <v>6957511.2510638293</v>
      </c>
      <c r="O34" s="34">
        <f>QUANTITÀ!L9</f>
        <v>38652.84028368794</v>
      </c>
      <c r="P34" s="58">
        <f>PREZZI!L6</f>
        <v>180</v>
      </c>
      <c r="Q34" s="61">
        <f>O34*P34</f>
        <v>6957511.2510638293</v>
      </c>
      <c r="R34" s="33">
        <f>QUANTITÀ!M9</f>
        <v>22087.337304964538</v>
      </c>
      <c r="S34" s="58">
        <f>PREZZI!M6</f>
        <v>180</v>
      </c>
      <c r="T34" s="61">
        <f>R34*S34</f>
        <v>3975720.7148936167</v>
      </c>
      <c r="U34" s="35">
        <f>C34+F34+I34+L34+O34+R34</f>
        <v>202467.25862884161</v>
      </c>
      <c r="V34" s="63">
        <f t="shared" ref="V34:V36" si="15">IFERROR(W34/U34,0)</f>
        <v>180</v>
      </c>
      <c r="W34" s="66">
        <f>E34+H34+K34+N34+Q34+T34</f>
        <v>36444106.55319149</v>
      </c>
      <c r="X34" s="36"/>
      <c r="Y34" s="35">
        <f>U10+U34</f>
        <v>432543.68888888886</v>
      </c>
      <c r="Z34" s="63">
        <f t="shared" ref="Z34:Z36" si="16">IFERROR(AA34/Y34,0)</f>
        <v>180</v>
      </c>
      <c r="AA34" s="66">
        <f>W10+W34</f>
        <v>77857864</v>
      </c>
    </row>
    <row r="35" spans="2:32" x14ac:dyDescent="0.2">
      <c r="B35" s="17" t="s">
        <v>90</v>
      </c>
      <c r="C35" s="32">
        <f>QUANTITÀ!H10</f>
        <v>358.86524822695065</v>
      </c>
      <c r="D35" s="58">
        <f>PREZZI!H7</f>
        <v>180</v>
      </c>
      <c r="E35" s="61">
        <f>C35*D35</f>
        <v>64595.744680851116</v>
      </c>
      <c r="F35" s="33">
        <f>QUANTITÀ!I10</f>
        <v>195.744680851064</v>
      </c>
      <c r="G35" s="58">
        <f>PREZZI!I7</f>
        <v>180</v>
      </c>
      <c r="H35" s="61">
        <f>F35*G35</f>
        <v>35234.042553191524</v>
      </c>
      <c r="I35" s="34">
        <f>QUANTITÀ!J10</f>
        <v>358.86524822695065</v>
      </c>
      <c r="J35" s="58">
        <f>PREZZI!J7</f>
        <v>180</v>
      </c>
      <c r="K35" s="61">
        <f>I35*J35</f>
        <v>64595.744680851116</v>
      </c>
      <c r="L35" s="34">
        <f>QUANTITÀ!K10</f>
        <v>342.55319148936201</v>
      </c>
      <c r="M35" s="58">
        <f>PREZZI!K7</f>
        <v>180</v>
      </c>
      <c r="N35" s="61">
        <f>L35*M35</f>
        <v>61659.574468085164</v>
      </c>
      <c r="O35" s="34">
        <f>QUANTITÀ!L10</f>
        <v>342.55319148936201</v>
      </c>
      <c r="P35" s="58">
        <f>PREZZI!L7</f>
        <v>180</v>
      </c>
      <c r="Q35" s="61">
        <f>O35*P35</f>
        <v>61659.574468085164</v>
      </c>
      <c r="R35" s="33">
        <f>QUANTITÀ!M10</f>
        <v>195.744680851064</v>
      </c>
      <c r="S35" s="58">
        <f>PREZZI!M7</f>
        <v>180</v>
      </c>
      <c r="T35" s="61">
        <f>R35*S35</f>
        <v>35234.042553191524</v>
      </c>
      <c r="U35" s="35">
        <f>C35+F35+I35+L35+O35+R35</f>
        <v>1794.3262411347532</v>
      </c>
      <c r="V35" s="63">
        <f t="shared" si="15"/>
        <v>180.00000000000003</v>
      </c>
      <c r="W35" s="66">
        <f>E35+H35+K35+N35+Q35+T35</f>
        <v>322978.72340425564</v>
      </c>
      <c r="X35" s="36"/>
      <c r="Y35" s="35">
        <f>U11+U35</f>
        <v>3833.3333333333367</v>
      </c>
      <c r="Z35" s="63">
        <f t="shared" si="16"/>
        <v>180.00000000000003</v>
      </c>
      <c r="AA35" s="66">
        <f>W11+W35</f>
        <v>690000.0000000007</v>
      </c>
    </row>
    <row r="36" spans="2:32" ht="17" thickBot="1" x14ac:dyDescent="0.25">
      <c r="B36" s="37" t="s">
        <v>78</v>
      </c>
      <c r="C36" s="38">
        <f>SUM(C33:C35)</f>
        <v>63907.486523068706</v>
      </c>
      <c r="D36" s="59">
        <f>E36/C36</f>
        <v>180</v>
      </c>
      <c r="E36" s="62">
        <f>SUM(E33:E35)</f>
        <v>11503347.574152367</v>
      </c>
      <c r="F36" s="39">
        <f>SUM(F33:F35)</f>
        <v>34858.629012582933</v>
      </c>
      <c r="G36" s="59">
        <f>H36/F36</f>
        <v>179.99999999999994</v>
      </c>
      <c r="H36" s="62">
        <f>SUM(H33:H35)</f>
        <v>6274553.2222649259</v>
      </c>
      <c r="I36" s="40">
        <f>SUM(I33:I35)</f>
        <v>63907.486523068706</v>
      </c>
      <c r="J36" s="59">
        <f>K36/I36</f>
        <v>180</v>
      </c>
      <c r="K36" s="62">
        <f>SUM(K33:K35)</f>
        <v>11503347.574152367</v>
      </c>
      <c r="L36" s="40">
        <f>SUM(L33:L35)</f>
        <v>61002.600772020131</v>
      </c>
      <c r="M36" s="59">
        <f>N36/L36</f>
        <v>180</v>
      </c>
      <c r="N36" s="62">
        <f>SUM(N33:N35)</f>
        <v>10980468.138963623</v>
      </c>
      <c r="O36" s="40">
        <f>SUM(O33:O35)</f>
        <v>61002.600772020131</v>
      </c>
      <c r="P36" s="59">
        <f>Q36/O36</f>
        <v>180</v>
      </c>
      <c r="Q36" s="62">
        <f>SUM(Q33:Q35)</f>
        <v>10980468.138963623</v>
      </c>
      <c r="R36" s="39">
        <f>SUM(R33:R35)</f>
        <v>34858.629012582933</v>
      </c>
      <c r="S36" s="59">
        <f>T36/R36</f>
        <v>179.99999999999994</v>
      </c>
      <c r="T36" s="62">
        <f>SUM(T33:T35)</f>
        <v>6274553.2222649259</v>
      </c>
      <c r="U36" s="38">
        <f>SUM(U33:U35)</f>
        <v>319537.43261534348</v>
      </c>
      <c r="V36" s="64">
        <f t="shared" si="15"/>
        <v>180.00000000000006</v>
      </c>
      <c r="W36" s="67">
        <f>SUM(W33:W35)</f>
        <v>57516737.870761842</v>
      </c>
      <c r="X36" s="41"/>
      <c r="Y36" s="38">
        <f>SUM(Y33:Y35)</f>
        <v>682648.15149641572</v>
      </c>
      <c r="Z36" s="64">
        <f t="shared" si="16"/>
        <v>180</v>
      </c>
      <c r="AA36" s="67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8"/>
      <c r="E37" s="61"/>
      <c r="G37" s="58"/>
      <c r="H37" s="61"/>
      <c r="I37" s="28"/>
      <c r="J37" s="58"/>
      <c r="K37" s="61"/>
      <c r="L37" s="28"/>
      <c r="M37" s="58"/>
      <c r="N37" s="61"/>
      <c r="O37" s="28"/>
      <c r="P37" s="58"/>
      <c r="Q37" s="61"/>
      <c r="S37" s="58"/>
      <c r="T37" s="61"/>
      <c r="U37" s="29"/>
      <c r="V37" s="65"/>
      <c r="W37" s="66"/>
      <c r="Y37" s="29"/>
      <c r="Z37" s="65"/>
      <c r="AA37" s="66"/>
      <c r="AC37" s="48"/>
      <c r="AD37" s="48"/>
      <c r="AE37" s="48"/>
    </row>
    <row r="38" spans="2:32" x14ac:dyDescent="0.2">
      <c r="B38" s="26"/>
      <c r="C38" s="17"/>
      <c r="D38" s="58"/>
      <c r="E38" s="61"/>
      <c r="G38" s="58"/>
      <c r="H38" s="61"/>
      <c r="I38" s="28"/>
      <c r="J38" s="58"/>
      <c r="K38" s="61"/>
      <c r="L38" s="28"/>
      <c r="M38" s="58"/>
      <c r="N38" s="61"/>
      <c r="O38" s="28"/>
      <c r="P38" s="58"/>
      <c r="Q38" s="61"/>
      <c r="S38" s="58"/>
      <c r="T38" s="61"/>
      <c r="U38" s="29"/>
      <c r="V38" s="65"/>
      <c r="W38" s="66"/>
      <c r="Y38" s="29"/>
      <c r="Z38" s="65"/>
      <c r="AA38" s="66"/>
      <c r="AC38" s="48"/>
      <c r="AD38" s="48"/>
      <c r="AE38" s="48"/>
    </row>
    <row r="39" spans="2:32" x14ac:dyDescent="0.2">
      <c r="B39" s="17" t="s">
        <v>88</v>
      </c>
      <c r="C39" s="32">
        <f>QUANTITÀ!H15</f>
        <v>1464.6813595881949</v>
      </c>
      <c r="D39" s="58">
        <f>PREZZI!H12</f>
        <v>500</v>
      </c>
      <c r="E39" s="61">
        <f>C39*D39</f>
        <v>732340.67979409744</v>
      </c>
      <c r="F39" s="33">
        <f>QUANTITÀ!I15</f>
        <v>798.91710522992457</v>
      </c>
      <c r="G39" s="58">
        <f>PREZZI!I12</f>
        <v>500</v>
      </c>
      <c r="H39" s="61">
        <f>F39*G39</f>
        <v>399458.55261496227</v>
      </c>
      <c r="I39" s="34">
        <f>QUANTITÀ!J15</f>
        <v>1464.6813595881949</v>
      </c>
      <c r="J39" s="58">
        <f>PREZZI!J12</f>
        <v>500</v>
      </c>
      <c r="K39" s="61">
        <f>I39*J39</f>
        <v>732340.67979409744</v>
      </c>
      <c r="L39" s="34">
        <f>QUANTITÀ!K15</f>
        <v>1398.1049341523681</v>
      </c>
      <c r="M39" s="58">
        <f>PREZZI!K12</f>
        <v>500</v>
      </c>
      <c r="N39" s="61">
        <f>L39*M39</f>
        <v>699052.467076184</v>
      </c>
      <c r="O39" s="34">
        <f>QUANTITÀ!L15</f>
        <v>1398.1049341523681</v>
      </c>
      <c r="P39" s="58">
        <f>PREZZI!L12</f>
        <v>500</v>
      </c>
      <c r="Q39" s="61">
        <f>O39*P39</f>
        <v>699052.467076184</v>
      </c>
      <c r="R39" s="33">
        <f>QUANTITÀ!M15</f>
        <v>798.91710522992457</v>
      </c>
      <c r="S39" s="58">
        <f>PREZZI!M12</f>
        <v>500</v>
      </c>
      <c r="T39" s="61">
        <f>R39*S39</f>
        <v>399458.55261496227</v>
      </c>
      <c r="U39" s="35">
        <f>C39+F39+I39+L39+O39+R39</f>
        <v>7323.4067979409756</v>
      </c>
      <c r="V39" s="63">
        <f>IFERROR(W39/U39,0)</f>
        <v>500</v>
      </c>
      <c r="W39" s="66">
        <f>E39+H39+K39+N39+Q39+T39</f>
        <v>3661703.398970488</v>
      </c>
      <c r="X39" s="36"/>
      <c r="Y39" s="35">
        <f>U15+U39</f>
        <v>15645.459977419358</v>
      </c>
      <c r="Z39" s="63">
        <f>IFERROR(AA39/Y39,0)</f>
        <v>500</v>
      </c>
      <c r="AA39" s="66">
        <f>W15+W39</f>
        <v>7822729.9887096789</v>
      </c>
      <c r="AC39" s="48"/>
      <c r="AD39" s="48"/>
      <c r="AE39" s="48"/>
    </row>
    <row r="40" spans="2:32" x14ac:dyDescent="0.2">
      <c r="B40" s="17" t="s">
        <v>89</v>
      </c>
      <c r="C40" s="32">
        <f>QUANTITÀ!H16</f>
        <v>0</v>
      </c>
      <c r="D40" s="58">
        <f>PREZZI!H13</f>
        <v>500</v>
      </c>
      <c r="E40" s="61">
        <f>C40*D40</f>
        <v>0</v>
      </c>
      <c r="F40" s="33">
        <f>QUANTITÀ!I16</f>
        <v>0</v>
      </c>
      <c r="G40" s="58">
        <f>PREZZI!I13</f>
        <v>500</v>
      </c>
      <c r="H40" s="61">
        <f>F40*G40</f>
        <v>0</v>
      </c>
      <c r="I40" s="34">
        <f>QUANTITÀ!J16</f>
        <v>0</v>
      </c>
      <c r="J40" s="58">
        <f>PREZZI!J13</f>
        <v>500</v>
      </c>
      <c r="K40" s="61">
        <f>I40*J40</f>
        <v>0</v>
      </c>
      <c r="L40" s="34">
        <f>QUANTITÀ!K16</f>
        <v>0</v>
      </c>
      <c r="M40" s="58">
        <f>PREZZI!K13</f>
        <v>500</v>
      </c>
      <c r="N40" s="61">
        <f>L40*M40</f>
        <v>0</v>
      </c>
      <c r="O40" s="34">
        <f>QUANTITÀ!L16</f>
        <v>0</v>
      </c>
      <c r="P40" s="58">
        <f>PREZZI!L13</f>
        <v>500</v>
      </c>
      <c r="Q40" s="61">
        <f>O40*P40</f>
        <v>0</v>
      </c>
      <c r="R40" s="33">
        <f>QUANTITÀ!M16</f>
        <v>0</v>
      </c>
      <c r="S40" s="58">
        <f>PREZZI!M13</f>
        <v>500</v>
      </c>
      <c r="T40" s="61">
        <f>R40*S40</f>
        <v>0</v>
      </c>
      <c r="U40" s="35">
        <f>C40+F40+I40+L40+O40+R40</f>
        <v>0</v>
      </c>
      <c r="V40" s="63">
        <f t="shared" ref="V40:V42" si="17">IFERROR(W40/U40,0)</f>
        <v>0</v>
      </c>
      <c r="W40" s="66">
        <f>E40+H40+K40+N40+Q40+T40</f>
        <v>0</v>
      </c>
      <c r="X40" s="36"/>
      <c r="Y40" s="35">
        <f>U16+U40</f>
        <v>0</v>
      </c>
      <c r="Z40" s="63">
        <f t="shared" ref="Z40:Z42" si="18">IFERROR(AA40/Y40,0)</f>
        <v>0</v>
      </c>
      <c r="AA40" s="66">
        <f>W16+W40</f>
        <v>0</v>
      </c>
      <c r="AC40" s="48"/>
      <c r="AD40" s="48"/>
      <c r="AE40" s="48"/>
    </row>
    <row r="41" spans="2:32" x14ac:dyDescent="0.2">
      <c r="B41" s="17" t="s">
        <v>90</v>
      </c>
      <c r="C41" s="32">
        <f>QUANTITÀ!H17</f>
        <v>2454.6382978723404</v>
      </c>
      <c r="D41" s="58">
        <f>PREZZI!H14</f>
        <v>500</v>
      </c>
      <c r="E41" s="61">
        <f>C41*D41</f>
        <v>1227319.1489361702</v>
      </c>
      <c r="F41" s="33">
        <f>QUANTITÀ!I17</f>
        <v>1338.8936170212767</v>
      </c>
      <c r="G41" s="58">
        <f>PREZZI!I14</f>
        <v>500</v>
      </c>
      <c r="H41" s="61">
        <f>F41*G41</f>
        <v>669446.80851063831</v>
      </c>
      <c r="I41" s="34">
        <f>QUANTITÀ!J17</f>
        <v>2454.6382978723404</v>
      </c>
      <c r="J41" s="58">
        <f>PREZZI!J14</f>
        <v>500</v>
      </c>
      <c r="K41" s="61">
        <f>I41*J41</f>
        <v>1227319.1489361702</v>
      </c>
      <c r="L41" s="34">
        <f>QUANTITÀ!K17</f>
        <v>2343.0638297872342</v>
      </c>
      <c r="M41" s="58">
        <f>PREZZI!K14</f>
        <v>500</v>
      </c>
      <c r="N41" s="61">
        <f>L41*M41</f>
        <v>1171531.9148936172</v>
      </c>
      <c r="O41" s="34">
        <f>QUANTITÀ!L17</f>
        <v>2343.0638297872342</v>
      </c>
      <c r="P41" s="58">
        <f>PREZZI!L14</f>
        <v>500</v>
      </c>
      <c r="Q41" s="61">
        <f>O41*P41</f>
        <v>1171531.9148936172</v>
      </c>
      <c r="R41" s="33">
        <f>QUANTITÀ!M17</f>
        <v>1338.8936170212767</v>
      </c>
      <c r="S41" s="58">
        <f>PREZZI!M14</f>
        <v>500</v>
      </c>
      <c r="T41" s="61">
        <f>R41*S41</f>
        <v>669446.80851063831</v>
      </c>
      <c r="U41" s="35">
        <f>C41+F41+I41+L41+O41+R41</f>
        <v>12273.191489361701</v>
      </c>
      <c r="V41" s="63">
        <f t="shared" si="17"/>
        <v>500.00000000000006</v>
      </c>
      <c r="W41" s="66">
        <f>E41+H41+K41+N41+Q41+T41</f>
        <v>6136595.7446808517</v>
      </c>
      <c r="X41" s="36"/>
      <c r="Y41" s="35">
        <f>U17+U41</f>
        <v>26220</v>
      </c>
      <c r="Z41" s="63">
        <f t="shared" si="18"/>
        <v>500</v>
      </c>
      <c r="AA41" s="66">
        <f>W17+W41</f>
        <v>13110000</v>
      </c>
      <c r="AC41" s="48"/>
      <c r="AD41" s="48"/>
      <c r="AE41" s="48"/>
    </row>
    <row r="42" spans="2:32" ht="17" thickBot="1" x14ac:dyDescent="0.25">
      <c r="B42" s="37" t="s">
        <v>79</v>
      </c>
      <c r="C42" s="38">
        <f>SUM(C39:C41)</f>
        <v>3919.3196574605354</v>
      </c>
      <c r="D42" s="59">
        <f>E42/C42</f>
        <v>499.99999999999994</v>
      </c>
      <c r="E42" s="62">
        <f>SUM(E39:E41)</f>
        <v>1959659.8287302675</v>
      </c>
      <c r="F42" s="39">
        <f>SUM(F39:F41)</f>
        <v>2137.8107222512012</v>
      </c>
      <c r="G42" s="59">
        <f>H42/F42</f>
        <v>499.99999999999994</v>
      </c>
      <c r="H42" s="62">
        <f>SUM(H39:H41)</f>
        <v>1068905.3611256005</v>
      </c>
      <c r="I42" s="40">
        <f>SUM(I39:I41)</f>
        <v>3919.3196574605354</v>
      </c>
      <c r="J42" s="59">
        <f>K42/I42</f>
        <v>499.99999999999994</v>
      </c>
      <c r="K42" s="62">
        <f>SUM(K39:K41)</f>
        <v>1959659.8287302675</v>
      </c>
      <c r="L42" s="40">
        <f>SUM(L39:L41)</f>
        <v>3741.1687639396023</v>
      </c>
      <c r="M42" s="59">
        <f>N42/L42</f>
        <v>500</v>
      </c>
      <c r="N42" s="62">
        <f>SUM(N39:N41)</f>
        <v>1870584.3819698012</v>
      </c>
      <c r="O42" s="40">
        <f>SUM(O39:O41)</f>
        <v>3741.1687639396023</v>
      </c>
      <c r="P42" s="59">
        <f>Q42/O42</f>
        <v>500</v>
      </c>
      <c r="Q42" s="62">
        <f>SUM(Q39:Q41)</f>
        <v>1870584.3819698012</v>
      </c>
      <c r="R42" s="39">
        <f>SUM(R39:R41)</f>
        <v>2137.8107222512012</v>
      </c>
      <c r="S42" s="59">
        <f>T42/R42</f>
        <v>499.99999999999994</v>
      </c>
      <c r="T42" s="62">
        <f>SUM(T39:T41)</f>
        <v>1068905.3611256005</v>
      </c>
      <c r="U42" s="38">
        <f>SUM(U39:U41)</f>
        <v>19596.598287302677</v>
      </c>
      <c r="V42" s="64">
        <f t="shared" si="17"/>
        <v>500.00000000000011</v>
      </c>
      <c r="W42" s="67">
        <f>SUM(W39:W41)</f>
        <v>9798299.1436513402</v>
      </c>
      <c r="X42" s="41"/>
      <c r="Y42" s="38">
        <f>SUM(Y39:Y41)</f>
        <v>41865.459977419356</v>
      </c>
      <c r="Z42" s="64">
        <f t="shared" si="18"/>
        <v>500.00000000000006</v>
      </c>
      <c r="AA42" s="67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8"/>
      <c r="E43" s="61"/>
      <c r="G43" s="58"/>
      <c r="H43" s="61"/>
      <c r="I43" s="28"/>
      <c r="J43" s="58"/>
      <c r="K43" s="61"/>
      <c r="L43" s="28"/>
      <c r="M43" s="58"/>
      <c r="N43" s="61"/>
      <c r="O43" s="28"/>
      <c r="P43" s="58"/>
      <c r="Q43" s="61"/>
      <c r="S43" s="58"/>
      <c r="T43" s="61"/>
      <c r="U43" s="29"/>
      <c r="V43" s="65"/>
      <c r="W43" s="66"/>
      <c r="Y43" s="29"/>
      <c r="Z43" s="65"/>
      <c r="AA43" s="66"/>
    </row>
    <row r="44" spans="2:32" x14ac:dyDescent="0.2">
      <c r="B44" s="26"/>
      <c r="C44" s="17"/>
      <c r="D44" s="58"/>
      <c r="E44" s="61"/>
      <c r="G44" s="58"/>
      <c r="H44" s="61"/>
      <c r="I44" s="28"/>
      <c r="J44" s="58"/>
      <c r="K44" s="61"/>
      <c r="L44" s="28"/>
      <c r="M44" s="58"/>
      <c r="N44" s="61"/>
      <c r="O44" s="28"/>
      <c r="P44" s="58"/>
      <c r="Q44" s="61"/>
      <c r="S44" s="58"/>
      <c r="T44" s="61"/>
      <c r="U44" s="29"/>
      <c r="V44" s="65"/>
      <c r="W44" s="66"/>
      <c r="Y44" s="29"/>
      <c r="Z44" s="65"/>
      <c r="AA44" s="66"/>
    </row>
    <row r="45" spans="2:32" x14ac:dyDescent="0.2">
      <c r="B45" s="17" t="s">
        <v>88</v>
      </c>
      <c r="C45" s="42">
        <f>C33+C39</f>
        <v>24519.850908661629</v>
      </c>
      <c r="D45" s="60">
        <f>E45/C45</f>
        <v>199.11504424778761</v>
      </c>
      <c r="E45" s="61">
        <f>E33+E39</f>
        <v>4882271.1986273155</v>
      </c>
      <c r="F45" s="42">
        <f>F33+F39</f>
        <v>13374.464131997251</v>
      </c>
      <c r="G45" s="60">
        <f>H45/F45</f>
        <v>199.11504424778761</v>
      </c>
      <c r="H45" s="61">
        <f>H33+H39</f>
        <v>2663057.0174330808</v>
      </c>
      <c r="I45" s="42">
        <f>I33+I39</f>
        <v>24519.850908661629</v>
      </c>
      <c r="J45" s="60">
        <f>K45/I45</f>
        <v>199.11504424778761</v>
      </c>
      <c r="K45" s="61">
        <f>K33+K39</f>
        <v>4882271.1986273155</v>
      </c>
      <c r="L45" s="42">
        <f>L33+L39</f>
        <v>23405.31223099519</v>
      </c>
      <c r="M45" s="60">
        <f>N45/L45</f>
        <v>199.11504424778764</v>
      </c>
      <c r="N45" s="61">
        <f>N33+N39</f>
        <v>4660349.7805078924</v>
      </c>
      <c r="O45" s="42">
        <f>O33+O39</f>
        <v>23405.31223099519</v>
      </c>
      <c r="P45" s="60">
        <f>Q45/O45</f>
        <v>199.11504424778764</v>
      </c>
      <c r="Q45" s="61">
        <f>Q33+Q39</f>
        <v>4660349.7805078924</v>
      </c>
      <c r="R45" s="42">
        <f>R33+R39</f>
        <v>13374.464131997251</v>
      </c>
      <c r="S45" s="60">
        <f>T45/R45</f>
        <v>199.11504424778761</v>
      </c>
      <c r="T45" s="61">
        <f>T33+T39</f>
        <v>2663057.0174330808</v>
      </c>
      <c r="U45" s="35">
        <f>C45+F45+I45+L45+O45+R45</f>
        <v>122599.25454330814</v>
      </c>
      <c r="V45" s="63">
        <f>IFERROR(W45/U45,0)</f>
        <v>199.11504424778761</v>
      </c>
      <c r="W45" s="66">
        <f>E45+H45+K45+N45+Q45+T45</f>
        <v>24411355.993136577</v>
      </c>
      <c r="Y45" s="35">
        <f>U21+U45</f>
        <v>261916.58925161284</v>
      </c>
      <c r="Z45" s="63">
        <f>IFERROR(AA45/Y45,0)</f>
        <v>199.11504424778764</v>
      </c>
      <c r="AA45" s="66">
        <f>W21+W45</f>
        <v>52151533.258064508</v>
      </c>
    </row>
    <row r="46" spans="2:32" x14ac:dyDescent="0.2">
      <c r="B46" s="17" t="s">
        <v>89</v>
      </c>
      <c r="C46" s="42">
        <f t="shared" ref="C46:C47" si="19">C34+C40</f>
        <v>40493.451725768318</v>
      </c>
      <c r="D46" s="60">
        <f>E46/C46</f>
        <v>180</v>
      </c>
      <c r="E46" s="61">
        <f t="shared" ref="E46:F47" si="20">E34+E40</f>
        <v>7288821.3106382973</v>
      </c>
      <c r="F46" s="42">
        <f t="shared" si="20"/>
        <v>22087.337304964538</v>
      </c>
      <c r="G46" s="60">
        <f>H46/F46</f>
        <v>180</v>
      </c>
      <c r="H46" s="61">
        <f t="shared" ref="H46:I47" si="21">H34+H40</f>
        <v>3975720.7148936167</v>
      </c>
      <c r="I46" s="42">
        <f t="shared" si="21"/>
        <v>40493.451725768318</v>
      </c>
      <c r="J46" s="60">
        <f>K46/I46</f>
        <v>180</v>
      </c>
      <c r="K46" s="61">
        <f t="shared" ref="K46:L47" si="22">K34+K40</f>
        <v>7288821.3106382973</v>
      </c>
      <c r="L46" s="42">
        <f t="shared" si="22"/>
        <v>38652.84028368794</v>
      </c>
      <c r="M46" s="60">
        <f>N46/L46</f>
        <v>180</v>
      </c>
      <c r="N46" s="61">
        <f t="shared" ref="N46:O47" si="23">N34+N40</f>
        <v>6957511.2510638293</v>
      </c>
      <c r="O46" s="42">
        <f t="shared" si="23"/>
        <v>38652.84028368794</v>
      </c>
      <c r="P46" s="60">
        <f>Q46/O46</f>
        <v>180</v>
      </c>
      <c r="Q46" s="61">
        <f t="shared" ref="Q46:R47" si="24">Q34+Q40</f>
        <v>6957511.2510638293</v>
      </c>
      <c r="R46" s="42">
        <f t="shared" si="24"/>
        <v>22087.337304964538</v>
      </c>
      <c r="S46" s="60">
        <f>T46/R46</f>
        <v>180</v>
      </c>
      <c r="T46" s="61">
        <f t="shared" ref="T46" si="25">T34+T40</f>
        <v>3975720.7148936167</v>
      </c>
      <c r="U46" s="35">
        <f>C46+F46+I46+L46+O46+R46</f>
        <v>202467.25862884161</v>
      </c>
      <c r="V46" s="63">
        <f t="shared" ref="V46:V48" si="26">IFERROR(W46/U46,0)</f>
        <v>180</v>
      </c>
      <c r="W46" s="66">
        <f>E46+H46+K46+N46+Q46+T46</f>
        <v>36444106.55319149</v>
      </c>
      <c r="Y46" s="35">
        <f>U22+U46</f>
        <v>432543.68888888886</v>
      </c>
      <c r="Z46" s="63">
        <f t="shared" ref="Z46:Z48" si="27">IFERROR(AA46/Y46,0)</f>
        <v>180</v>
      </c>
      <c r="AA46" s="66">
        <f>W22+W46</f>
        <v>77857864</v>
      </c>
    </row>
    <row r="47" spans="2:32" x14ac:dyDescent="0.2">
      <c r="B47" s="17" t="s">
        <v>90</v>
      </c>
      <c r="C47" s="42">
        <f t="shared" si="19"/>
        <v>2813.5035460992913</v>
      </c>
      <c r="D47" s="60">
        <f>E47/C47</f>
        <v>459.18367346938771</v>
      </c>
      <c r="E47" s="61">
        <f t="shared" ref="E47" si="28">E35+E41</f>
        <v>1291914.8936170214</v>
      </c>
      <c r="F47" s="42">
        <f t="shared" si="20"/>
        <v>1534.6382978723407</v>
      </c>
      <c r="G47" s="60">
        <f>H47/F47</f>
        <v>459.18367346938771</v>
      </c>
      <c r="H47" s="61">
        <f t="shared" ref="H47" si="29">H35+H41</f>
        <v>704680.85106382985</v>
      </c>
      <c r="I47" s="42">
        <f t="shared" si="21"/>
        <v>2813.5035460992913</v>
      </c>
      <c r="J47" s="60">
        <f>K47/I47</f>
        <v>459.18367346938771</v>
      </c>
      <c r="K47" s="61">
        <f t="shared" ref="K47" si="30">K35+K41</f>
        <v>1291914.8936170214</v>
      </c>
      <c r="L47" s="42">
        <f t="shared" si="22"/>
        <v>2685.6170212765965</v>
      </c>
      <c r="M47" s="60">
        <f>N47/L47</f>
        <v>459.18367346938766</v>
      </c>
      <c r="N47" s="61">
        <f t="shared" ref="N47" si="31">N35+N41</f>
        <v>1233191.4893617022</v>
      </c>
      <c r="O47" s="42">
        <f t="shared" si="23"/>
        <v>2685.6170212765965</v>
      </c>
      <c r="P47" s="60">
        <f>Q47/O47</f>
        <v>459.18367346938766</v>
      </c>
      <c r="Q47" s="61">
        <f t="shared" ref="Q47" si="32">Q35+Q41</f>
        <v>1233191.4893617022</v>
      </c>
      <c r="R47" s="42">
        <f t="shared" si="24"/>
        <v>1534.6382978723407</v>
      </c>
      <c r="S47" s="60">
        <f>T47/R47</f>
        <v>459.18367346938771</v>
      </c>
      <c r="T47" s="61">
        <f t="shared" ref="T47" si="33">T35+T41</f>
        <v>704680.85106382985</v>
      </c>
      <c r="U47" s="35">
        <f>C47+F47+I47+L47+O47+R47</f>
        <v>14067.517730496456</v>
      </c>
      <c r="V47" s="63">
        <f t="shared" si="26"/>
        <v>459.18367346938777</v>
      </c>
      <c r="W47" s="66">
        <f>E47+H47+K47+N47+Q47+T47</f>
        <v>6459574.4680851074</v>
      </c>
      <c r="Y47" s="35">
        <f>U23+U47</f>
        <v>30053.333333333339</v>
      </c>
      <c r="Z47" s="63">
        <f t="shared" si="27"/>
        <v>459.18367346938777</v>
      </c>
      <c r="AA47" s="66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59">
        <f>E48/C48</f>
        <v>198.49095307612174</v>
      </c>
      <c r="E48" s="62">
        <f>SUM(E45:E47)</f>
        <v>13463007.402882634</v>
      </c>
      <c r="F48" s="38">
        <f>SUM(F45:F47)</f>
        <v>36996.43973483413</v>
      </c>
      <c r="G48" s="59">
        <f>H48/F48</f>
        <v>198.49095307612174</v>
      </c>
      <c r="H48" s="62">
        <f>SUM(H45:H47)</f>
        <v>7343458.5833905274</v>
      </c>
      <c r="I48" s="38">
        <f>SUM(I45:I47)</f>
        <v>67826.806180529238</v>
      </c>
      <c r="J48" s="59">
        <f>K48/I48</f>
        <v>198.49095307612174</v>
      </c>
      <c r="K48" s="62">
        <f>SUM(K45:K47)</f>
        <v>13463007.402882634</v>
      </c>
      <c r="L48" s="38">
        <f>SUM(L45:L47)</f>
        <v>64743.76953595972</v>
      </c>
      <c r="M48" s="59">
        <f>N48/L48</f>
        <v>198.49095307612177</v>
      </c>
      <c r="N48" s="62">
        <f>SUM(N45:N47)</f>
        <v>12851052.520933423</v>
      </c>
      <c r="O48" s="38">
        <f>SUM(O45:O47)</f>
        <v>64743.76953595972</v>
      </c>
      <c r="P48" s="59">
        <f>Q48/O48</f>
        <v>198.49095307612177</v>
      </c>
      <c r="Q48" s="62">
        <f>SUM(Q45:Q47)</f>
        <v>12851052.520933423</v>
      </c>
      <c r="R48" s="38">
        <f>SUM(R45:R47)</f>
        <v>36996.43973483413</v>
      </c>
      <c r="S48" s="59">
        <f>T48/R48</f>
        <v>198.49095307612174</v>
      </c>
      <c r="T48" s="62">
        <f>SUM(T45:T47)</f>
        <v>7343458.5833905274</v>
      </c>
      <c r="U48" s="38">
        <f>SUM(U45:U47)</f>
        <v>339134.03090264625</v>
      </c>
      <c r="V48" s="64">
        <f t="shared" si="26"/>
        <v>198.49095307612174</v>
      </c>
      <c r="W48" s="67">
        <f>SUM(W45:W47)</f>
        <v>67315037.014413178</v>
      </c>
      <c r="Y48" s="38">
        <f>SUM(Y45:Y47)</f>
        <v>724513.61147383507</v>
      </c>
      <c r="Z48" s="64">
        <f t="shared" si="27"/>
        <v>198.49095307612177</v>
      </c>
      <c r="AA48" s="67">
        <f>SUM(AA45:AA47)</f>
        <v>143809397.25806451</v>
      </c>
    </row>
    <row r="50" spans="27:27" x14ac:dyDescent="0.2">
      <c r="AA50" s="75">
        <f>AA48-'Tab 2'!N16</f>
        <v>0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S18"/>
  <sheetViews>
    <sheetView topLeftCell="A27" zoomScale="120" zoomScaleNormal="120" workbookViewId="0">
      <selection activeCell="T17" sqref="T17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72" t="s">
        <v>86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202">
        <v>18</v>
      </c>
      <c r="C5" s="202">
        <v>20</v>
      </c>
      <c r="D5" s="202">
        <v>23</v>
      </c>
      <c r="E5" s="202">
        <v>21</v>
      </c>
      <c r="F5" s="202">
        <v>21</v>
      </c>
      <c r="G5" s="202">
        <v>22</v>
      </c>
      <c r="H5" s="202">
        <v>22</v>
      </c>
      <c r="I5" s="202">
        <v>12</v>
      </c>
      <c r="J5" s="202">
        <v>22</v>
      </c>
      <c r="K5" s="202">
        <v>21</v>
      </c>
      <c r="L5" s="202">
        <v>21</v>
      </c>
      <c r="M5" s="202">
        <v>12</v>
      </c>
      <c r="N5" s="3">
        <f>SUM(B5:M5)</f>
        <v>235</v>
      </c>
      <c r="P5" s="202">
        <v>18</v>
      </c>
      <c r="Q5" s="202">
        <v>20</v>
      </c>
      <c r="R5" s="202">
        <v>23</v>
      </c>
      <c r="S5" s="202">
        <v>21</v>
      </c>
    </row>
    <row r="6" spans="1:19" ht="17" thickBot="1" x14ac:dyDescent="0.25"/>
    <row r="7" spans="1:19" x14ac:dyDescent="0.2">
      <c r="A7" s="4" t="s">
        <v>78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55</v>
      </c>
      <c r="B8" s="203">
        <f>IFERROR('Tab 2'!$C$14/$N$5*B$5,0)</f>
        <v>18863.320540150991</v>
      </c>
      <c r="C8" s="203">
        <f>IFERROR('Tab 2'!$C$14/$N$5*C$5,0)</f>
        <v>20959.245044612213</v>
      </c>
      <c r="D8" s="203">
        <f>IFERROR('Tab 2'!$C$14/$N$5*D$5,0)</f>
        <v>24103.131801304044</v>
      </c>
      <c r="E8" s="203">
        <f>IFERROR('Tab 2'!$C$14/$N$5*E$5,0)</f>
        <v>22007.207296842822</v>
      </c>
      <c r="F8" s="203">
        <f>IFERROR('Tab 2'!$C$14/$N$5*F$5,0)</f>
        <v>22007.207296842822</v>
      </c>
      <c r="G8" s="203">
        <f>IFERROR('Tab 2'!$C$14/$N$5*G$5,0)</f>
        <v>23055.169549073435</v>
      </c>
      <c r="H8" s="203">
        <f>IFERROR('Tab 2'!$C$14/$N$5*H$5,0)</f>
        <v>23055.169549073435</v>
      </c>
      <c r="I8" s="203">
        <f>IFERROR('Tab 2'!$C$14/$N$5*I$5,0)</f>
        <v>12575.547026767326</v>
      </c>
      <c r="J8" s="203">
        <f>IFERROR('Tab 2'!$C$14/$N$5*J$5,0)</f>
        <v>23055.169549073435</v>
      </c>
      <c r="K8" s="203">
        <f>IFERROR('Tab 2'!$C$14/$N$5*K$5,0)</f>
        <v>22007.207296842822</v>
      </c>
      <c r="L8" s="203">
        <f>IFERROR('Tab 2'!$C$14/$N$5*L$5,0)</f>
        <v>22007.207296842822</v>
      </c>
      <c r="M8" s="203">
        <f>IFERROR('Tab 2'!$C$14/$N$5*M$5,0)</f>
        <v>12575.547026767326</v>
      </c>
      <c r="N8" s="7">
        <f>SUM(B8:M8)</f>
        <v>246271.12927419355</v>
      </c>
      <c r="P8" s="203">
        <f>IFERROR('Tab 2'!$C$22/$N$5*P$5,0)</f>
        <v>19240.586950954017</v>
      </c>
      <c r="Q8" s="203">
        <f>IFERROR('Tab 2'!$C$22/$N$5*Q$5,0)</f>
        <v>21378.429945504464</v>
      </c>
      <c r="R8" s="203">
        <f>IFERROR('Tab 2'!$C$22/$N$5*R$5,0)</f>
        <v>24585.194437330134</v>
      </c>
      <c r="S8" s="203">
        <f>IFERROR('Tab 2'!$C$22/$N$5*S$5,0)</f>
        <v>22447.351442779687</v>
      </c>
    </row>
    <row r="9" spans="1:19" x14ac:dyDescent="0.2">
      <c r="A9" s="6" t="s">
        <v>87</v>
      </c>
      <c r="B9" s="203">
        <f>IFERROR('Tab 2'!$F$14/$N$5*B$5,0)</f>
        <v>33131.005957446803</v>
      </c>
      <c r="C9" s="203">
        <f>IFERROR('Tab 2'!$F$14/$N$5*C$5,0)</f>
        <v>36812.228841607561</v>
      </c>
      <c r="D9" s="203">
        <f>IFERROR('Tab 2'!$F$14/$N$5*D$5,0)</f>
        <v>42334.063167848697</v>
      </c>
      <c r="E9" s="203">
        <f>IFERROR('Tab 2'!$F$14/$N$5*E$5,0)</f>
        <v>38652.84028368794</v>
      </c>
      <c r="F9" s="203">
        <f>IFERROR('Tab 2'!$F$14/$N$5*F$5,0)</f>
        <v>38652.84028368794</v>
      </c>
      <c r="G9" s="203">
        <f>IFERROR('Tab 2'!$F$14/$N$5*G$5,0)</f>
        <v>40493.451725768318</v>
      </c>
      <c r="H9" s="203">
        <f>IFERROR('Tab 2'!$F$14/$N$5*H$5,0)</f>
        <v>40493.451725768318</v>
      </c>
      <c r="I9" s="203">
        <f>IFERROR('Tab 2'!$F$14/$N$5*I$5,0)</f>
        <v>22087.337304964538</v>
      </c>
      <c r="J9" s="203">
        <f>IFERROR('Tab 2'!$F$14/$N$5*J$5,0)</f>
        <v>40493.451725768318</v>
      </c>
      <c r="K9" s="203">
        <f>IFERROR('Tab 2'!$F$14/$N$5*K$5,0)</f>
        <v>38652.84028368794</v>
      </c>
      <c r="L9" s="203">
        <f>IFERROR('Tab 2'!$F$14/$N$5*L$5,0)</f>
        <v>38652.84028368794</v>
      </c>
      <c r="M9" s="203">
        <f>IFERROR('Tab 2'!$F$14/$N$5*M$5,0)</f>
        <v>22087.337304964538</v>
      </c>
      <c r="N9" s="7">
        <f>SUM(B9:M9)</f>
        <v>432543.68888888886</v>
      </c>
      <c r="P9" s="203">
        <f>IFERROR('Tab 2'!$F$22/$N$5*P$5,0)</f>
        <v>31805.765719148934</v>
      </c>
      <c r="Q9" s="203">
        <f>IFERROR('Tab 2'!$F$22/$N$5*Q$5,0)</f>
        <v>35339.739687943264</v>
      </c>
      <c r="R9" s="203">
        <f>IFERROR('Tab 2'!$F$22/$N$5*R$5,0)</f>
        <v>40640.700641134747</v>
      </c>
      <c r="S9" s="203">
        <f>IFERROR('Tab 2'!$F$22/$N$5*S$5,0)</f>
        <v>37106.726672340425</v>
      </c>
    </row>
    <row r="10" spans="1:19" x14ac:dyDescent="0.2">
      <c r="A10" s="6" t="s">
        <v>57</v>
      </c>
      <c r="B10" s="203">
        <f>IFERROR('Tab 2'!$I$14/$N$5*B$5,0)</f>
        <v>293.61702127659601</v>
      </c>
      <c r="C10" s="203">
        <f>IFERROR('Tab 2'!$I$14/$N$5*C$5,0)</f>
        <v>326.2411347517733</v>
      </c>
      <c r="D10" s="203">
        <f>IFERROR('Tab 2'!$I$14/$N$5*D$5,0)</f>
        <v>375.1773049645393</v>
      </c>
      <c r="E10" s="203">
        <f>IFERROR('Tab 2'!$I$14/$N$5*E$5,0)</f>
        <v>342.55319148936201</v>
      </c>
      <c r="F10" s="203">
        <f>IFERROR('Tab 2'!$I$14/$N$5*F$5,0)</f>
        <v>342.55319148936201</v>
      </c>
      <c r="G10" s="203">
        <f>IFERROR('Tab 2'!$I$14/$N$5*G$5,0)</f>
        <v>358.86524822695065</v>
      </c>
      <c r="H10" s="203">
        <f>IFERROR('Tab 2'!$I$14/$N$5*H$5,0)</f>
        <v>358.86524822695065</v>
      </c>
      <c r="I10" s="203">
        <f>IFERROR('Tab 2'!$I$14/$N$5*I$5,0)</f>
        <v>195.744680851064</v>
      </c>
      <c r="J10" s="203">
        <f>IFERROR('Tab 2'!$I$14/$N$5*J$5,0)</f>
        <v>358.86524822695065</v>
      </c>
      <c r="K10" s="203">
        <f>IFERROR('Tab 2'!$I$14/$N$5*K$5,0)</f>
        <v>342.55319148936201</v>
      </c>
      <c r="L10" s="203">
        <f>IFERROR('Tab 2'!$I$14/$N$5*L$5,0)</f>
        <v>342.55319148936201</v>
      </c>
      <c r="M10" s="203">
        <f>IFERROR('Tab 2'!$I$14/$N$5*M$5,0)</f>
        <v>195.744680851064</v>
      </c>
      <c r="N10" s="7">
        <f>SUM(B10:M10)</f>
        <v>3833.3333333333367</v>
      </c>
      <c r="P10" s="203">
        <f>IFERROR('Tab 2'!$I$22/$N$5*P$5,0)</f>
        <v>317.10638297872367</v>
      </c>
      <c r="Q10" s="203">
        <f>IFERROR('Tab 2'!$I$22/$N$5*Q$5,0)</f>
        <v>352.34042553191523</v>
      </c>
      <c r="R10" s="203">
        <f>IFERROR('Tab 2'!$I$22/$N$5*R$5,0)</f>
        <v>405.19148936170251</v>
      </c>
      <c r="S10" s="203">
        <f>IFERROR('Tab 2'!$I$22/$N$5*S$5,0)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79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55</v>
      </c>
      <c r="B15" s="203">
        <f>'Tab 2'!$C$15/$N$5*B$5</f>
        <v>1198.375657844887</v>
      </c>
      <c r="C15" s="203">
        <f>'Tab 2'!$C$15/$N$5*C$5</f>
        <v>1331.528508716541</v>
      </c>
      <c r="D15" s="203">
        <f>'Tab 2'!$C$15/$N$5*D$5</f>
        <v>1531.257785024022</v>
      </c>
      <c r="E15" s="203">
        <f>'Tab 2'!$C$15/$N$5*E$5</f>
        <v>1398.1049341523681</v>
      </c>
      <c r="F15" s="203">
        <f>'Tab 2'!$C$15/$N$5*F$5</f>
        <v>1398.1049341523681</v>
      </c>
      <c r="G15" s="203">
        <f>'Tab 2'!$C$15/$N$5*G$5</f>
        <v>1464.6813595881949</v>
      </c>
      <c r="H15" s="203">
        <f>'Tab 2'!$C$15/$N$5*H$5</f>
        <v>1464.6813595881949</v>
      </c>
      <c r="I15" s="203">
        <f>'Tab 2'!$C$15/$N$5*I$5</f>
        <v>798.91710522992457</v>
      </c>
      <c r="J15" s="203">
        <f>'Tab 2'!$C$15/$N$5*J$5</f>
        <v>1464.6813595881949</v>
      </c>
      <c r="K15" s="203">
        <f>'Tab 2'!$C$15/$N$5*K$5</f>
        <v>1398.1049341523681</v>
      </c>
      <c r="L15" s="203">
        <f>'Tab 2'!$C$15/$N$5*L$5</f>
        <v>1398.1049341523681</v>
      </c>
      <c r="M15" s="203">
        <f>'Tab 2'!$C$15/$N$5*M$5</f>
        <v>798.91710522992457</v>
      </c>
      <c r="N15" s="7">
        <f>SUM(B15:M15)</f>
        <v>15645.459977419356</v>
      </c>
      <c r="P15" s="203">
        <f>'Tab 2'!$C$23/$N$5*P$5</f>
        <v>1222.3431710017846</v>
      </c>
      <c r="Q15" s="203">
        <f>'Tab 2'!$C$23/$N$5*Q$5</f>
        <v>1358.1590788908718</v>
      </c>
      <c r="R15" s="203">
        <f>'Tab 2'!$C$23/$N$5*R$5</f>
        <v>1561.8829407245025</v>
      </c>
      <c r="S15" s="203">
        <f>'Tab 2'!$C$23/$N$5*S$5</f>
        <v>1426.0670328354154</v>
      </c>
    </row>
    <row r="16" spans="1:19" x14ac:dyDescent="0.2">
      <c r="A16" s="6" t="s">
        <v>87</v>
      </c>
      <c r="B16" s="203">
        <f>'Tab 2'!$F$15/$N$5*B$5</f>
        <v>0</v>
      </c>
      <c r="C16" s="203">
        <f>'Tab 2'!$F$15/$N$5*C$5</f>
        <v>0</v>
      </c>
      <c r="D16" s="203">
        <f>'Tab 2'!$F$15/$N$5*D$5</f>
        <v>0</v>
      </c>
      <c r="E16" s="203">
        <f>'Tab 2'!$F$15/$N$5*E$5</f>
        <v>0</v>
      </c>
      <c r="F16" s="203">
        <f>'Tab 2'!$F$15/$N$5*F$5</f>
        <v>0</v>
      </c>
      <c r="G16" s="203">
        <f>'Tab 2'!$F$15/$N$5*G$5</f>
        <v>0</v>
      </c>
      <c r="H16" s="203">
        <f>'Tab 2'!$F$15/$N$5*H$5</f>
        <v>0</v>
      </c>
      <c r="I16" s="203">
        <f>'Tab 2'!$F$15/$N$5*I$5</f>
        <v>0</v>
      </c>
      <c r="J16" s="203">
        <f>'Tab 2'!$F$15/$N$5*J$5</f>
        <v>0</v>
      </c>
      <c r="K16" s="203">
        <f>'Tab 2'!$F$15/$N$5*K$5</f>
        <v>0</v>
      </c>
      <c r="L16" s="203">
        <f>'Tab 2'!$F$15/$N$5*L$5</f>
        <v>0</v>
      </c>
      <c r="M16" s="203">
        <f>'Tab 2'!$F$15/$N$5*M$5</f>
        <v>0</v>
      </c>
      <c r="N16" s="7">
        <f>SUM(B16:M16)</f>
        <v>0</v>
      </c>
      <c r="P16" s="203">
        <f>'Tab 2'!$F$23/$N$5*P$5</f>
        <v>0</v>
      </c>
      <c r="Q16" s="203">
        <f>'Tab 2'!$F$23/$N$5*Q$5</f>
        <v>0</v>
      </c>
      <c r="R16" s="203">
        <f>'Tab 2'!$F$23/$N$5*R$5</f>
        <v>0</v>
      </c>
      <c r="S16" s="203">
        <f>'Tab 2'!$F$23/$N$5*S$5</f>
        <v>0</v>
      </c>
    </row>
    <row r="17" spans="1:19" x14ac:dyDescent="0.2">
      <c r="A17" s="6" t="s">
        <v>57</v>
      </c>
      <c r="B17" s="203">
        <f>'Tab 2'!$I$15/$N$5*B$5</f>
        <v>2008.3404255319151</v>
      </c>
      <c r="C17" s="203">
        <f>'Tab 2'!$I$15/$N$5*C$5</f>
        <v>2231.489361702128</v>
      </c>
      <c r="D17" s="203">
        <f>'Tab 2'!$I$15/$N$5*D$5</f>
        <v>2566.2127659574471</v>
      </c>
      <c r="E17" s="203">
        <f>'Tab 2'!$I$15/$N$5*E$5</f>
        <v>2343.0638297872342</v>
      </c>
      <c r="F17" s="203">
        <f>'Tab 2'!$I$15/$N$5*F$5</f>
        <v>2343.0638297872342</v>
      </c>
      <c r="G17" s="203">
        <f>'Tab 2'!$I$15/$N$5*G$5</f>
        <v>2454.6382978723404</v>
      </c>
      <c r="H17" s="203">
        <f>'Tab 2'!$I$15/$N$5*H$5</f>
        <v>2454.6382978723404</v>
      </c>
      <c r="I17" s="203">
        <f>'Tab 2'!$I$15/$N$5*I$5</f>
        <v>1338.8936170212767</v>
      </c>
      <c r="J17" s="203">
        <f>'Tab 2'!$I$15/$N$5*J$5</f>
        <v>2454.6382978723404</v>
      </c>
      <c r="K17" s="203">
        <f>'Tab 2'!$I$15/$N$5*K$5</f>
        <v>2343.0638297872342</v>
      </c>
      <c r="L17" s="203">
        <f>'Tab 2'!$I$15/$N$5*L$5</f>
        <v>2343.0638297872342</v>
      </c>
      <c r="M17" s="203">
        <f>'Tab 2'!$I$15/$N$5*M$5</f>
        <v>1338.8936170212767</v>
      </c>
      <c r="N17" s="7">
        <f>SUM(B17:M17)</f>
        <v>26220.000000000004</v>
      </c>
      <c r="P17" s="203">
        <f>'Tab 2'!$I$23/$N$5*P$5</f>
        <v>2169.0076595744681</v>
      </c>
      <c r="Q17" s="203">
        <f>'Tab 2'!$I$23/$N$5*Q$5</f>
        <v>2410.0085106382976</v>
      </c>
      <c r="R17" s="203">
        <f>'Tab 2'!$I$23/$N$5*R$5</f>
        <v>2771.5097872340425</v>
      </c>
      <c r="S17" s="203">
        <f>'Tab 2'!$I$23/$N$5*S$5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zoomScale="12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5" t="s">
        <v>38</v>
      </c>
    </row>
    <row r="3" spans="1:13" ht="14" thickBot="1" x14ac:dyDescent="0.2"/>
    <row r="4" spans="1:13" ht="16" x14ac:dyDescent="0.2">
      <c r="A4" s="204" t="s">
        <v>78</v>
      </c>
      <c r="B4" s="205" t="s">
        <v>11</v>
      </c>
      <c r="C4" s="205" t="s">
        <v>12</v>
      </c>
      <c r="D4" s="205" t="s">
        <v>13</v>
      </c>
      <c r="E4" s="205" t="s">
        <v>14</v>
      </c>
      <c r="F4" s="205" t="s">
        <v>15</v>
      </c>
      <c r="G4" s="205" t="s">
        <v>16</v>
      </c>
      <c r="H4" s="205" t="s">
        <v>17</v>
      </c>
      <c r="I4" s="205" t="s">
        <v>18</v>
      </c>
      <c r="J4" s="205" t="s">
        <v>19</v>
      </c>
      <c r="K4" s="205" t="s">
        <v>20</v>
      </c>
      <c r="L4" s="205" t="s">
        <v>21</v>
      </c>
      <c r="M4" s="206" t="s">
        <v>22</v>
      </c>
    </row>
    <row r="5" spans="1:13" ht="16" x14ac:dyDescent="0.2">
      <c r="A5" s="207" t="s">
        <v>55</v>
      </c>
      <c r="B5" s="56">
        <f>+'Tab 2'!$D$14</f>
        <v>180</v>
      </c>
      <c r="C5" s="56">
        <f>+'Tab 2'!$D$14</f>
        <v>180</v>
      </c>
      <c r="D5" s="56">
        <f>+'Tab 2'!$D$14</f>
        <v>180</v>
      </c>
      <c r="E5" s="56">
        <f>+'Tab 2'!$D$14</f>
        <v>180</v>
      </c>
      <c r="F5" s="56">
        <f>+'Tab 2'!$D$14</f>
        <v>180</v>
      </c>
      <c r="G5" s="56">
        <f>+'Tab 2'!$D$14</f>
        <v>180</v>
      </c>
      <c r="H5" s="56">
        <f>+'Tab 2'!$D$14</f>
        <v>180</v>
      </c>
      <c r="I5" s="56">
        <f>+'Tab 2'!$D$14</f>
        <v>180</v>
      </c>
      <c r="J5" s="56">
        <f>+'Tab 2'!$D$14</f>
        <v>180</v>
      </c>
      <c r="K5" s="56">
        <f>+'Tab 2'!$D$14</f>
        <v>180</v>
      </c>
      <c r="L5" s="56">
        <f>+'Tab 2'!$D$14</f>
        <v>180</v>
      </c>
      <c r="M5" s="209">
        <f>+'Tab 2'!$D$14</f>
        <v>180</v>
      </c>
    </row>
    <row r="6" spans="1:13" ht="16" x14ac:dyDescent="0.2">
      <c r="A6" s="207" t="s">
        <v>87</v>
      </c>
      <c r="B6" s="56">
        <f>'Tab 2'!$G$14</f>
        <v>180</v>
      </c>
      <c r="C6" s="56">
        <f>'Tab 2'!$G$14</f>
        <v>180</v>
      </c>
      <c r="D6" s="56">
        <f>'Tab 2'!$G$14</f>
        <v>180</v>
      </c>
      <c r="E6" s="56">
        <f>'Tab 2'!$G$14</f>
        <v>180</v>
      </c>
      <c r="F6" s="56">
        <f>'Tab 2'!$G$14</f>
        <v>180</v>
      </c>
      <c r="G6" s="56">
        <f>'Tab 2'!$G$14</f>
        <v>180</v>
      </c>
      <c r="H6" s="56">
        <f>'Tab 2'!$G$14</f>
        <v>180</v>
      </c>
      <c r="I6" s="56">
        <f>'Tab 2'!$G$14</f>
        <v>180</v>
      </c>
      <c r="J6" s="56">
        <f>'Tab 2'!$G$14</f>
        <v>180</v>
      </c>
      <c r="K6" s="56">
        <f>'Tab 2'!$G$14</f>
        <v>180</v>
      </c>
      <c r="L6" s="56">
        <f>'Tab 2'!$G$14</f>
        <v>180</v>
      </c>
      <c r="M6" s="209">
        <f>'Tab 2'!$G$14</f>
        <v>180</v>
      </c>
    </row>
    <row r="7" spans="1:13" ht="17" thickBot="1" x14ac:dyDescent="0.25">
      <c r="A7" s="208" t="s">
        <v>57</v>
      </c>
      <c r="B7" s="57">
        <f>'Tab 2'!$J$14</f>
        <v>180</v>
      </c>
      <c r="C7" s="57">
        <f>'Tab 2'!$J$14</f>
        <v>180</v>
      </c>
      <c r="D7" s="57">
        <f>'Tab 2'!$J$14</f>
        <v>180</v>
      </c>
      <c r="E7" s="57">
        <f>'Tab 2'!$J$14</f>
        <v>180</v>
      </c>
      <c r="F7" s="57">
        <f>'Tab 2'!$J$14</f>
        <v>180</v>
      </c>
      <c r="G7" s="57">
        <f>'Tab 2'!$J$14</f>
        <v>180</v>
      </c>
      <c r="H7" s="57">
        <f>'Tab 2'!$J$14</f>
        <v>180</v>
      </c>
      <c r="I7" s="57">
        <f>'Tab 2'!$J$14</f>
        <v>180</v>
      </c>
      <c r="J7" s="57">
        <f>'Tab 2'!$J$14</f>
        <v>180</v>
      </c>
      <c r="K7" s="57">
        <f>'Tab 2'!$J$14</f>
        <v>180</v>
      </c>
      <c r="L7" s="57">
        <f>'Tab 2'!$J$14</f>
        <v>180</v>
      </c>
      <c r="M7" s="210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204" t="s">
        <v>79</v>
      </c>
      <c r="B11" s="205" t="s">
        <v>11</v>
      </c>
      <c r="C11" s="205" t="s">
        <v>12</v>
      </c>
      <c r="D11" s="205" t="s">
        <v>13</v>
      </c>
      <c r="E11" s="205" t="s">
        <v>14</v>
      </c>
      <c r="F11" s="205" t="s">
        <v>15</v>
      </c>
      <c r="G11" s="205" t="s">
        <v>16</v>
      </c>
      <c r="H11" s="205" t="s">
        <v>17</v>
      </c>
      <c r="I11" s="205" t="s">
        <v>18</v>
      </c>
      <c r="J11" s="205" t="s">
        <v>19</v>
      </c>
      <c r="K11" s="205" t="s">
        <v>20</v>
      </c>
      <c r="L11" s="205" t="s">
        <v>21</v>
      </c>
      <c r="M11" s="206" t="s">
        <v>22</v>
      </c>
    </row>
    <row r="12" spans="1:13" ht="16" x14ac:dyDescent="0.2">
      <c r="A12" s="207" t="s">
        <v>55</v>
      </c>
      <c r="B12" s="56">
        <f>'Tab 2'!$D$15</f>
        <v>500</v>
      </c>
      <c r="C12" s="56">
        <f>'Tab 2'!$D$15</f>
        <v>500</v>
      </c>
      <c r="D12" s="56">
        <f>'Tab 2'!$D$15</f>
        <v>500</v>
      </c>
      <c r="E12" s="56">
        <f>'Tab 2'!$D$15</f>
        <v>500</v>
      </c>
      <c r="F12" s="56">
        <f>'Tab 2'!$D$15</f>
        <v>500</v>
      </c>
      <c r="G12" s="56">
        <f>'Tab 2'!$D$15</f>
        <v>500</v>
      </c>
      <c r="H12" s="56">
        <f>'Tab 2'!$D$15</f>
        <v>500</v>
      </c>
      <c r="I12" s="56">
        <f>'Tab 2'!$D$15</f>
        <v>500</v>
      </c>
      <c r="J12" s="56">
        <f>'Tab 2'!$D$15</f>
        <v>500</v>
      </c>
      <c r="K12" s="56">
        <f>'Tab 2'!$D$15</f>
        <v>500</v>
      </c>
      <c r="L12" s="56">
        <f>'Tab 2'!$D$15</f>
        <v>500</v>
      </c>
      <c r="M12" s="209">
        <f>'Tab 2'!$D$15</f>
        <v>500</v>
      </c>
    </row>
    <row r="13" spans="1:13" ht="16" x14ac:dyDescent="0.2">
      <c r="A13" s="207" t="s">
        <v>87</v>
      </c>
      <c r="B13" s="56">
        <f>'Tab 2'!$G$15</f>
        <v>500</v>
      </c>
      <c r="C13" s="56">
        <f>'Tab 2'!$G$15</f>
        <v>500</v>
      </c>
      <c r="D13" s="56">
        <f>'Tab 2'!$G$15</f>
        <v>500</v>
      </c>
      <c r="E13" s="56">
        <f>'Tab 2'!$G$15</f>
        <v>500</v>
      </c>
      <c r="F13" s="56">
        <f>'Tab 2'!$G$15</f>
        <v>500</v>
      </c>
      <c r="G13" s="56">
        <f>'Tab 2'!$G$15</f>
        <v>500</v>
      </c>
      <c r="H13" s="56">
        <f>'Tab 2'!$G$15</f>
        <v>500</v>
      </c>
      <c r="I13" s="56">
        <f>'Tab 2'!$G$15</f>
        <v>500</v>
      </c>
      <c r="J13" s="56">
        <f>'Tab 2'!$G$15</f>
        <v>500</v>
      </c>
      <c r="K13" s="56">
        <f>'Tab 2'!$G$15</f>
        <v>500</v>
      </c>
      <c r="L13" s="56">
        <f>'Tab 2'!$G$15</f>
        <v>500</v>
      </c>
      <c r="M13" s="209">
        <f>'Tab 2'!$G$15</f>
        <v>500</v>
      </c>
    </row>
    <row r="14" spans="1:13" ht="17" thickBot="1" x14ac:dyDescent="0.25">
      <c r="A14" s="208" t="s">
        <v>57</v>
      </c>
      <c r="B14" s="57">
        <f>'Tab 2'!$J$15</f>
        <v>500</v>
      </c>
      <c r="C14" s="57">
        <f>'Tab 2'!$J$15</f>
        <v>500</v>
      </c>
      <c r="D14" s="57">
        <f>'Tab 2'!$J$15</f>
        <v>500</v>
      </c>
      <c r="E14" s="57">
        <f>'Tab 2'!$J$15</f>
        <v>500</v>
      </c>
      <c r="F14" s="57">
        <f>'Tab 2'!$J$15</f>
        <v>500</v>
      </c>
      <c r="G14" s="57">
        <f>'Tab 2'!$J$15</f>
        <v>500</v>
      </c>
      <c r="H14" s="57">
        <f>'Tab 2'!$J$15</f>
        <v>500</v>
      </c>
      <c r="I14" s="57">
        <f>'Tab 2'!$J$15</f>
        <v>500</v>
      </c>
      <c r="J14" s="57">
        <f>'Tab 2'!$J$15</f>
        <v>500</v>
      </c>
      <c r="K14" s="57">
        <f>'Tab 2'!$J$15</f>
        <v>500</v>
      </c>
      <c r="L14" s="57">
        <f>'Tab 2'!$J$15</f>
        <v>500</v>
      </c>
      <c r="M14" s="210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40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96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8">
        <f>B6/B4</f>
        <v>179.99999999999997</v>
      </c>
      <c r="C5" s="68">
        <f t="shared" ref="C5:M5" si="1">C6/C4</f>
        <v>180</v>
      </c>
      <c r="D5" s="68">
        <f t="shared" si="1"/>
        <v>179.99999999999997</v>
      </c>
      <c r="E5" s="68">
        <f t="shared" si="1"/>
        <v>180</v>
      </c>
      <c r="F5" s="68">
        <f t="shared" si="1"/>
        <v>180</v>
      </c>
      <c r="G5" s="68">
        <f t="shared" si="1"/>
        <v>180</v>
      </c>
      <c r="H5" s="68">
        <f t="shared" si="1"/>
        <v>180</v>
      </c>
      <c r="I5" s="68">
        <f t="shared" si="1"/>
        <v>180</v>
      </c>
      <c r="J5" s="68">
        <f t="shared" si="1"/>
        <v>180</v>
      </c>
      <c r="K5" s="68">
        <f t="shared" si="1"/>
        <v>180</v>
      </c>
      <c r="L5" s="68">
        <f t="shared" si="1"/>
        <v>180</v>
      </c>
      <c r="M5" s="68">
        <f t="shared" si="1"/>
        <v>180</v>
      </c>
      <c r="N5" s="69">
        <f>N6/N4</f>
        <v>180</v>
      </c>
      <c r="P5" s="3" t="s">
        <v>91</v>
      </c>
    </row>
    <row r="6" spans="1:16" x14ac:dyDescent="0.2">
      <c r="A6" s="12" t="s">
        <v>37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75">
        <f>+N6-'Tab 3'!AA36</f>
        <v>0</v>
      </c>
    </row>
    <row r="27" spans="1:14" ht="17" thickBot="1" x14ac:dyDescent="0.25"/>
    <row r="28" spans="1:14" x14ac:dyDescent="0.2">
      <c r="A28" s="5" t="s">
        <v>97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8">
        <f>PREZZI!B5</f>
        <v>180</v>
      </c>
      <c r="C30" s="68">
        <f>PREZZI!C5</f>
        <v>180</v>
      </c>
      <c r="D30" s="68">
        <f>PREZZI!D5</f>
        <v>180</v>
      </c>
      <c r="E30" s="68">
        <f>PREZZI!E5</f>
        <v>180</v>
      </c>
      <c r="F30" s="68">
        <f>PREZZI!F5</f>
        <v>180</v>
      </c>
      <c r="G30" s="68">
        <f>PREZZI!G5</f>
        <v>180</v>
      </c>
      <c r="H30" s="68">
        <f>PREZZI!H5</f>
        <v>180</v>
      </c>
      <c r="I30" s="68">
        <f>PREZZI!I5</f>
        <v>180</v>
      </c>
      <c r="J30" s="68">
        <f>PREZZI!J5</f>
        <v>180</v>
      </c>
      <c r="K30" s="68">
        <f>PREZZI!K5</f>
        <v>180</v>
      </c>
      <c r="L30" s="68">
        <f>PREZZI!L5</f>
        <v>180</v>
      </c>
      <c r="M30" s="68">
        <f>PREZZI!M5</f>
        <v>180</v>
      </c>
      <c r="N30" s="69">
        <f>(N31)/N29</f>
        <v>180.00000000000003</v>
      </c>
    </row>
    <row r="31" spans="1:14" x14ac:dyDescent="0.2">
      <c r="A31" s="12" t="s">
        <v>37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98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8">
        <f>+PREZZI!B6</f>
        <v>180</v>
      </c>
      <c r="C53" s="68">
        <f>+PREZZI!C6</f>
        <v>180</v>
      </c>
      <c r="D53" s="68">
        <f>+PREZZI!D6</f>
        <v>180</v>
      </c>
      <c r="E53" s="68">
        <f>+PREZZI!E6</f>
        <v>180</v>
      </c>
      <c r="F53" s="68">
        <f>+PREZZI!F6</f>
        <v>180</v>
      </c>
      <c r="G53" s="68">
        <f>+PREZZI!G6</f>
        <v>180</v>
      </c>
      <c r="H53" s="68">
        <f>+PREZZI!H6</f>
        <v>180</v>
      </c>
      <c r="I53" s="68">
        <f>+PREZZI!I6</f>
        <v>180</v>
      </c>
      <c r="J53" s="68">
        <f>+PREZZI!J6</f>
        <v>180</v>
      </c>
      <c r="K53" s="68">
        <f>+PREZZI!K6</f>
        <v>180</v>
      </c>
      <c r="L53" s="68">
        <f>+PREZZI!L6</f>
        <v>180</v>
      </c>
      <c r="M53" s="68">
        <f>+PREZZI!M6</f>
        <v>180</v>
      </c>
      <c r="N53" s="69">
        <f>(N54)/N52</f>
        <v>180</v>
      </c>
    </row>
    <row r="54" spans="1:14" x14ac:dyDescent="0.2">
      <c r="A54" s="12" t="s">
        <v>37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99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8">
        <f>PREZZI!B7</f>
        <v>180</v>
      </c>
      <c r="C78" s="68">
        <f>PREZZI!C7</f>
        <v>180</v>
      </c>
      <c r="D78" s="68">
        <f>PREZZI!D7</f>
        <v>180</v>
      </c>
      <c r="E78" s="68">
        <f>PREZZI!E7</f>
        <v>180</v>
      </c>
      <c r="F78" s="68">
        <f>PREZZI!F7</f>
        <v>180</v>
      </c>
      <c r="G78" s="68">
        <f>PREZZI!G7</f>
        <v>180</v>
      </c>
      <c r="H78" s="68">
        <f>PREZZI!H7</f>
        <v>180</v>
      </c>
      <c r="I78" s="68">
        <f>PREZZI!I7</f>
        <v>180</v>
      </c>
      <c r="J78" s="68">
        <f>PREZZI!J7</f>
        <v>180</v>
      </c>
      <c r="K78" s="68">
        <f>PREZZI!K7</f>
        <v>180</v>
      </c>
      <c r="L78" s="68">
        <f>PREZZI!L7</f>
        <v>180</v>
      </c>
      <c r="M78" s="68">
        <f>PREZZI!M7</f>
        <v>180</v>
      </c>
      <c r="N78" s="69">
        <f>(N79*1000)/N77</f>
        <v>180000.00000000003</v>
      </c>
    </row>
    <row r="79" spans="1:14" x14ac:dyDescent="0.2">
      <c r="A79" s="12" t="s">
        <v>37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65"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204" t="s">
        <v>92</v>
      </c>
      <c r="B3" s="205" t="s">
        <v>11</v>
      </c>
      <c r="C3" s="205" t="s">
        <v>12</v>
      </c>
      <c r="D3" s="205" t="s">
        <v>13</v>
      </c>
      <c r="E3" s="205" t="s">
        <v>14</v>
      </c>
      <c r="F3" s="205" t="s">
        <v>15</v>
      </c>
      <c r="G3" s="205" t="s">
        <v>16</v>
      </c>
      <c r="H3" s="205" t="s">
        <v>17</v>
      </c>
      <c r="I3" s="205" t="s">
        <v>18</v>
      </c>
      <c r="J3" s="205" t="s">
        <v>19</v>
      </c>
      <c r="K3" s="205" t="s">
        <v>20</v>
      </c>
      <c r="L3" s="205" t="s">
        <v>21</v>
      </c>
      <c r="M3" s="205" t="s">
        <v>22</v>
      </c>
      <c r="N3" s="211" t="s">
        <v>10</v>
      </c>
    </row>
    <row r="4" spans="1:16" x14ac:dyDescent="0.2">
      <c r="A4" s="207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212">
        <f>SUM(B4:M4)</f>
        <v>41865.459977419363</v>
      </c>
    </row>
    <row r="5" spans="1:16" x14ac:dyDescent="0.2">
      <c r="A5" s="207" t="s">
        <v>36</v>
      </c>
      <c r="B5" s="58">
        <f>B6/B4</f>
        <v>500</v>
      </c>
      <c r="C5" s="58">
        <f t="shared" ref="C5:M5" si="1">C6/C4</f>
        <v>499.99999999999994</v>
      </c>
      <c r="D5" s="58">
        <f t="shared" si="1"/>
        <v>500</v>
      </c>
      <c r="E5" s="58">
        <f t="shared" si="1"/>
        <v>500</v>
      </c>
      <c r="F5" s="58">
        <f t="shared" si="1"/>
        <v>500</v>
      </c>
      <c r="G5" s="58">
        <f t="shared" si="1"/>
        <v>499.99999999999994</v>
      </c>
      <c r="H5" s="58">
        <f t="shared" si="1"/>
        <v>499.99999999999994</v>
      </c>
      <c r="I5" s="58">
        <f t="shared" si="1"/>
        <v>499.99999999999994</v>
      </c>
      <c r="J5" s="58">
        <f t="shared" si="1"/>
        <v>499.99999999999994</v>
      </c>
      <c r="K5" s="58">
        <f t="shared" si="1"/>
        <v>500</v>
      </c>
      <c r="L5" s="58">
        <f t="shared" si="1"/>
        <v>500</v>
      </c>
      <c r="M5" s="58">
        <f t="shared" si="1"/>
        <v>499.99999999999994</v>
      </c>
      <c r="N5" s="213">
        <f>N6/N4</f>
        <v>499.99999999999989</v>
      </c>
      <c r="P5" s="3" t="s">
        <v>91</v>
      </c>
    </row>
    <row r="6" spans="1:16" ht="17" thickBot="1" x14ac:dyDescent="0.25">
      <c r="A6" s="37" t="s">
        <v>37</v>
      </c>
      <c r="B6" s="214">
        <f t="shared" ref="B6:M6" si="2">B31+B56+B81</f>
        <v>1603358.041688401</v>
      </c>
      <c r="C6" s="214">
        <f t="shared" si="2"/>
        <v>1781508.9352093344</v>
      </c>
      <c r="D6" s="214">
        <f t="shared" si="2"/>
        <v>2048735.2754907347</v>
      </c>
      <c r="E6" s="214">
        <f t="shared" si="2"/>
        <v>1870584.3819698012</v>
      </c>
      <c r="F6" s="214">
        <f t="shared" si="2"/>
        <v>1870584.3819698012</v>
      </c>
      <c r="G6" s="214">
        <f t="shared" si="2"/>
        <v>1959659.8287302675</v>
      </c>
      <c r="H6" s="214">
        <f t="shared" si="2"/>
        <v>1959659.8287302675</v>
      </c>
      <c r="I6" s="214">
        <f t="shared" si="2"/>
        <v>1068905.3611256005</v>
      </c>
      <c r="J6" s="214">
        <f t="shared" si="2"/>
        <v>1959659.8287302675</v>
      </c>
      <c r="K6" s="214">
        <f t="shared" si="2"/>
        <v>1870584.3819698012</v>
      </c>
      <c r="L6" s="214">
        <f t="shared" si="2"/>
        <v>1870584.3819698012</v>
      </c>
      <c r="M6" s="214">
        <f t="shared" si="2"/>
        <v>1068905.3611256005</v>
      </c>
      <c r="N6" s="215">
        <f>SUM(B6:M6)</f>
        <v>20932729.988709677</v>
      </c>
      <c r="P6" s="75">
        <f>+N6-'Tab 3'!AA42</f>
        <v>0</v>
      </c>
    </row>
    <row r="25" spans="1:14" ht="17" thickBot="1" x14ac:dyDescent="0.25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4" ht="17" thickTop="1" x14ac:dyDescent="0.2"/>
    <row r="27" spans="1:14" ht="17" thickBot="1" x14ac:dyDescent="0.25"/>
    <row r="28" spans="1:14" x14ac:dyDescent="0.2">
      <c r="A28" s="204" t="s">
        <v>93</v>
      </c>
      <c r="B28" s="205" t="s">
        <v>11</v>
      </c>
      <c r="C28" s="205" t="s">
        <v>12</v>
      </c>
      <c r="D28" s="205" t="s">
        <v>13</v>
      </c>
      <c r="E28" s="205" t="s">
        <v>14</v>
      </c>
      <c r="F28" s="205" t="s">
        <v>15</v>
      </c>
      <c r="G28" s="205" t="s">
        <v>16</v>
      </c>
      <c r="H28" s="205" t="s">
        <v>17</v>
      </c>
      <c r="I28" s="205" t="s">
        <v>18</v>
      </c>
      <c r="J28" s="205" t="s">
        <v>19</v>
      </c>
      <c r="K28" s="205" t="s">
        <v>20</v>
      </c>
      <c r="L28" s="205" t="s">
        <v>21</v>
      </c>
      <c r="M28" s="205" t="s">
        <v>22</v>
      </c>
      <c r="N28" s="211" t="s">
        <v>10</v>
      </c>
    </row>
    <row r="29" spans="1:14" x14ac:dyDescent="0.2">
      <c r="A29" s="207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212">
        <f>SUM(B29:M29)</f>
        <v>15645.459977419356</v>
      </c>
    </row>
    <row r="30" spans="1:14" x14ac:dyDescent="0.2">
      <c r="A30" s="207" t="s">
        <v>36</v>
      </c>
      <c r="B30" s="58">
        <f>PREZZI!B12</f>
        <v>500</v>
      </c>
      <c r="C30" s="58">
        <f>PREZZI!C12</f>
        <v>500</v>
      </c>
      <c r="D30" s="58">
        <f>PREZZI!D12</f>
        <v>500</v>
      </c>
      <c r="E30" s="58">
        <f>PREZZI!E12</f>
        <v>500</v>
      </c>
      <c r="F30" s="58">
        <f>PREZZI!F12</f>
        <v>500</v>
      </c>
      <c r="G30" s="58">
        <f>PREZZI!G12</f>
        <v>500</v>
      </c>
      <c r="H30" s="58">
        <f>PREZZI!H12</f>
        <v>500</v>
      </c>
      <c r="I30" s="58">
        <f>PREZZI!I12</f>
        <v>500</v>
      </c>
      <c r="J30" s="58">
        <f>PREZZI!J12</f>
        <v>500</v>
      </c>
      <c r="K30" s="58">
        <f>PREZZI!K12</f>
        <v>500</v>
      </c>
      <c r="L30" s="58">
        <f>PREZZI!L12</f>
        <v>500</v>
      </c>
      <c r="M30" s="58">
        <f>PREZZI!M12</f>
        <v>500</v>
      </c>
      <c r="N30" s="213">
        <f>N31/N29</f>
        <v>500.00000000000006</v>
      </c>
    </row>
    <row r="31" spans="1:14" ht="17" thickBot="1" x14ac:dyDescent="0.25">
      <c r="A31" s="37" t="s">
        <v>37</v>
      </c>
      <c r="B31" s="214">
        <f>B29*B30</f>
        <v>599187.82892244344</v>
      </c>
      <c r="C31" s="214">
        <f t="shared" ref="C31:M31" si="3">C29*C30</f>
        <v>665764.25435827044</v>
      </c>
      <c r="D31" s="214">
        <f t="shared" si="3"/>
        <v>765628.89251201099</v>
      </c>
      <c r="E31" s="214">
        <f t="shared" si="3"/>
        <v>699052.467076184</v>
      </c>
      <c r="F31" s="214">
        <f t="shared" si="3"/>
        <v>699052.467076184</v>
      </c>
      <c r="G31" s="214">
        <f t="shared" si="3"/>
        <v>732340.67979409744</v>
      </c>
      <c r="H31" s="214">
        <f t="shared" si="3"/>
        <v>732340.67979409744</v>
      </c>
      <c r="I31" s="214">
        <f t="shared" si="3"/>
        <v>399458.55261496227</v>
      </c>
      <c r="J31" s="214">
        <f t="shared" si="3"/>
        <v>732340.67979409744</v>
      </c>
      <c r="K31" s="214">
        <f t="shared" si="3"/>
        <v>699052.467076184</v>
      </c>
      <c r="L31" s="214">
        <f t="shared" si="3"/>
        <v>699052.467076184</v>
      </c>
      <c r="M31" s="214">
        <f t="shared" si="3"/>
        <v>399458.55261496227</v>
      </c>
      <c r="N31" s="215">
        <f>SUM(B31:M31)</f>
        <v>7822729.9887096789</v>
      </c>
    </row>
    <row r="52" spans="1:14" ht="17" thickBot="1" x14ac:dyDescent="0.25"/>
    <row r="53" spans="1:14" x14ac:dyDescent="0.2">
      <c r="A53" s="204" t="s">
        <v>94</v>
      </c>
      <c r="B53" s="205" t="s">
        <v>11</v>
      </c>
      <c r="C53" s="205" t="s">
        <v>12</v>
      </c>
      <c r="D53" s="205" t="s">
        <v>13</v>
      </c>
      <c r="E53" s="205" t="s">
        <v>14</v>
      </c>
      <c r="F53" s="205" t="s">
        <v>15</v>
      </c>
      <c r="G53" s="205" t="s">
        <v>16</v>
      </c>
      <c r="H53" s="205" t="s">
        <v>17</v>
      </c>
      <c r="I53" s="205" t="s">
        <v>18</v>
      </c>
      <c r="J53" s="205" t="s">
        <v>19</v>
      </c>
      <c r="K53" s="205" t="s">
        <v>20</v>
      </c>
      <c r="L53" s="205" t="s">
        <v>21</v>
      </c>
      <c r="M53" s="205" t="s">
        <v>22</v>
      </c>
      <c r="N53" s="211" t="s">
        <v>10</v>
      </c>
    </row>
    <row r="54" spans="1:14" x14ac:dyDescent="0.2">
      <c r="A54" s="207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212">
        <f>SUM(B54:M54)</f>
        <v>0</v>
      </c>
    </row>
    <row r="55" spans="1:14" x14ac:dyDescent="0.2">
      <c r="A55" s="207" t="s">
        <v>36</v>
      </c>
      <c r="B55" s="58">
        <f>PREZZI!B13</f>
        <v>500</v>
      </c>
      <c r="C55" s="58">
        <f>PREZZI!C13</f>
        <v>500</v>
      </c>
      <c r="D55" s="58">
        <f>PREZZI!D13</f>
        <v>500</v>
      </c>
      <c r="E55" s="58">
        <f>PREZZI!E13</f>
        <v>500</v>
      </c>
      <c r="F55" s="58">
        <f>PREZZI!F13</f>
        <v>500</v>
      </c>
      <c r="G55" s="58">
        <f>PREZZI!G13</f>
        <v>500</v>
      </c>
      <c r="H55" s="58">
        <f>PREZZI!H13</f>
        <v>500</v>
      </c>
      <c r="I55" s="58">
        <f>PREZZI!I13</f>
        <v>500</v>
      </c>
      <c r="J55" s="58">
        <f>PREZZI!J13</f>
        <v>500</v>
      </c>
      <c r="K55" s="58">
        <f>PREZZI!K13</f>
        <v>500</v>
      </c>
      <c r="L55" s="58">
        <f>PREZZI!L13</f>
        <v>500</v>
      </c>
      <c r="M55" s="58">
        <f>PREZZI!M13</f>
        <v>500</v>
      </c>
      <c r="N55" s="213">
        <f>IFERROR(N56/N54,0)</f>
        <v>0</v>
      </c>
    </row>
    <row r="56" spans="1:14" ht="17" thickBot="1" x14ac:dyDescent="0.25">
      <c r="A56" s="37" t="s">
        <v>37</v>
      </c>
      <c r="B56" s="214">
        <f>B54*B55</f>
        <v>0</v>
      </c>
      <c r="C56" s="214">
        <f t="shared" ref="C56:M56" si="4">C54*C55</f>
        <v>0</v>
      </c>
      <c r="D56" s="214">
        <f t="shared" si="4"/>
        <v>0</v>
      </c>
      <c r="E56" s="214">
        <f t="shared" si="4"/>
        <v>0</v>
      </c>
      <c r="F56" s="214">
        <f t="shared" si="4"/>
        <v>0</v>
      </c>
      <c r="G56" s="214">
        <f t="shared" si="4"/>
        <v>0</v>
      </c>
      <c r="H56" s="214">
        <f t="shared" si="4"/>
        <v>0</v>
      </c>
      <c r="I56" s="214">
        <f t="shared" si="4"/>
        <v>0</v>
      </c>
      <c r="J56" s="214">
        <f t="shared" si="4"/>
        <v>0</v>
      </c>
      <c r="K56" s="214">
        <f t="shared" si="4"/>
        <v>0</v>
      </c>
      <c r="L56" s="214">
        <f t="shared" si="4"/>
        <v>0</v>
      </c>
      <c r="M56" s="214">
        <f t="shared" si="4"/>
        <v>0</v>
      </c>
      <c r="N56" s="215">
        <f>SUM(B56:M56)</f>
        <v>0</v>
      </c>
    </row>
    <row r="77" spans="1:14" ht="17" thickBot="1" x14ac:dyDescent="0.25"/>
    <row r="78" spans="1:14" x14ac:dyDescent="0.2">
      <c r="A78" s="204" t="s">
        <v>95</v>
      </c>
      <c r="B78" s="205" t="s">
        <v>11</v>
      </c>
      <c r="C78" s="205" t="s">
        <v>12</v>
      </c>
      <c r="D78" s="205" t="s">
        <v>13</v>
      </c>
      <c r="E78" s="205" t="s">
        <v>14</v>
      </c>
      <c r="F78" s="205" t="s">
        <v>15</v>
      </c>
      <c r="G78" s="205" t="s">
        <v>16</v>
      </c>
      <c r="H78" s="205" t="s">
        <v>17</v>
      </c>
      <c r="I78" s="205" t="s">
        <v>18</v>
      </c>
      <c r="J78" s="205" t="s">
        <v>19</v>
      </c>
      <c r="K78" s="205" t="s">
        <v>20</v>
      </c>
      <c r="L78" s="205" t="s">
        <v>21</v>
      </c>
      <c r="M78" s="205" t="s">
        <v>22</v>
      </c>
      <c r="N78" s="211" t="s">
        <v>10</v>
      </c>
    </row>
    <row r="79" spans="1:14" x14ac:dyDescent="0.2">
      <c r="A79" s="207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212">
        <f>SUM(B79:M79)</f>
        <v>26220.000000000004</v>
      </c>
    </row>
    <row r="80" spans="1:14" x14ac:dyDescent="0.2">
      <c r="A80" s="207" t="s">
        <v>36</v>
      </c>
      <c r="B80" s="58">
        <f>PREZZI!B14</f>
        <v>500</v>
      </c>
      <c r="C80" s="58">
        <f>PREZZI!C14</f>
        <v>500</v>
      </c>
      <c r="D80" s="58">
        <f>PREZZI!D14</f>
        <v>500</v>
      </c>
      <c r="E80" s="58">
        <f>PREZZI!E14</f>
        <v>500</v>
      </c>
      <c r="F80" s="58">
        <f>PREZZI!F14</f>
        <v>500</v>
      </c>
      <c r="G80" s="58">
        <f>PREZZI!G14</f>
        <v>500</v>
      </c>
      <c r="H80" s="58">
        <f>PREZZI!H14</f>
        <v>500</v>
      </c>
      <c r="I80" s="58">
        <f>PREZZI!I14</f>
        <v>500</v>
      </c>
      <c r="J80" s="58">
        <f>PREZZI!J14</f>
        <v>500</v>
      </c>
      <c r="K80" s="58">
        <f>PREZZI!K14</f>
        <v>500</v>
      </c>
      <c r="L80" s="58">
        <f>PREZZI!L14</f>
        <v>500</v>
      </c>
      <c r="M80" s="58">
        <f>PREZZI!M14</f>
        <v>500</v>
      </c>
      <c r="N80" s="213">
        <f>(N81*1000)/N79</f>
        <v>500000.00000000006</v>
      </c>
    </row>
    <row r="81" spans="1:14" ht="17" thickBot="1" x14ac:dyDescent="0.25">
      <c r="A81" s="37" t="s">
        <v>37</v>
      </c>
      <c r="B81" s="214">
        <f>B79*B80</f>
        <v>1004170.2127659576</v>
      </c>
      <c r="C81" s="214">
        <f t="shared" ref="C81:M81" si="5">C79*C80</f>
        <v>1115744.6808510639</v>
      </c>
      <c r="D81" s="214">
        <f t="shared" si="5"/>
        <v>1283106.3829787236</v>
      </c>
      <c r="E81" s="214">
        <f t="shared" si="5"/>
        <v>1171531.9148936172</v>
      </c>
      <c r="F81" s="214">
        <f t="shared" si="5"/>
        <v>1171531.9148936172</v>
      </c>
      <c r="G81" s="214">
        <f t="shared" si="5"/>
        <v>1227319.1489361702</v>
      </c>
      <c r="H81" s="214">
        <f t="shared" si="5"/>
        <v>1227319.1489361702</v>
      </c>
      <c r="I81" s="214">
        <f t="shared" si="5"/>
        <v>669446.80851063831</v>
      </c>
      <c r="J81" s="214">
        <f t="shared" si="5"/>
        <v>1227319.1489361702</v>
      </c>
      <c r="K81" s="214">
        <f t="shared" si="5"/>
        <v>1171531.9148936172</v>
      </c>
      <c r="L81" s="214">
        <f t="shared" si="5"/>
        <v>1171531.9148936172</v>
      </c>
      <c r="M81" s="214">
        <f t="shared" si="5"/>
        <v>669446.80851063831</v>
      </c>
      <c r="N81" s="215">
        <f>SUM(B81:M81)</f>
        <v>13110000.000000004</v>
      </c>
    </row>
    <row r="84" spans="1:14" x14ac:dyDescent="0.2">
      <c r="N84" s="54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U30"/>
  <sheetViews>
    <sheetView showGridLines="0" zoomScale="150" zoomScaleNormal="150" workbookViewId="0">
      <selection activeCell="B3" sqref="B3"/>
    </sheetView>
  </sheetViews>
  <sheetFormatPr baseColWidth="10" defaultRowHeight="17" customHeight="1" x14ac:dyDescent="0.15"/>
  <cols>
    <col min="1" max="1" width="10.83203125" style="216"/>
    <col min="2" max="2" width="25.6640625" style="216" customWidth="1"/>
    <col min="3" max="9" width="13.5" style="216" bestFit="1" customWidth="1"/>
    <col min="10" max="10" width="12.5" style="216" bestFit="1" customWidth="1"/>
    <col min="11" max="13" width="13.5" style="216" bestFit="1" customWidth="1"/>
    <col min="14" max="14" width="12.5" style="216" bestFit="1" customWidth="1"/>
    <col min="15" max="15" width="13.1640625" style="216" customWidth="1"/>
    <col min="16" max="16" width="4.1640625" style="216" customWidth="1"/>
    <col min="17" max="16384" width="10.83203125" style="216"/>
  </cols>
  <sheetData>
    <row r="2" spans="2:21" ht="17" customHeight="1" x14ac:dyDescent="0.15">
      <c r="B2" s="72" t="s">
        <v>170</v>
      </c>
    </row>
    <row r="3" spans="2:21" ht="17" customHeight="1" thickBot="1" x14ac:dyDescent="0.2"/>
    <row r="4" spans="2:21" ht="17" customHeight="1" thickBot="1" x14ac:dyDescent="0.2">
      <c r="B4" s="220" t="s">
        <v>116</v>
      </c>
    </row>
    <row r="5" spans="2:21" s="72" customFormat="1" ht="17" customHeight="1" x14ac:dyDescent="0.15">
      <c r="B5" s="217"/>
      <c r="C5" s="305" t="s">
        <v>85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7"/>
      <c r="Q5" s="365" t="s">
        <v>121</v>
      </c>
      <c r="R5" s="366"/>
      <c r="S5" s="366"/>
      <c r="T5" s="367"/>
      <c r="U5" s="216"/>
    </row>
    <row r="6" spans="2:21" s="72" customFormat="1" ht="17" customHeight="1" x14ac:dyDescent="0.15">
      <c r="B6" s="226"/>
      <c r="C6" s="224" t="s">
        <v>100</v>
      </c>
      <c r="D6" s="224" t="s">
        <v>101</v>
      </c>
      <c r="E6" s="224" t="s">
        <v>102</v>
      </c>
      <c r="F6" s="224" t="s">
        <v>103</v>
      </c>
      <c r="G6" s="224" t="s">
        <v>104</v>
      </c>
      <c r="H6" s="224" t="s">
        <v>105</v>
      </c>
      <c r="I6" s="224" t="s">
        <v>106</v>
      </c>
      <c r="J6" s="224" t="s">
        <v>107</v>
      </c>
      <c r="K6" s="224" t="s">
        <v>108</v>
      </c>
      <c r="L6" s="224" t="s">
        <v>109</v>
      </c>
      <c r="M6" s="224" t="s">
        <v>110</v>
      </c>
      <c r="N6" s="224" t="s">
        <v>111</v>
      </c>
      <c r="O6" s="229" t="s">
        <v>68</v>
      </c>
      <c r="Q6" s="250" t="s">
        <v>100</v>
      </c>
      <c r="R6" s="224" t="s">
        <v>101</v>
      </c>
      <c r="S6" s="224" t="s">
        <v>102</v>
      </c>
      <c r="T6" s="251"/>
      <c r="U6" s="95"/>
    </row>
    <row r="7" spans="2:21" s="72" customFormat="1" ht="17" customHeight="1" x14ac:dyDescent="0.15">
      <c r="B7" s="13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225"/>
      <c r="Q7" s="218"/>
      <c r="T7" s="230"/>
    </row>
    <row r="8" spans="2:21" s="72" customFormat="1" ht="17" customHeight="1" x14ac:dyDescent="0.15">
      <c r="B8" s="130" t="s">
        <v>118</v>
      </c>
      <c r="C8" s="221">
        <v>125000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225"/>
      <c r="Q8" s="218"/>
      <c r="T8" s="230"/>
    </row>
    <row r="9" spans="2:21" s="72" customFormat="1" ht="17" customHeight="1" x14ac:dyDescent="0.15">
      <c r="B9" s="130" t="s">
        <v>119</v>
      </c>
      <c r="C9" s="235">
        <v>6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225"/>
      <c r="Q9" s="218"/>
      <c r="T9" s="230"/>
    </row>
    <row r="10" spans="2:21" s="72" customFormat="1" ht="17" customHeight="1" x14ac:dyDescent="0.15">
      <c r="B10" s="130" t="s">
        <v>120</v>
      </c>
      <c r="C10" s="95">
        <f>1/C9*360</f>
        <v>60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225"/>
      <c r="Q10" s="218"/>
      <c r="T10" s="230"/>
    </row>
    <row r="11" spans="2:21" s="72" customFormat="1" ht="17" customHeight="1" x14ac:dyDescent="0.15">
      <c r="B11" s="130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225"/>
      <c r="Q11" s="218"/>
      <c r="T11" s="230"/>
    </row>
    <row r="12" spans="2:21" s="72" customFormat="1" ht="23" customHeight="1" x14ac:dyDescent="0.15">
      <c r="B12" s="130" t="s">
        <v>117</v>
      </c>
      <c r="C12" s="234">
        <f>+C8</f>
        <v>125000</v>
      </c>
      <c r="D12" s="219">
        <f>+C14</f>
        <v>124910.08729508883</v>
      </c>
      <c r="E12" s="219">
        <f t="shared" ref="E12:N12" si="0">+D14</f>
        <v>127814.97304613741</v>
      </c>
      <c r="F12" s="219">
        <f t="shared" si="0"/>
        <v>122005.20154404026</v>
      </c>
      <c r="G12" s="219">
        <f t="shared" si="0"/>
        <v>124910.08729508883</v>
      </c>
      <c r="H12" s="219">
        <f t="shared" si="0"/>
        <v>127814.97304613741</v>
      </c>
      <c r="I12" s="219">
        <f t="shared" si="0"/>
        <v>98766.115535651639</v>
      </c>
      <c r="J12" s="219">
        <f t="shared" si="0"/>
        <v>98766.115535651639</v>
      </c>
      <c r="K12" s="219">
        <f t="shared" si="0"/>
        <v>124910.08729508883</v>
      </c>
      <c r="L12" s="219">
        <f t="shared" si="0"/>
        <v>122005.20154404026</v>
      </c>
      <c r="M12" s="219">
        <f t="shared" si="0"/>
        <v>95861.229784603056</v>
      </c>
      <c r="N12" s="219">
        <f t="shared" si="0"/>
        <v>86222.088065664604</v>
      </c>
      <c r="O12" s="147"/>
      <c r="Q12" s="246">
        <f>+N14</f>
        <v>108433.96911206131</v>
      </c>
      <c r="T12" s="230"/>
    </row>
    <row r="13" spans="2:21" s="72" customFormat="1" ht="23" customHeight="1" x14ac:dyDescent="0.15">
      <c r="B13" s="227" t="s">
        <v>124</v>
      </c>
      <c r="C13" s="219">
        <f>QUANTITÀ!B11</f>
        <v>52287.943518874388</v>
      </c>
      <c r="D13" s="219">
        <f>QUANTITÀ!C11</f>
        <v>58097.71502097154</v>
      </c>
      <c r="E13" s="219">
        <f>QUANTITÀ!D11</f>
        <v>66812.372274117282</v>
      </c>
      <c r="F13" s="219">
        <f>QUANTITÀ!E11</f>
        <v>61002.600772020131</v>
      </c>
      <c r="G13" s="219">
        <f>QUANTITÀ!F11</f>
        <v>61002.600772020131</v>
      </c>
      <c r="H13" s="219">
        <f>QUANTITÀ!G11</f>
        <v>63907.486523068706</v>
      </c>
      <c r="I13" s="219">
        <f>QUANTITÀ!H11</f>
        <v>63907.486523068706</v>
      </c>
      <c r="J13" s="219">
        <f>QUANTITÀ!I11</f>
        <v>34858.629012582933</v>
      </c>
      <c r="K13" s="219">
        <f>QUANTITÀ!J11</f>
        <v>63907.486523068706</v>
      </c>
      <c r="L13" s="219">
        <f>QUANTITÀ!K11</f>
        <v>61002.600772020131</v>
      </c>
      <c r="M13" s="219">
        <f>QUANTITÀ!L11</f>
        <v>61002.600772020131</v>
      </c>
      <c r="N13" s="219">
        <f>QUANTITÀ!M11</f>
        <v>34858.629012582933</v>
      </c>
      <c r="O13" s="147">
        <f>SUM(C13:N13)</f>
        <v>682648.15149641572</v>
      </c>
      <c r="Q13" s="231">
        <f>QUANTITÀ!P11</f>
        <v>51363.459053081671</v>
      </c>
      <c r="R13" s="222">
        <f>QUANTITÀ!Q11</f>
        <v>57070.510058979649</v>
      </c>
      <c r="S13" s="222">
        <f>QUANTITÀ!R11</f>
        <v>65631.086567826584</v>
      </c>
      <c r="T13" s="232">
        <f>QUANTITÀ!S11</f>
        <v>59924.03556192862</v>
      </c>
      <c r="U13" s="222"/>
    </row>
    <row r="14" spans="2:21" s="72" customFormat="1" ht="23" customHeight="1" thickBot="1" x14ac:dyDescent="0.2">
      <c r="B14" s="227" t="s">
        <v>122</v>
      </c>
      <c r="C14" s="219">
        <f>(D13+E13)</f>
        <v>124910.08729508883</v>
      </c>
      <c r="D14" s="219">
        <f t="shared" ref="D14:L14" si="1">(E13+F13)</f>
        <v>127814.97304613741</v>
      </c>
      <c r="E14" s="219">
        <f t="shared" si="1"/>
        <v>122005.20154404026</v>
      </c>
      <c r="F14" s="219">
        <f t="shared" si="1"/>
        <v>124910.08729508883</v>
      </c>
      <c r="G14" s="219">
        <f t="shared" si="1"/>
        <v>127814.97304613741</v>
      </c>
      <c r="H14" s="219">
        <f t="shared" si="1"/>
        <v>98766.115535651639</v>
      </c>
      <c r="I14" s="219">
        <f t="shared" si="1"/>
        <v>98766.115535651639</v>
      </c>
      <c r="J14" s="219">
        <f t="shared" si="1"/>
        <v>124910.08729508883</v>
      </c>
      <c r="K14" s="219">
        <f t="shared" si="1"/>
        <v>122005.20154404026</v>
      </c>
      <c r="L14" s="219">
        <f t="shared" si="1"/>
        <v>95861.229784603056</v>
      </c>
      <c r="M14" s="219">
        <f>(N13+Q13)</f>
        <v>86222.088065664604</v>
      </c>
      <c r="N14" s="219">
        <f>(Q13+R13)</f>
        <v>108433.96911206131</v>
      </c>
      <c r="O14" s="147"/>
      <c r="Q14" s="231">
        <f>(R13+S13)</f>
        <v>122701.59662680623</v>
      </c>
      <c r="T14" s="230"/>
    </row>
    <row r="15" spans="2:21" s="72" customFormat="1" ht="19" customHeight="1" thickBot="1" x14ac:dyDescent="0.2">
      <c r="B15" s="228" t="s">
        <v>123</v>
      </c>
      <c r="C15" s="223">
        <f>(C14-C12+C13)</f>
        <v>52198.030813963218</v>
      </c>
      <c r="D15" s="223">
        <f t="shared" ref="D15:N15" si="2">(D14-D12+D13)</f>
        <v>61002.600772020123</v>
      </c>
      <c r="E15" s="223">
        <f t="shared" si="2"/>
        <v>61002.600772020131</v>
      </c>
      <c r="F15" s="223">
        <f t="shared" si="2"/>
        <v>63907.486523068699</v>
      </c>
      <c r="G15" s="223">
        <f t="shared" si="2"/>
        <v>63907.486523068714</v>
      </c>
      <c r="H15" s="223">
        <f t="shared" si="2"/>
        <v>34858.629012582933</v>
      </c>
      <c r="I15" s="223">
        <f t="shared" si="2"/>
        <v>63907.486523068706</v>
      </c>
      <c r="J15" s="223">
        <f t="shared" si="2"/>
        <v>61002.600772020123</v>
      </c>
      <c r="K15" s="223">
        <f t="shared" si="2"/>
        <v>61002.600772020138</v>
      </c>
      <c r="L15" s="223">
        <f t="shared" si="2"/>
        <v>34858.629012582925</v>
      </c>
      <c r="M15" s="223">
        <f t="shared" si="2"/>
        <v>51363.459053081679</v>
      </c>
      <c r="N15" s="223">
        <f t="shared" si="2"/>
        <v>57070.510058979642</v>
      </c>
      <c r="O15" s="233">
        <f>SUM(C15:N15)</f>
        <v>666082.12060847692</v>
      </c>
      <c r="Q15" s="247">
        <f t="shared" ref="Q15" si="3">(Q14-Q12+Q13)</f>
        <v>65631.086567826598</v>
      </c>
      <c r="R15" s="248"/>
      <c r="S15" s="248"/>
      <c r="T15" s="249"/>
    </row>
    <row r="16" spans="2:21" s="72" customFormat="1" ht="17" customHeight="1" thickBot="1" x14ac:dyDescent="0.2"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</row>
    <row r="17" spans="2:21" ht="17" customHeight="1" thickBot="1" x14ac:dyDescent="0.2">
      <c r="B17" s="220" t="s">
        <v>127</v>
      </c>
      <c r="U17" s="72"/>
    </row>
    <row r="18" spans="2:21" s="72" customFormat="1" ht="17" customHeight="1" x14ac:dyDescent="0.15">
      <c r="B18" s="217"/>
      <c r="C18" s="305" t="s">
        <v>85</v>
      </c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  <c r="Q18" s="365" t="s">
        <v>121</v>
      </c>
      <c r="R18" s="366"/>
      <c r="S18" s="366"/>
      <c r="T18" s="367"/>
    </row>
    <row r="19" spans="2:21" s="72" customFormat="1" ht="17" customHeight="1" x14ac:dyDescent="0.15">
      <c r="B19" s="226"/>
      <c r="C19" s="224" t="s">
        <v>100</v>
      </c>
      <c r="D19" s="224" t="s">
        <v>101</v>
      </c>
      <c r="E19" s="224" t="s">
        <v>102</v>
      </c>
      <c r="F19" s="224" t="s">
        <v>103</v>
      </c>
      <c r="G19" s="224" t="s">
        <v>104</v>
      </c>
      <c r="H19" s="224" t="s">
        <v>105</v>
      </c>
      <c r="I19" s="224" t="s">
        <v>106</v>
      </c>
      <c r="J19" s="224" t="s">
        <v>107</v>
      </c>
      <c r="K19" s="224" t="s">
        <v>108</v>
      </c>
      <c r="L19" s="224" t="s">
        <v>109</v>
      </c>
      <c r="M19" s="224" t="s">
        <v>110</v>
      </c>
      <c r="N19" s="224" t="s">
        <v>111</v>
      </c>
      <c r="O19" s="229" t="s">
        <v>68</v>
      </c>
      <c r="Q19" s="250" t="s">
        <v>100</v>
      </c>
      <c r="R19" s="224" t="s">
        <v>101</v>
      </c>
      <c r="S19" s="224" t="s">
        <v>102</v>
      </c>
      <c r="T19" s="251" t="s">
        <v>103</v>
      </c>
    </row>
    <row r="20" spans="2:21" s="72" customFormat="1" ht="17" customHeight="1" x14ac:dyDescent="0.15">
      <c r="B20" s="130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225"/>
      <c r="Q20" s="218"/>
      <c r="T20" s="230"/>
    </row>
    <row r="21" spans="2:21" s="72" customFormat="1" ht="17" customHeight="1" x14ac:dyDescent="0.15">
      <c r="B21" s="130" t="s">
        <v>118</v>
      </c>
      <c r="C21" s="221">
        <v>11000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225"/>
      <c r="Q21" s="218"/>
      <c r="T21" s="230"/>
    </row>
    <row r="22" spans="2:21" s="72" customFormat="1" ht="17" customHeight="1" x14ac:dyDescent="0.15">
      <c r="B22" s="130" t="s">
        <v>119</v>
      </c>
      <c r="C22" s="235">
        <v>4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225"/>
      <c r="Q22" s="218"/>
      <c r="T22" s="230"/>
    </row>
    <row r="23" spans="2:21" s="72" customFormat="1" ht="17" customHeight="1" x14ac:dyDescent="0.15">
      <c r="B23" s="130" t="s">
        <v>120</v>
      </c>
      <c r="C23" s="95">
        <f>1/C22*360</f>
        <v>90</v>
      </c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225"/>
      <c r="Q23" s="218"/>
      <c r="T23" s="230"/>
    </row>
    <row r="24" spans="2:21" s="72" customFormat="1" ht="17" customHeight="1" x14ac:dyDescent="0.15">
      <c r="B24" s="130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225"/>
      <c r="Q24" s="218"/>
      <c r="T24" s="230"/>
    </row>
    <row r="25" spans="2:21" s="72" customFormat="1" ht="23" customHeight="1" x14ac:dyDescent="0.15">
      <c r="B25" s="130" t="s">
        <v>117</v>
      </c>
      <c r="C25" s="234">
        <f>+C21</f>
        <v>11000</v>
      </c>
      <c r="D25" s="219">
        <f>+C27</f>
        <v>11401.65718533974</v>
      </c>
      <c r="E25" s="219">
        <f t="shared" ref="E25:N25" si="4">+D27</f>
        <v>11579.808078860675</v>
      </c>
      <c r="F25" s="219">
        <f t="shared" si="4"/>
        <v>11401.65718533974</v>
      </c>
      <c r="G25" s="219">
        <f t="shared" si="4"/>
        <v>11579.808078860673</v>
      </c>
      <c r="H25" s="219">
        <f t="shared" si="4"/>
        <v>9976.4500371722715</v>
      </c>
      <c r="I25" s="219">
        <f t="shared" si="4"/>
        <v>9976.4500371722715</v>
      </c>
      <c r="J25" s="219">
        <f t="shared" si="4"/>
        <v>9798.2991436513385</v>
      </c>
      <c r="K25" s="219">
        <f t="shared" si="4"/>
        <v>11401.65718533974</v>
      </c>
      <c r="L25" s="219">
        <f t="shared" si="4"/>
        <v>9620.1482501304054</v>
      </c>
      <c r="M25" s="219">
        <f t="shared" si="4"/>
        <v>9270.3303167670565</v>
      </c>
      <c r="N25" s="219">
        <f t="shared" si="4"/>
        <v>9297.3291423566225</v>
      </c>
      <c r="O25" s="147"/>
      <c r="Q25" s="246">
        <f>+N27</f>
        <v>11492.911148063966</v>
      </c>
      <c r="T25" s="230"/>
    </row>
    <row r="26" spans="2:21" s="72" customFormat="1" ht="23" customHeight="1" x14ac:dyDescent="0.15">
      <c r="B26" s="227" t="s">
        <v>124</v>
      </c>
      <c r="C26" s="219">
        <f>QUANTITÀ!B18</f>
        <v>3206.7160833768021</v>
      </c>
      <c r="D26" s="219">
        <f>QUANTITÀ!C18</f>
        <v>3563.0178704186692</v>
      </c>
      <c r="E26" s="219">
        <f>QUANTITÀ!D18</f>
        <v>4097.4705509814694</v>
      </c>
      <c r="F26" s="219">
        <f>QUANTITÀ!E18</f>
        <v>3741.1687639396023</v>
      </c>
      <c r="G26" s="219">
        <f>QUANTITÀ!F18</f>
        <v>3741.1687639396023</v>
      </c>
      <c r="H26" s="219">
        <f>QUANTITÀ!G18</f>
        <v>3919.3196574605354</v>
      </c>
      <c r="I26" s="219">
        <f>QUANTITÀ!H18</f>
        <v>3919.3196574605354</v>
      </c>
      <c r="J26" s="219">
        <f>QUANTITÀ!I18</f>
        <v>2137.8107222512012</v>
      </c>
      <c r="K26" s="219">
        <f>QUANTITÀ!J18</f>
        <v>3919.3196574605354</v>
      </c>
      <c r="L26" s="219">
        <f>QUANTITÀ!K18</f>
        <v>3741.1687639396023</v>
      </c>
      <c r="M26" s="219">
        <f>QUANTITÀ!L18</f>
        <v>3741.1687639396023</v>
      </c>
      <c r="N26" s="219">
        <f>QUANTITÀ!M18</f>
        <v>2137.8107222512012</v>
      </c>
      <c r="O26" s="147">
        <f>SUM(C26:N26)</f>
        <v>41865.459977419363</v>
      </c>
      <c r="Q26" s="231">
        <f>QUANTITÀ!P18</f>
        <v>3391.3508305762525</v>
      </c>
      <c r="R26" s="222">
        <f>QUANTITÀ!Q18</f>
        <v>3768.1675895291692</v>
      </c>
      <c r="S26" s="222">
        <f>QUANTITÀ!R18</f>
        <v>4333.392727958545</v>
      </c>
      <c r="T26" s="252">
        <f>QUANTITÀ!S18</f>
        <v>3956.5759690056279</v>
      </c>
      <c r="U26" s="222"/>
    </row>
    <row r="27" spans="2:21" s="72" customFormat="1" ht="23" customHeight="1" thickBot="1" x14ac:dyDescent="0.2">
      <c r="B27" s="227" t="s">
        <v>122</v>
      </c>
      <c r="C27" s="219">
        <f>(D26+E26+F26)</f>
        <v>11401.65718533974</v>
      </c>
      <c r="D27" s="219">
        <f t="shared" ref="D27:K27" si="5">(E26+F26+G26)</f>
        <v>11579.808078860675</v>
      </c>
      <c r="E27" s="219">
        <f t="shared" si="5"/>
        <v>11401.65718533974</v>
      </c>
      <c r="F27" s="219">
        <f t="shared" si="5"/>
        <v>11579.808078860673</v>
      </c>
      <c r="G27" s="219">
        <f t="shared" si="5"/>
        <v>9976.4500371722715</v>
      </c>
      <c r="H27" s="219">
        <f t="shared" si="5"/>
        <v>9976.4500371722715</v>
      </c>
      <c r="I27" s="219">
        <f t="shared" si="5"/>
        <v>9798.2991436513385</v>
      </c>
      <c r="J27" s="219">
        <f t="shared" si="5"/>
        <v>11401.65718533974</v>
      </c>
      <c r="K27" s="219">
        <f t="shared" si="5"/>
        <v>9620.1482501304054</v>
      </c>
      <c r="L27" s="219">
        <f>(M26+N26+Q26)</f>
        <v>9270.3303167670565</v>
      </c>
      <c r="M27" s="219">
        <f>(N26+Q26+R26)</f>
        <v>9297.3291423566225</v>
      </c>
      <c r="N27" s="219">
        <f>(Q26+R26+S26)</f>
        <v>11492.911148063966</v>
      </c>
      <c r="O27" s="147"/>
      <c r="Q27" s="231">
        <f>(R26+S26+T26)</f>
        <v>12058.136286493342</v>
      </c>
      <c r="T27" s="230"/>
    </row>
    <row r="28" spans="2:21" s="72" customFormat="1" ht="19" customHeight="1" thickBot="1" x14ac:dyDescent="0.2">
      <c r="B28" s="228" t="s">
        <v>123</v>
      </c>
      <c r="C28" s="223">
        <f>C27-C25+C26</f>
        <v>3608.373268716542</v>
      </c>
      <c r="D28" s="223">
        <f t="shared" ref="D28:N28" si="6">D27-D25+D26</f>
        <v>3741.1687639396041</v>
      </c>
      <c r="E28" s="223">
        <f t="shared" si="6"/>
        <v>3919.3196574605345</v>
      </c>
      <c r="F28" s="223">
        <f t="shared" si="6"/>
        <v>3919.3196574605354</v>
      </c>
      <c r="G28" s="223">
        <f t="shared" si="6"/>
        <v>2137.8107222512008</v>
      </c>
      <c r="H28" s="223">
        <f t="shared" si="6"/>
        <v>3919.3196574605354</v>
      </c>
      <c r="I28" s="223">
        <f t="shared" si="6"/>
        <v>3741.1687639396023</v>
      </c>
      <c r="J28" s="223">
        <f t="shared" si="6"/>
        <v>3741.1687639396027</v>
      </c>
      <c r="K28" s="223">
        <f t="shared" si="6"/>
        <v>2137.8107222512008</v>
      </c>
      <c r="L28" s="223">
        <f t="shared" si="6"/>
        <v>3391.3508305762534</v>
      </c>
      <c r="M28" s="223">
        <f t="shared" si="6"/>
        <v>3768.1675895291683</v>
      </c>
      <c r="N28" s="223">
        <f t="shared" si="6"/>
        <v>4333.3927279585441</v>
      </c>
      <c r="O28" s="233">
        <f>SUM(C28:N28)</f>
        <v>42358.371125483332</v>
      </c>
      <c r="Q28" s="247">
        <f t="shared" ref="Q28" si="7">Q27-Q25+Q26</f>
        <v>3956.5759690056284</v>
      </c>
      <c r="R28" s="248"/>
      <c r="S28" s="248"/>
      <c r="T28" s="249"/>
    </row>
    <row r="29" spans="2:21" s="72" customFormat="1" ht="17" customHeight="1" x14ac:dyDescent="0.15"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</row>
    <row r="30" spans="2:21" ht="17" customHeight="1" x14ac:dyDescent="0.15">
      <c r="B30" s="253">
        <f>7217/C28</f>
        <v>2.0000702428900894</v>
      </c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9E5EA-4CA4-4043-BF43-9F766E0A4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9472de-1d3c-4843-a956-f9f5cc4d2e90"/>
    <ds:schemaRef ds:uri="217686c3-c55b-4707-b33a-46d6e4dba5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9A75C6-2F62-470B-B43A-A7EA3B2331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2F6301-6788-4DC4-B77E-50FBE5439E2A}">
  <ds:schemaRefs>
    <ds:schemaRef ds:uri="http://purl.org/dc/dcmitype/"/>
    <ds:schemaRef ds:uri="http://schemas.microsoft.com/office/2006/documentManagement/types"/>
    <ds:schemaRef ds:uri="217686c3-c55b-4707-b33a-46d6e4dba578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319472de-1d3c-4843-a956-f9f5cc4d2e90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 4</vt:lpstr>
      <vt:lpstr>All. 1</vt:lpstr>
      <vt:lpstr>All. 2</vt:lpstr>
      <vt:lpstr>All. 3</vt:lpstr>
      <vt:lpstr>Tab. 5</vt:lpstr>
      <vt:lpstr>Tab.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2026-05-05T08:42:22Z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  <property fmtid="{D5CDD505-2E9C-101B-9397-08002B2CF9AE}" pid="3" name="MediaServiceImageTags">
    <vt:lpwstr/>
  </property>
</Properties>
</file>