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6"/>
  <workbookPr codeName="Questa_cartella_di_lavoro" autoCompressPictures="0"/>
  <mc:AlternateContent xmlns:mc="http://schemas.openxmlformats.org/markup-compatibility/2006">
    <mc:Choice Requires="x15">
      <x15ac:absPath xmlns:x15ac="http://schemas.microsoft.com/office/spreadsheetml/2010/11/ac" url="https://dnksrlit.sharepoint.com/sites/RepositoryDocumentale/Documenti condivisi/FM/FM_1_Formazione/Progetto Libro Programmazione e Controllo/Caso Mozart/Caso Mozart NEW/"/>
    </mc:Choice>
  </mc:AlternateContent>
  <xr:revisionPtr revIDLastSave="1801" documentId="13_ncr:1_{E736DC45-4CA5-5345-BD10-1045D28380A8}" xr6:coauthVersionLast="47" xr6:coauthVersionMax="47" xr10:uidLastSave="{0E7D0D5D-8845-084A-B847-2649F2EF8BB1}"/>
  <bookViews>
    <workbookView xWindow="0" yWindow="0" windowWidth="38400" windowHeight="21600" tabRatio="704" firstSheet="11" activeTab="19" xr2:uid="{00000000-000D-0000-FFFF-FFFF00000000}"/>
  </bookViews>
  <sheets>
    <sheet name="Tab 0" sheetId="85" r:id="rId1"/>
    <sheet name="Tab 1" sheetId="86" r:id="rId2"/>
    <sheet name="Tab 2" sheetId="87" r:id="rId3"/>
    <sheet name="Tab 3" sheetId="51" r:id="rId4"/>
    <sheet name="QUANTITÀ" sheetId="52" r:id="rId5"/>
    <sheet name="PREZZI" sheetId="77" r:id="rId6"/>
    <sheet name="MOLLE" sheetId="53" r:id="rId7"/>
    <sheet name="POLIUR" sheetId="54" r:id="rId8"/>
    <sheet name="Tab 4 v2" sheetId="89" r:id="rId9"/>
    <sheet name="All. 1" sheetId="99" r:id="rId10"/>
    <sheet name="All. 2" sheetId="102" r:id="rId11"/>
    <sheet name="All. 3" sheetId="100" r:id="rId12"/>
    <sheet name="Tab. 5" sheetId="103" r:id="rId13"/>
    <sheet name="Tab. 6" sheetId="104" r:id="rId14"/>
    <sheet name="All. 4-5-6" sheetId="91" r:id="rId15"/>
    <sheet name="Distinta base aggiornata" sheetId="56" r:id="rId16"/>
    <sheet name="Tab. 7" sheetId="136" r:id="rId17"/>
    <sheet name="Tab. 8" sheetId="90" r:id="rId18"/>
    <sheet name="Tab. 9" sheetId="92" r:id="rId19"/>
    <sheet name="Tab. 10" sheetId="93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86" l="1"/>
  <c r="F29" i="86"/>
  <c r="F27" i="86"/>
  <c r="E27" i="86"/>
  <c r="D27" i="86"/>
  <c r="D29" i="86"/>
  <c r="D46" i="103" l="1"/>
  <c r="E46" i="103"/>
  <c r="F46" i="103"/>
  <c r="G46" i="103"/>
  <c r="H46" i="103"/>
  <c r="I46" i="103"/>
  <c r="J46" i="103"/>
  <c r="K46" i="103"/>
  <c r="L46" i="103"/>
  <c r="M46" i="103"/>
  <c r="N46" i="103"/>
  <c r="C46" i="103"/>
  <c r="D44" i="103"/>
  <c r="E44" i="103"/>
  <c r="F44" i="103"/>
  <c r="G44" i="103"/>
  <c r="H44" i="103"/>
  <c r="I44" i="103"/>
  <c r="J44" i="103"/>
  <c r="K44" i="103"/>
  <c r="L44" i="103"/>
  <c r="M44" i="103"/>
  <c r="N44" i="103"/>
  <c r="C44" i="103"/>
  <c r="C15" i="103"/>
  <c r="L12" i="103"/>
  <c r="M12" i="103"/>
  <c r="N12" i="103"/>
  <c r="L14" i="103"/>
  <c r="M14" i="103"/>
  <c r="N14" i="103"/>
  <c r="D12" i="103"/>
  <c r="E12" i="103"/>
  <c r="F12" i="103"/>
  <c r="G12" i="103"/>
  <c r="H12" i="103"/>
  <c r="I12" i="103"/>
  <c r="J12" i="103"/>
  <c r="K12" i="103"/>
  <c r="D14" i="103"/>
  <c r="E14" i="103"/>
  <c r="F14" i="103"/>
  <c r="G14" i="103"/>
  <c r="H14" i="103"/>
  <c r="I14" i="103"/>
  <c r="J14" i="103"/>
  <c r="K14" i="103"/>
  <c r="C14" i="103"/>
  <c r="C12" i="103"/>
  <c r="D13" i="103"/>
  <c r="D45" i="103" l="1"/>
  <c r="O46" i="103"/>
  <c r="O14" i="103"/>
  <c r="C52" i="92"/>
  <c r="D22" i="136"/>
  <c r="D24" i="136" s="1"/>
  <c r="D30" i="136" s="1"/>
  <c r="D48" i="136" s="1"/>
  <c r="E22" i="136"/>
  <c r="E28" i="136" s="1"/>
  <c r="E34" i="136" s="1"/>
  <c r="E46" i="136" s="1"/>
  <c r="F22" i="136"/>
  <c r="F25" i="136" s="1"/>
  <c r="F31" i="136" s="1"/>
  <c r="F47" i="136" s="1"/>
  <c r="G22" i="136"/>
  <c r="G25" i="136" s="1"/>
  <c r="G31" i="136" s="1"/>
  <c r="G47" i="136" s="1"/>
  <c r="H22" i="136"/>
  <c r="H25" i="136" s="1"/>
  <c r="H31" i="136" s="1"/>
  <c r="H47" i="136" s="1"/>
  <c r="I22" i="136"/>
  <c r="I25" i="136" s="1"/>
  <c r="I31" i="136" s="1"/>
  <c r="I47" i="136" s="1"/>
  <c r="J22" i="136"/>
  <c r="J25" i="136" s="1"/>
  <c r="J31" i="136" s="1"/>
  <c r="J47" i="136" s="1"/>
  <c r="K22" i="136"/>
  <c r="K26" i="136" s="1"/>
  <c r="K32" i="136" s="1"/>
  <c r="L22" i="136"/>
  <c r="L26" i="136" s="1"/>
  <c r="L32" i="136" s="1"/>
  <c r="M22" i="136"/>
  <c r="M26" i="136" s="1"/>
  <c r="M32" i="136" s="1"/>
  <c r="N22" i="136"/>
  <c r="N26" i="136" s="1"/>
  <c r="N32" i="136" s="1"/>
  <c r="O10" i="136"/>
  <c r="D5" i="136"/>
  <c r="D7" i="136" s="1"/>
  <c r="D11" i="136" s="1"/>
  <c r="D45" i="136" s="1"/>
  <c r="E5" i="136"/>
  <c r="E7" i="136" s="1"/>
  <c r="E11" i="136" s="1"/>
  <c r="E45" i="136" s="1"/>
  <c r="F5" i="136"/>
  <c r="G5" i="136"/>
  <c r="G8" i="136" s="1"/>
  <c r="G12" i="136" s="1"/>
  <c r="G42" i="136" s="1"/>
  <c r="H5" i="136"/>
  <c r="H9" i="136" s="1"/>
  <c r="H13" i="136" s="1"/>
  <c r="I5" i="136"/>
  <c r="I9" i="136" s="1"/>
  <c r="I13" i="136" s="1"/>
  <c r="J5" i="136"/>
  <c r="J9" i="136" s="1"/>
  <c r="J13" i="136" s="1"/>
  <c r="K5" i="136"/>
  <c r="K9" i="136" s="1"/>
  <c r="K13" i="136" s="1"/>
  <c r="L5" i="136"/>
  <c r="L9" i="136" s="1"/>
  <c r="L13" i="136" s="1"/>
  <c r="M5" i="136"/>
  <c r="N5" i="136"/>
  <c r="N7" i="136" s="1"/>
  <c r="N11" i="136" s="1"/>
  <c r="N45" i="136" s="1"/>
  <c r="C5" i="136"/>
  <c r="C7" i="136" s="1"/>
  <c r="C11" i="136" s="1"/>
  <c r="C45" i="136" s="1"/>
  <c r="Q7" i="86"/>
  <c r="D34" i="104"/>
  <c r="E34" i="104"/>
  <c r="F34" i="104"/>
  <c r="G34" i="104"/>
  <c r="H34" i="104"/>
  <c r="I34" i="104"/>
  <c r="J34" i="104"/>
  <c r="K34" i="104"/>
  <c r="L34" i="104"/>
  <c r="M34" i="104"/>
  <c r="N34" i="104"/>
  <c r="C34" i="104"/>
  <c r="D12" i="104"/>
  <c r="E12" i="104"/>
  <c r="F12" i="104"/>
  <c r="G12" i="104"/>
  <c r="H12" i="104"/>
  <c r="I12" i="104"/>
  <c r="J12" i="104"/>
  <c r="K12" i="104"/>
  <c r="L12" i="104"/>
  <c r="M12" i="104"/>
  <c r="N12" i="104"/>
  <c r="C12" i="104"/>
  <c r="C8" i="136" l="1"/>
  <c r="C12" i="136" s="1"/>
  <c r="C42" i="136" s="1"/>
  <c r="L43" i="136"/>
  <c r="N9" i="136"/>
  <c r="N13" i="136" s="1"/>
  <c r="N43" i="136" s="1"/>
  <c r="C9" i="136"/>
  <c r="C13" i="136" s="1"/>
  <c r="C14" i="136" s="1"/>
  <c r="C16" i="136" s="1"/>
  <c r="K43" i="136"/>
  <c r="E25" i="136"/>
  <c r="E31" i="136" s="1"/>
  <c r="E47" i="136" s="1"/>
  <c r="N24" i="136"/>
  <c r="N30" i="136" s="1"/>
  <c r="N48" i="136" s="1"/>
  <c r="I27" i="136"/>
  <c r="I33" i="136" s="1"/>
  <c r="I44" i="136" s="1"/>
  <c r="J27" i="136"/>
  <c r="J33" i="136" s="1"/>
  <c r="J44" i="136" s="1"/>
  <c r="H27" i="136"/>
  <c r="H33" i="136" s="1"/>
  <c r="H44" i="136" s="1"/>
  <c r="I24" i="136"/>
  <c r="I30" i="136" s="1"/>
  <c r="I48" i="136" s="1"/>
  <c r="L27" i="136"/>
  <c r="L33" i="136" s="1"/>
  <c r="L44" i="136" s="1"/>
  <c r="K27" i="136"/>
  <c r="K33" i="136" s="1"/>
  <c r="K44" i="136" s="1"/>
  <c r="J24" i="136"/>
  <c r="J30" i="136" s="1"/>
  <c r="J48" i="136" s="1"/>
  <c r="G27" i="136"/>
  <c r="G33" i="136" s="1"/>
  <c r="G44" i="136" s="1"/>
  <c r="F27" i="136"/>
  <c r="F33" i="136" s="1"/>
  <c r="F44" i="136" s="1"/>
  <c r="F26" i="136"/>
  <c r="F32" i="136" s="1"/>
  <c r="M27" i="136"/>
  <c r="M33" i="136" s="1"/>
  <c r="M44" i="136" s="1"/>
  <c r="K24" i="136"/>
  <c r="K30" i="136" s="1"/>
  <c r="K48" i="136" s="1"/>
  <c r="H24" i="136"/>
  <c r="H30" i="136" s="1"/>
  <c r="H48" i="136" s="1"/>
  <c r="E27" i="136"/>
  <c r="E33" i="136" s="1"/>
  <c r="E44" i="136" s="1"/>
  <c r="J26" i="136"/>
  <c r="J32" i="136" s="1"/>
  <c r="J43" i="136" s="1"/>
  <c r="I26" i="136"/>
  <c r="I32" i="136" s="1"/>
  <c r="I43" i="136" s="1"/>
  <c r="M24" i="136"/>
  <c r="M30" i="136" s="1"/>
  <c r="M48" i="136" s="1"/>
  <c r="L24" i="136"/>
  <c r="L30" i="136" s="1"/>
  <c r="L48" i="136" s="1"/>
  <c r="G24" i="136"/>
  <c r="G30" i="136" s="1"/>
  <c r="G48" i="136" s="1"/>
  <c r="F24" i="136"/>
  <c r="F30" i="136" s="1"/>
  <c r="F48" i="136" s="1"/>
  <c r="N8" i="136"/>
  <c r="N12" i="136" s="1"/>
  <c r="E24" i="136"/>
  <c r="E30" i="136" s="1"/>
  <c r="E48" i="136" s="1"/>
  <c r="E8" i="136"/>
  <c r="E12" i="136" s="1"/>
  <c r="H26" i="136"/>
  <c r="H32" i="136" s="1"/>
  <c r="H43" i="136" s="1"/>
  <c r="G26" i="136"/>
  <c r="G32" i="136" s="1"/>
  <c r="J28" i="136"/>
  <c r="J34" i="136" s="1"/>
  <c r="J46" i="136" s="1"/>
  <c r="E26" i="136"/>
  <c r="E32" i="136" s="1"/>
  <c r="N27" i="136"/>
  <c r="N33" i="136" s="1"/>
  <c r="N44" i="136" s="1"/>
  <c r="K25" i="136"/>
  <c r="K31" i="136" s="1"/>
  <c r="K47" i="136" s="1"/>
  <c r="D25" i="136"/>
  <c r="D31" i="136" s="1"/>
  <c r="D47" i="136" s="1"/>
  <c r="D26" i="136"/>
  <c r="D32" i="136" s="1"/>
  <c r="D28" i="136"/>
  <c r="F8" i="136"/>
  <c r="F12" i="136" s="1"/>
  <c r="F42" i="136" s="1"/>
  <c r="N28" i="136"/>
  <c r="N34" i="136" s="1"/>
  <c r="N46" i="136" s="1"/>
  <c r="M28" i="136"/>
  <c r="M34" i="136" s="1"/>
  <c r="M46" i="136" s="1"/>
  <c r="D8" i="136"/>
  <c r="D12" i="136" s="1"/>
  <c r="N25" i="136"/>
  <c r="L28" i="136"/>
  <c r="L34" i="136" s="1"/>
  <c r="L46" i="136" s="1"/>
  <c r="M25" i="136"/>
  <c r="M31" i="136" s="1"/>
  <c r="M47" i="136" s="1"/>
  <c r="K28" i="136"/>
  <c r="K34" i="136" s="1"/>
  <c r="K46" i="136" s="1"/>
  <c r="L25" i="136"/>
  <c r="L31" i="136" s="1"/>
  <c r="L47" i="136" s="1"/>
  <c r="I28" i="136"/>
  <c r="I34" i="136" s="1"/>
  <c r="I46" i="136" s="1"/>
  <c r="D27" i="136"/>
  <c r="G9" i="136"/>
  <c r="G13" i="136" s="1"/>
  <c r="H28" i="136"/>
  <c r="H34" i="136" s="1"/>
  <c r="H46" i="136" s="1"/>
  <c r="F9" i="136"/>
  <c r="F13" i="136" s="1"/>
  <c r="G28" i="136"/>
  <c r="G34" i="136" s="1"/>
  <c r="G46" i="136" s="1"/>
  <c r="E9" i="136"/>
  <c r="E13" i="136" s="1"/>
  <c r="F28" i="136"/>
  <c r="F34" i="136" s="1"/>
  <c r="F46" i="136" s="1"/>
  <c r="D9" i="136"/>
  <c r="D13" i="136" s="1"/>
  <c r="D43" i="136" s="1"/>
  <c r="L7" i="136"/>
  <c r="L11" i="136" s="1"/>
  <c r="L45" i="136" s="1"/>
  <c r="I7" i="136"/>
  <c r="I11" i="136" s="1"/>
  <c r="I45" i="136" s="1"/>
  <c r="H7" i="136"/>
  <c r="H11" i="136" s="1"/>
  <c r="J7" i="136"/>
  <c r="J11" i="136" s="1"/>
  <c r="J45" i="136" s="1"/>
  <c r="K8" i="136"/>
  <c r="K12" i="136" s="1"/>
  <c r="K42" i="136" s="1"/>
  <c r="M7" i="136"/>
  <c r="M11" i="136" s="1"/>
  <c r="M45" i="136" s="1"/>
  <c r="K7" i="136"/>
  <c r="K11" i="136" s="1"/>
  <c r="K45" i="136" s="1"/>
  <c r="L8" i="136"/>
  <c r="L12" i="136" s="1"/>
  <c r="L42" i="136" s="1"/>
  <c r="O5" i="136"/>
  <c r="M9" i="136"/>
  <c r="M13" i="136" s="1"/>
  <c r="M43" i="136" s="1"/>
  <c r="H8" i="136"/>
  <c r="H12" i="136" s="1"/>
  <c r="H42" i="136" s="1"/>
  <c r="M8" i="136"/>
  <c r="M12" i="136" s="1"/>
  <c r="M42" i="136" s="1"/>
  <c r="G7" i="136"/>
  <c r="G11" i="136" s="1"/>
  <c r="G45" i="136" s="1"/>
  <c r="F7" i="136"/>
  <c r="F11" i="136" s="1"/>
  <c r="J8" i="136"/>
  <c r="J12" i="136" s="1"/>
  <c r="J42" i="136" s="1"/>
  <c r="I8" i="136"/>
  <c r="I12" i="136" s="1"/>
  <c r="I42" i="136" s="1"/>
  <c r="I45" i="103" l="1"/>
  <c r="I13" i="103"/>
  <c r="K45" i="103"/>
  <c r="K13" i="103"/>
  <c r="C13" i="103"/>
  <c r="C45" i="103"/>
  <c r="H45" i="103"/>
  <c r="H13" i="103"/>
  <c r="E13" i="103"/>
  <c r="E45" i="103"/>
  <c r="M45" i="103"/>
  <c r="M13" i="103"/>
  <c r="J45" i="103"/>
  <c r="J13" i="103"/>
  <c r="G13" i="103"/>
  <c r="G45" i="103"/>
  <c r="F13" i="103"/>
  <c r="F45" i="103"/>
  <c r="N13" i="103"/>
  <c r="N45" i="103"/>
  <c r="L45" i="103"/>
  <c r="L13" i="103"/>
  <c r="G43" i="136"/>
  <c r="G49" i="136" s="1"/>
  <c r="I49" i="136"/>
  <c r="E43" i="136"/>
  <c r="F43" i="136"/>
  <c r="N14" i="136"/>
  <c r="N16" i="136" s="1"/>
  <c r="N42" i="136"/>
  <c r="H14" i="136"/>
  <c r="H16" i="136" s="1"/>
  <c r="H45" i="136"/>
  <c r="H49" i="136" s="1"/>
  <c r="L49" i="136"/>
  <c r="F14" i="136"/>
  <c r="F16" i="136" s="1"/>
  <c r="F45" i="136"/>
  <c r="M49" i="136"/>
  <c r="D14" i="136"/>
  <c r="D16" i="136" s="1"/>
  <c r="D42" i="136"/>
  <c r="K49" i="136"/>
  <c r="J49" i="136"/>
  <c r="E14" i="136"/>
  <c r="E16" i="136" s="1"/>
  <c r="E42" i="136"/>
  <c r="H35" i="136"/>
  <c r="H37" i="136" s="1"/>
  <c r="J35" i="136"/>
  <c r="J37" i="136" s="1"/>
  <c r="G35" i="136"/>
  <c r="G14" i="136"/>
  <c r="G16" i="136" s="1"/>
  <c r="K35" i="136"/>
  <c r="K37" i="136" s="1"/>
  <c r="E35" i="136"/>
  <c r="E37" i="136" s="1"/>
  <c r="I14" i="136"/>
  <c r="I16" i="136" s="1"/>
  <c r="F35" i="136"/>
  <c r="L35" i="136"/>
  <c r="L37" i="136" s="1"/>
  <c r="N31" i="136"/>
  <c r="I35" i="136"/>
  <c r="I37" i="136" s="1"/>
  <c r="D34" i="136"/>
  <c r="D46" i="136" s="1"/>
  <c r="M35" i="136"/>
  <c r="M37" i="136" s="1"/>
  <c r="K14" i="136"/>
  <c r="K16" i="136" s="1"/>
  <c r="D33" i="136"/>
  <c r="O12" i="136"/>
  <c r="L14" i="136"/>
  <c r="L16" i="136" s="1"/>
  <c r="O13" i="136"/>
  <c r="G37" i="136"/>
  <c r="O7" i="136"/>
  <c r="O9" i="136"/>
  <c r="O8" i="136"/>
  <c r="O11" i="136"/>
  <c r="M14" i="136"/>
  <c r="M16" i="136" s="1"/>
  <c r="J14" i="136"/>
  <c r="J16" i="136" s="1"/>
  <c r="F9" i="102"/>
  <c r="O13" i="103" l="1"/>
  <c r="O45" i="103"/>
  <c r="E49" i="136"/>
  <c r="F49" i="136"/>
  <c r="O45" i="136"/>
  <c r="N35" i="136"/>
  <c r="N37" i="136" s="1"/>
  <c r="N47" i="136"/>
  <c r="D44" i="136"/>
  <c r="N49" i="136"/>
  <c r="D35" i="136"/>
  <c r="D37" i="136" s="1"/>
  <c r="O14" i="136"/>
  <c r="O16" i="136" s="1"/>
  <c r="F37" i="136"/>
  <c r="D49" i="136" l="1"/>
  <c r="O42" i="136"/>
  <c r="E25" i="87" l="1"/>
  <c r="E20" i="87"/>
  <c r="D37" i="104"/>
  <c r="E37" i="104"/>
  <c r="F37" i="104"/>
  <c r="G37" i="104"/>
  <c r="H37" i="104"/>
  <c r="I37" i="104"/>
  <c r="J37" i="104"/>
  <c r="K37" i="104"/>
  <c r="L37" i="104"/>
  <c r="M37" i="104"/>
  <c r="N37" i="104"/>
  <c r="D38" i="104"/>
  <c r="E38" i="104"/>
  <c r="F38" i="104"/>
  <c r="G38" i="104"/>
  <c r="H38" i="104"/>
  <c r="I38" i="104"/>
  <c r="J38" i="104"/>
  <c r="K38" i="104"/>
  <c r="L38" i="104"/>
  <c r="M38" i="104"/>
  <c r="N38" i="104"/>
  <c r="D39" i="104"/>
  <c r="E39" i="104"/>
  <c r="F39" i="104"/>
  <c r="G39" i="104"/>
  <c r="H39" i="104"/>
  <c r="I39" i="104"/>
  <c r="J39" i="104"/>
  <c r="K39" i="104"/>
  <c r="L39" i="104"/>
  <c r="M39" i="104"/>
  <c r="N39" i="104"/>
  <c r="C39" i="104"/>
  <c r="C38" i="104"/>
  <c r="C37" i="104"/>
  <c r="D35" i="104"/>
  <c r="E35" i="104"/>
  <c r="F35" i="104"/>
  <c r="G35" i="104"/>
  <c r="H35" i="104"/>
  <c r="I35" i="104"/>
  <c r="J35" i="104"/>
  <c r="K35" i="104"/>
  <c r="L35" i="104"/>
  <c r="M35" i="104"/>
  <c r="N35" i="104"/>
  <c r="C35" i="104"/>
  <c r="D17" i="104"/>
  <c r="E17" i="104"/>
  <c r="F17" i="104"/>
  <c r="G17" i="104"/>
  <c r="H17" i="104"/>
  <c r="I17" i="104"/>
  <c r="J17" i="104"/>
  <c r="K17" i="104"/>
  <c r="L17" i="104"/>
  <c r="M17" i="104"/>
  <c r="N17" i="104"/>
  <c r="C17" i="104"/>
  <c r="D16" i="104"/>
  <c r="E16" i="104"/>
  <c r="F16" i="104"/>
  <c r="G16" i="104"/>
  <c r="H16" i="104"/>
  <c r="I16" i="104"/>
  <c r="J16" i="104"/>
  <c r="K16" i="104"/>
  <c r="L16" i="104"/>
  <c r="M16" i="104"/>
  <c r="N16" i="104"/>
  <c r="C16" i="104"/>
  <c r="D15" i="104"/>
  <c r="E15" i="104"/>
  <c r="F15" i="104"/>
  <c r="G15" i="104"/>
  <c r="H15" i="104"/>
  <c r="I15" i="104"/>
  <c r="J15" i="104"/>
  <c r="K15" i="104"/>
  <c r="L15" i="104"/>
  <c r="M15" i="104"/>
  <c r="N15" i="104"/>
  <c r="C15" i="104"/>
  <c r="N36" i="104"/>
  <c r="I36" i="104"/>
  <c r="O36" i="104" s="1"/>
  <c r="D13" i="104"/>
  <c r="E13" i="104"/>
  <c r="F13" i="104"/>
  <c r="G13" i="104"/>
  <c r="H13" i="104"/>
  <c r="I13" i="104"/>
  <c r="J13" i="104"/>
  <c r="K13" i="104"/>
  <c r="L13" i="104"/>
  <c r="M13" i="104"/>
  <c r="N13" i="104"/>
  <c r="C13" i="104"/>
  <c r="O47" i="104"/>
  <c r="N31" i="104"/>
  <c r="N32" i="104" s="1"/>
  <c r="M31" i="104"/>
  <c r="M32" i="104" s="1"/>
  <c r="L31" i="104"/>
  <c r="L32" i="104" s="1"/>
  <c r="K31" i="104"/>
  <c r="K32" i="104" s="1"/>
  <c r="J31" i="104"/>
  <c r="J32" i="104" s="1"/>
  <c r="I31" i="104"/>
  <c r="I32" i="104" s="1"/>
  <c r="H31" i="104"/>
  <c r="H32" i="104" s="1"/>
  <c r="G31" i="104"/>
  <c r="G32" i="104" s="1"/>
  <c r="F31" i="104"/>
  <c r="F32" i="104" s="1"/>
  <c r="E31" i="104"/>
  <c r="E32" i="104" s="1"/>
  <c r="D31" i="104"/>
  <c r="D32" i="104" s="1"/>
  <c r="N14" i="104"/>
  <c r="I14" i="104"/>
  <c r="N9" i="104"/>
  <c r="N10" i="104" s="1"/>
  <c r="M9" i="104"/>
  <c r="M10" i="104" s="1"/>
  <c r="L9" i="104"/>
  <c r="L10" i="104" s="1"/>
  <c r="K9" i="104"/>
  <c r="K10" i="104" s="1"/>
  <c r="J9" i="104"/>
  <c r="J10" i="104" s="1"/>
  <c r="I9" i="104"/>
  <c r="I10" i="104" s="1"/>
  <c r="H9" i="104"/>
  <c r="H10" i="104" s="1"/>
  <c r="G9" i="104"/>
  <c r="G10" i="104" s="1"/>
  <c r="F9" i="104"/>
  <c r="F10" i="104" s="1"/>
  <c r="E9" i="104"/>
  <c r="E10" i="104" s="1"/>
  <c r="D9" i="104"/>
  <c r="D10" i="104" s="1"/>
  <c r="C9" i="104"/>
  <c r="C10" i="104" s="1"/>
  <c r="D47" i="103"/>
  <c r="E47" i="103"/>
  <c r="F47" i="103"/>
  <c r="G47" i="103"/>
  <c r="H47" i="103"/>
  <c r="I47" i="103"/>
  <c r="J47" i="103"/>
  <c r="K47" i="103"/>
  <c r="L47" i="103"/>
  <c r="M47" i="103"/>
  <c r="N47" i="103"/>
  <c r="C47" i="103"/>
  <c r="D41" i="103"/>
  <c r="D42" i="103" s="1"/>
  <c r="E41" i="103"/>
  <c r="E42" i="103" s="1"/>
  <c r="F41" i="103"/>
  <c r="F42" i="103" s="1"/>
  <c r="G41" i="103"/>
  <c r="G42" i="103" s="1"/>
  <c r="H41" i="103"/>
  <c r="H42" i="103" s="1"/>
  <c r="I41" i="103"/>
  <c r="I42" i="103" s="1"/>
  <c r="J41" i="103"/>
  <c r="J42" i="103" s="1"/>
  <c r="K41" i="103"/>
  <c r="K42" i="103" s="1"/>
  <c r="L41" i="103"/>
  <c r="L42" i="103" s="1"/>
  <c r="M41" i="103"/>
  <c r="M42" i="103" s="1"/>
  <c r="N41" i="103"/>
  <c r="N42" i="103" s="1"/>
  <c r="D15" i="103"/>
  <c r="E15" i="103"/>
  <c r="F15" i="103"/>
  <c r="G15" i="103"/>
  <c r="H15" i="103"/>
  <c r="I15" i="103"/>
  <c r="J15" i="103"/>
  <c r="K15" i="103"/>
  <c r="L15" i="103"/>
  <c r="M15" i="103"/>
  <c r="N15" i="103"/>
  <c r="D9" i="103"/>
  <c r="D10" i="103" s="1"/>
  <c r="E9" i="103"/>
  <c r="E10" i="103" s="1"/>
  <c r="F9" i="103"/>
  <c r="F10" i="103" s="1"/>
  <c r="G9" i="103"/>
  <c r="G10" i="103" s="1"/>
  <c r="H9" i="103"/>
  <c r="H10" i="103" s="1"/>
  <c r="I9" i="103"/>
  <c r="I10" i="103" s="1"/>
  <c r="J9" i="103"/>
  <c r="J10" i="103" s="1"/>
  <c r="K9" i="103"/>
  <c r="K10" i="103" s="1"/>
  <c r="L9" i="103"/>
  <c r="L10" i="103" s="1"/>
  <c r="M9" i="103"/>
  <c r="M10" i="103" s="1"/>
  <c r="N9" i="103"/>
  <c r="N10" i="103" s="1"/>
  <c r="C9" i="103"/>
  <c r="C10" i="103" s="1"/>
  <c r="D5" i="102"/>
  <c r="G48" i="103" s="1"/>
  <c r="C5" i="102"/>
  <c r="J16" i="103" s="1"/>
  <c r="D17" i="99"/>
  <c r="C17" i="99"/>
  <c r="D10" i="99"/>
  <c r="C10" i="99"/>
  <c r="D40" i="104"/>
  <c r="E40" i="104"/>
  <c r="G40" i="104"/>
  <c r="H40" i="104"/>
  <c r="C7" i="102" l="1"/>
  <c r="F48" i="103"/>
  <c r="E48" i="103"/>
  <c r="I16" i="103"/>
  <c r="I17" i="103" s="1"/>
  <c r="I20" i="103" s="1"/>
  <c r="H16" i="103"/>
  <c r="G16" i="103"/>
  <c r="D48" i="103"/>
  <c r="E16" i="103"/>
  <c r="E17" i="103" s="1"/>
  <c r="E20" i="103" s="1"/>
  <c r="N48" i="103"/>
  <c r="N49" i="103" s="1"/>
  <c r="N52" i="103" s="1"/>
  <c r="N53" i="103" s="1"/>
  <c r="N54" i="103" s="1"/>
  <c r="M48" i="103"/>
  <c r="M49" i="103" s="1"/>
  <c r="M52" i="103" s="1"/>
  <c r="C16" i="103"/>
  <c r="C17" i="103" s="1"/>
  <c r="L48" i="103"/>
  <c r="F16" i="103"/>
  <c r="F17" i="103" s="1"/>
  <c r="F20" i="103" s="1"/>
  <c r="C48" i="103"/>
  <c r="C49" i="103" s="1"/>
  <c r="N16" i="103"/>
  <c r="K48" i="103"/>
  <c r="K49" i="103" s="1"/>
  <c r="D16" i="103"/>
  <c r="D17" i="103" s="1"/>
  <c r="M16" i="103"/>
  <c r="J48" i="103"/>
  <c r="L16" i="103"/>
  <c r="I48" i="103"/>
  <c r="K16" i="103"/>
  <c r="K17" i="103" s="1"/>
  <c r="K20" i="103" s="1"/>
  <c r="H48" i="103"/>
  <c r="G18" i="104"/>
  <c r="G24" i="104" s="1"/>
  <c r="G26" i="104" s="1"/>
  <c r="I40" i="104"/>
  <c r="J40" i="104"/>
  <c r="K40" i="104"/>
  <c r="F18" i="104"/>
  <c r="F24" i="104" s="1"/>
  <c r="F26" i="104" s="1"/>
  <c r="D18" i="104"/>
  <c r="D19" i="104" s="1"/>
  <c r="E18" i="104"/>
  <c r="E24" i="104" s="1"/>
  <c r="E26" i="104" s="1"/>
  <c r="I18" i="104"/>
  <c r="I24" i="104" s="1"/>
  <c r="I26" i="104" s="1"/>
  <c r="J18" i="104"/>
  <c r="J19" i="104" s="1"/>
  <c r="K18" i="104"/>
  <c r="K24" i="104" s="1"/>
  <c r="K26" i="104" s="1"/>
  <c r="L18" i="104"/>
  <c r="N40" i="104"/>
  <c r="N46" i="104" s="1"/>
  <c r="N48" i="104" s="1"/>
  <c r="M18" i="104"/>
  <c r="M24" i="104" s="1"/>
  <c r="M26" i="104" s="1"/>
  <c r="L40" i="104"/>
  <c r="M40" i="104"/>
  <c r="N18" i="104"/>
  <c r="C40" i="104"/>
  <c r="F40" i="104"/>
  <c r="F46" i="104" s="1"/>
  <c r="F48" i="104" s="1"/>
  <c r="H18" i="104"/>
  <c r="H19" i="104" s="1"/>
  <c r="O14" i="104"/>
  <c r="O13" i="104"/>
  <c r="O10" i="104"/>
  <c r="O9" i="104"/>
  <c r="L49" i="103"/>
  <c r="L52" i="103" s="1"/>
  <c r="C33" i="103"/>
  <c r="D33" i="103" s="1"/>
  <c r="E33" i="103" s="1"/>
  <c r="F33" i="103" s="1"/>
  <c r="G33" i="103" s="1"/>
  <c r="H33" i="103" s="1"/>
  <c r="I33" i="103" s="1"/>
  <c r="J33" i="103" s="1"/>
  <c r="K33" i="103" s="1"/>
  <c r="L33" i="103" s="1"/>
  <c r="M33" i="103" s="1"/>
  <c r="N33" i="103" s="1"/>
  <c r="J17" i="103"/>
  <c r="J20" i="103" s="1"/>
  <c r="O10" i="103"/>
  <c r="O9" i="103"/>
  <c r="C25" i="103" l="1"/>
  <c r="O17" i="103"/>
  <c r="C18" i="103"/>
  <c r="K52" i="103"/>
  <c r="K50" i="103"/>
  <c r="K57" i="103"/>
  <c r="K59" i="103" s="1"/>
  <c r="I49" i="103"/>
  <c r="J49" i="103"/>
  <c r="H49" i="103"/>
  <c r="H52" i="103" s="1"/>
  <c r="H17" i="103"/>
  <c r="H20" i="103" s="1"/>
  <c r="G49" i="103"/>
  <c r="G52" i="103" s="1"/>
  <c r="N57" i="103"/>
  <c r="N59" i="103" s="1"/>
  <c r="O12" i="104"/>
  <c r="N17" i="103"/>
  <c r="N20" i="103" s="1"/>
  <c r="N21" i="103" s="1"/>
  <c r="M17" i="103"/>
  <c r="M20" i="103" s="1"/>
  <c r="D20" i="103"/>
  <c r="M50" i="103"/>
  <c r="C18" i="104"/>
  <c r="C24" i="104" s="1"/>
  <c r="C26" i="104" s="1"/>
  <c r="M57" i="103"/>
  <c r="M59" i="103" s="1"/>
  <c r="D49" i="103"/>
  <c r="D52" i="103" s="1"/>
  <c r="E49" i="103"/>
  <c r="E52" i="103" s="1"/>
  <c r="F19" i="104"/>
  <c r="G17" i="103"/>
  <c r="G20" i="103" s="1"/>
  <c r="O44" i="103"/>
  <c r="F49" i="103"/>
  <c r="F52" i="103" s="1"/>
  <c r="D24" i="104"/>
  <c r="L24" i="104"/>
  <c r="L26" i="104" s="1"/>
  <c r="L19" i="104"/>
  <c r="L17" i="103"/>
  <c r="L20" i="103" s="1"/>
  <c r="N55" i="103"/>
  <c r="N43" i="104"/>
  <c r="L57" i="103"/>
  <c r="L59" i="103" s="1"/>
  <c r="E19" i="104"/>
  <c r="L50" i="103"/>
  <c r="O12" i="103"/>
  <c r="O34" i="104"/>
  <c r="I19" i="104"/>
  <c r="M19" i="104"/>
  <c r="J24" i="104"/>
  <c r="J26" i="104" s="1"/>
  <c r="H24" i="104"/>
  <c r="H26" i="104" s="1"/>
  <c r="N41" i="104"/>
  <c r="L46" i="104"/>
  <c r="L48" i="104" s="1"/>
  <c r="L41" i="104"/>
  <c r="I46" i="104"/>
  <c r="I48" i="104" s="1"/>
  <c r="F41" i="104"/>
  <c r="M46" i="104"/>
  <c r="M48" i="104" s="1"/>
  <c r="M41" i="104"/>
  <c r="G41" i="104"/>
  <c r="G46" i="104"/>
  <c r="G48" i="104" s="1"/>
  <c r="H41" i="104"/>
  <c r="H46" i="104"/>
  <c r="H48" i="104" s="1"/>
  <c r="K46" i="104"/>
  <c r="K48" i="104" s="1"/>
  <c r="K41" i="104"/>
  <c r="I41" i="104"/>
  <c r="O35" i="104"/>
  <c r="G19" i="104"/>
  <c r="K19" i="104"/>
  <c r="N50" i="103"/>
  <c r="D46" i="104"/>
  <c r="D48" i="104" s="1"/>
  <c r="D41" i="104"/>
  <c r="C46" i="104"/>
  <c r="O40" i="104"/>
  <c r="J46" i="104"/>
  <c r="J48" i="104" s="1"/>
  <c r="J41" i="104"/>
  <c r="N24" i="104"/>
  <c r="N26" i="104" s="1"/>
  <c r="N19" i="104"/>
  <c r="E46" i="104"/>
  <c r="E48" i="104" s="1"/>
  <c r="E41" i="104"/>
  <c r="M53" i="103"/>
  <c r="E25" i="103"/>
  <c r="E27" i="103" s="1"/>
  <c r="E18" i="103"/>
  <c r="I18" i="103"/>
  <c r="I25" i="103"/>
  <c r="I27" i="103" s="1"/>
  <c r="K18" i="103"/>
  <c r="K25" i="103"/>
  <c r="K27" i="103" s="1"/>
  <c r="F18" i="103"/>
  <c r="F25" i="103"/>
  <c r="F27" i="103" s="1"/>
  <c r="J18" i="103"/>
  <c r="J25" i="103"/>
  <c r="J27" i="103" s="1"/>
  <c r="N44" i="104" l="1"/>
  <c r="N59" i="104"/>
  <c r="J52" i="103"/>
  <c r="J50" i="103"/>
  <c r="J57" i="103"/>
  <c r="J59" i="103" s="1"/>
  <c r="I52" i="103"/>
  <c r="I57" i="103"/>
  <c r="I59" i="103" s="1"/>
  <c r="I50" i="103"/>
  <c r="G57" i="103"/>
  <c r="G59" i="103" s="1"/>
  <c r="G50" i="103"/>
  <c r="H50" i="103"/>
  <c r="H57" i="103"/>
  <c r="H59" i="103" s="1"/>
  <c r="H18" i="103"/>
  <c r="H25" i="103"/>
  <c r="H27" i="103" s="1"/>
  <c r="F57" i="103"/>
  <c r="F59" i="103" s="1"/>
  <c r="O18" i="104"/>
  <c r="O19" i="104" s="1"/>
  <c r="G18" i="103"/>
  <c r="G25" i="103"/>
  <c r="G27" i="103" s="1"/>
  <c r="N18" i="103"/>
  <c r="N25" i="103"/>
  <c r="N27" i="103" s="1"/>
  <c r="M25" i="103"/>
  <c r="M27" i="103" s="1"/>
  <c r="M18" i="103"/>
  <c r="D57" i="103"/>
  <c r="C20" i="103"/>
  <c r="N60" i="103"/>
  <c r="D25" i="103"/>
  <c r="D18" i="103"/>
  <c r="M21" i="103"/>
  <c r="L21" i="103" s="1"/>
  <c r="F50" i="103"/>
  <c r="E57" i="103"/>
  <c r="E59" i="103" s="1"/>
  <c r="E50" i="103"/>
  <c r="L25" i="103"/>
  <c r="L27" i="103" s="1"/>
  <c r="D50" i="103"/>
  <c r="L18" i="103"/>
  <c r="C19" i="104"/>
  <c r="C9" i="102"/>
  <c r="D7" i="102"/>
  <c r="D9" i="102" s="1"/>
  <c r="O24" i="104"/>
  <c r="O46" i="104"/>
  <c r="C48" i="104"/>
  <c r="M54" i="103"/>
  <c r="L53" i="103"/>
  <c r="N49" i="104" l="1"/>
  <c r="O18" i="103"/>
  <c r="C52" i="103"/>
  <c r="C57" i="103"/>
  <c r="C59" i="103" s="1"/>
  <c r="O49" i="103"/>
  <c r="O25" i="103"/>
  <c r="M55" i="103"/>
  <c r="M43" i="104"/>
  <c r="O48" i="104"/>
  <c r="L54" i="103"/>
  <c r="K53" i="103"/>
  <c r="K21" i="103"/>
  <c r="J21" i="103" s="1"/>
  <c r="I21" i="103" s="1"/>
  <c r="H21" i="103" s="1"/>
  <c r="G21" i="103" s="1"/>
  <c r="F21" i="103" s="1"/>
  <c r="E21" i="103" s="1"/>
  <c r="S41" i="93"/>
  <c r="S40" i="93"/>
  <c r="S39" i="93"/>
  <c r="S35" i="93"/>
  <c r="S34" i="93"/>
  <c r="S33" i="93"/>
  <c r="P41" i="93"/>
  <c r="P40" i="93"/>
  <c r="P39" i="93"/>
  <c r="P35" i="93"/>
  <c r="P34" i="93"/>
  <c r="P33" i="93"/>
  <c r="M41" i="93"/>
  <c r="M40" i="93"/>
  <c r="M39" i="93"/>
  <c r="M35" i="93"/>
  <c r="M34" i="93"/>
  <c r="M33" i="93"/>
  <c r="J41" i="93"/>
  <c r="J40" i="93"/>
  <c r="J39" i="93"/>
  <c r="J35" i="93"/>
  <c r="J34" i="93"/>
  <c r="J33" i="93"/>
  <c r="G41" i="93"/>
  <c r="G40" i="93"/>
  <c r="G39" i="93"/>
  <c r="G35" i="93"/>
  <c r="G34" i="93"/>
  <c r="G33" i="93"/>
  <c r="D41" i="93"/>
  <c r="D40" i="93"/>
  <c r="D39" i="93"/>
  <c r="D35" i="93"/>
  <c r="D34" i="93"/>
  <c r="D33" i="93"/>
  <c r="S17" i="93"/>
  <c r="S16" i="93"/>
  <c r="S15" i="93"/>
  <c r="S11" i="93"/>
  <c r="S10" i="93"/>
  <c r="S9" i="93"/>
  <c r="P17" i="93"/>
  <c r="P16" i="93"/>
  <c r="P15" i="93"/>
  <c r="P11" i="93"/>
  <c r="P10" i="93"/>
  <c r="P9" i="93"/>
  <c r="M17" i="93"/>
  <c r="M16" i="93"/>
  <c r="M15" i="93"/>
  <c r="M11" i="93"/>
  <c r="M10" i="93"/>
  <c r="M9" i="93"/>
  <c r="J17" i="93"/>
  <c r="J16" i="93"/>
  <c r="J15" i="93"/>
  <c r="J11" i="93"/>
  <c r="J10" i="93"/>
  <c r="J9" i="93"/>
  <c r="G17" i="93"/>
  <c r="G16" i="93"/>
  <c r="G15" i="93"/>
  <c r="G11" i="93"/>
  <c r="G10" i="93"/>
  <c r="G9" i="93"/>
  <c r="D16" i="93"/>
  <c r="D17" i="93"/>
  <c r="D15" i="93"/>
  <c r="D10" i="93"/>
  <c r="D11" i="93"/>
  <c r="D9" i="93"/>
  <c r="C50" i="92"/>
  <c r="C43" i="92"/>
  <c r="C36" i="92"/>
  <c r="C29" i="92"/>
  <c r="C22" i="92"/>
  <c r="C15" i="92"/>
  <c r="C8" i="92"/>
  <c r="N67" i="90"/>
  <c r="M68" i="90" s="1"/>
  <c r="N66" i="90" s="1"/>
  <c r="M67" i="90"/>
  <c r="L68" i="90" s="1"/>
  <c r="M66" i="90" s="1"/>
  <c r="L67" i="90"/>
  <c r="K68" i="90" s="1"/>
  <c r="K67" i="90"/>
  <c r="J68" i="90" s="1"/>
  <c r="J67" i="90"/>
  <c r="I68" i="90" s="1"/>
  <c r="I67" i="90"/>
  <c r="H68" i="90" s="1"/>
  <c r="H67" i="90"/>
  <c r="G68" i="90" s="1"/>
  <c r="G67" i="90"/>
  <c r="F68" i="90" s="1"/>
  <c r="G66" i="90" s="1"/>
  <c r="F67" i="90"/>
  <c r="E68" i="90" s="1"/>
  <c r="F66" i="90" s="1"/>
  <c r="E67" i="90"/>
  <c r="D68" i="90" s="1"/>
  <c r="E66" i="90" s="1"/>
  <c r="D67" i="90"/>
  <c r="C64" i="90"/>
  <c r="C63" i="90"/>
  <c r="C62" i="90"/>
  <c r="C66" i="90" s="1"/>
  <c r="N58" i="90"/>
  <c r="M59" i="90" s="1"/>
  <c r="M58" i="90"/>
  <c r="L59" i="90" s="1"/>
  <c r="L58" i="90"/>
  <c r="K59" i="90" s="1"/>
  <c r="K58" i="90"/>
  <c r="J59" i="90" s="1"/>
  <c r="J58" i="90"/>
  <c r="I59" i="90" s="1"/>
  <c r="I58" i="90"/>
  <c r="H58" i="90"/>
  <c r="G58" i="90"/>
  <c r="F59" i="90" s="1"/>
  <c r="G57" i="90" s="1"/>
  <c r="F58" i="90"/>
  <c r="E59" i="90" s="1"/>
  <c r="F57" i="90" s="1"/>
  <c r="E58" i="90"/>
  <c r="D59" i="90" s="1"/>
  <c r="E57" i="90" s="1"/>
  <c r="D58" i="90"/>
  <c r="C55" i="90"/>
  <c r="C54" i="90"/>
  <c r="C53" i="90"/>
  <c r="C57" i="90" s="1"/>
  <c r="D13" i="56"/>
  <c r="D29" i="56"/>
  <c r="G49" i="90"/>
  <c r="E16" i="91"/>
  <c r="E16" i="56" s="1"/>
  <c r="F16" i="56" s="1"/>
  <c r="E15" i="91"/>
  <c r="F15" i="91" s="1"/>
  <c r="E14" i="91"/>
  <c r="F14" i="91" s="1"/>
  <c r="E13" i="91"/>
  <c r="F13" i="91" s="1"/>
  <c r="E12" i="91"/>
  <c r="F12" i="91" s="1"/>
  <c r="E7" i="91"/>
  <c r="F7" i="91" s="1"/>
  <c r="E6" i="91"/>
  <c r="E6" i="56" s="1"/>
  <c r="F6" i="56" s="1"/>
  <c r="E5" i="91"/>
  <c r="F5" i="91" s="1"/>
  <c r="N49" i="90"/>
  <c r="M49" i="90"/>
  <c r="L49" i="90"/>
  <c r="K49" i="90"/>
  <c r="J49" i="90"/>
  <c r="I49" i="90"/>
  <c r="H49" i="90"/>
  <c r="F49" i="90"/>
  <c r="E49" i="90"/>
  <c r="D49" i="90"/>
  <c r="C46" i="90"/>
  <c r="C45" i="90"/>
  <c r="C44" i="90"/>
  <c r="C48" i="90" s="1"/>
  <c r="N40" i="90"/>
  <c r="M40" i="90"/>
  <c r="L40" i="90"/>
  <c r="K41" i="90" s="1"/>
  <c r="K40" i="90"/>
  <c r="J41" i="90" s="1"/>
  <c r="J40" i="90"/>
  <c r="I41" i="90" s="1"/>
  <c r="I40" i="90"/>
  <c r="H40" i="90"/>
  <c r="G40" i="90"/>
  <c r="F40" i="90"/>
  <c r="E40" i="90"/>
  <c r="D40" i="90"/>
  <c r="C37" i="90"/>
  <c r="C36" i="90"/>
  <c r="C35" i="90"/>
  <c r="C39" i="90" s="1"/>
  <c r="N31" i="90"/>
  <c r="M32" i="90" s="1"/>
  <c r="M31" i="90"/>
  <c r="L32" i="90" s="1"/>
  <c r="L31" i="90"/>
  <c r="K32" i="90" s="1"/>
  <c r="K31" i="90"/>
  <c r="J32" i="90" s="1"/>
  <c r="J31" i="90"/>
  <c r="I31" i="90"/>
  <c r="H31" i="90"/>
  <c r="G31" i="90"/>
  <c r="F31" i="90"/>
  <c r="E31" i="90"/>
  <c r="D31" i="90"/>
  <c r="C32" i="90" s="1"/>
  <c r="C28" i="90"/>
  <c r="C27" i="90"/>
  <c r="C26" i="90"/>
  <c r="C30" i="90" s="1"/>
  <c r="N22" i="90"/>
  <c r="M22" i="90"/>
  <c r="L22" i="90"/>
  <c r="K22" i="90"/>
  <c r="J22" i="90"/>
  <c r="I22" i="90"/>
  <c r="H22" i="90"/>
  <c r="G22" i="90"/>
  <c r="F22" i="90"/>
  <c r="E22" i="90"/>
  <c r="D22" i="90"/>
  <c r="C19" i="90"/>
  <c r="C18" i="90"/>
  <c r="C17" i="90"/>
  <c r="C21" i="90" s="1"/>
  <c r="D13" i="90"/>
  <c r="E13" i="90"/>
  <c r="F13" i="90"/>
  <c r="G13" i="90"/>
  <c r="H13" i="90"/>
  <c r="I13" i="90"/>
  <c r="J13" i="90"/>
  <c r="K13" i="90"/>
  <c r="L13" i="90"/>
  <c r="M13" i="90"/>
  <c r="N13" i="90"/>
  <c r="C10" i="90"/>
  <c r="C9" i="90"/>
  <c r="C8" i="90"/>
  <c r="C12" i="90" s="1"/>
  <c r="E15" i="56"/>
  <c r="F15" i="56" s="1"/>
  <c r="E14" i="56"/>
  <c r="E13" i="56"/>
  <c r="E12" i="56"/>
  <c r="F12" i="56" s="1"/>
  <c r="E7" i="56"/>
  <c r="F7" i="56" s="1"/>
  <c r="E5" i="56"/>
  <c r="F5" i="56" s="1"/>
  <c r="F13" i="56"/>
  <c r="F14" i="56"/>
  <c r="C25" i="89"/>
  <c r="C12" i="89"/>
  <c r="C23" i="89"/>
  <c r="K34" i="87"/>
  <c r="H34" i="87"/>
  <c r="R33" i="87"/>
  <c r="P32" i="87"/>
  <c r="R12" i="86"/>
  <c r="R11" i="86" s="1"/>
  <c r="S12" i="86"/>
  <c r="S11" i="86" s="1"/>
  <c r="Q11" i="86"/>
  <c r="E34" i="87" s="1"/>
  <c r="Q12" i="86"/>
  <c r="Q8" i="86"/>
  <c r="S7" i="86"/>
  <c r="R7" i="86"/>
  <c r="C10" i="89"/>
  <c r="F60" i="90" l="1"/>
  <c r="M44" i="104"/>
  <c r="M49" i="104" s="1"/>
  <c r="M59" i="104"/>
  <c r="D21" i="103"/>
  <c r="C21" i="103" s="1"/>
  <c r="E22" i="103"/>
  <c r="C23" i="90"/>
  <c r="D21" i="90" s="1"/>
  <c r="H14" i="90"/>
  <c r="L23" i="90"/>
  <c r="M21" i="90" s="1"/>
  <c r="M24" i="90" s="1"/>
  <c r="M19" i="92" s="1"/>
  <c r="M23" i="90"/>
  <c r="N21" i="90" s="1"/>
  <c r="C14" i="90"/>
  <c r="E32" i="87"/>
  <c r="E60" i="90"/>
  <c r="F69" i="90"/>
  <c r="C68" i="90"/>
  <c r="D66" i="90" s="1"/>
  <c r="D69" i="90" s="1"/>
  <c r="D54" i="92" s="1"/>
  <c r="E69" i="90"/>
  <c r="O57" i="103"/>
  <c r="M60" i="103"/>
  <c r="K33" i="87"/>
  <c r="L55" i="103"/>
  <c r="L43" i="104"/>
  <c r="J11" i="92"/>
  <c r="L18" i="92"/>
  <c r="K54" i="103"/>
  <c r="J53" i="103"/>
  <c r="M18" i="92"/>
  <c r="N18" i="92"/>
  <c r="J25" i="92"/>
  <c r="K25" i="92"/>
  <c r="L25" i="92"/>
  <c r="I25" i="92"/>
  <c r="M25" i="92"/>
  <c r="I39" i="92"/>
  <c r="C17" i="92"/>
  <c r="I53" i="92"/>
  <c r="J53" i="92"/>
  <c r="L53" i="92"/>
  <c r="F18" i="92"/>
  <c r="M53" i="92"/>
  <c r="G18" i="92"/>
  <c r="I46" i="92"/>
  <c r="K32" i="92"/>
  <c r="I18" i="92"/>
  <c r="L32" i="92"/>
  <c r="K46" i="92"/>
  <c r="J39" i="92"/>
  <c r="J18" i="92"/>
  <c r="M32" i="92"/>
  <c r="L46" i="92"/>
  <c r="E18" i="92"/>
  <c r="I32" i="92"/>
  <c r="J32" i="92"/>
  <c r="K18" i="92"/>
  <c r="N32" i="92"/>
  <c r="M46" i="92"/>
  <c r="K39" i="92"/>
  <c r="D18" i="92"/>
  <c r="K53" i="92"/>
  <c r="N53" i="92"/>
  <c r="H18" i="92"/>
  <c r="J46" i="92"/>
  <c r="N46" i="92"/>
  <c r="F54" i="92"/>
  <c r="E54" i="92"/>
  <c r="F53" i="92"/>
  <c r="G53" i="92"/>
  <c r="D53" i="92"/>
  <c r="E53" i="92"/>
  <c r="H53" i="92"/>
  <c r="F46" i="92"/>
  <c r="E47" i="92"/>
  <c r="C45" i="92"/>
  <c r="G46" i="92"/>
  <c r="F47" i="92"/>
  <c r="D46" i="92"/>
  <c r="E46" i="92"/>
  <c r="H46" i="92"/>
  <c r="M39" i="92"/>
  <c r="N39" i="92"/>
  <c r="D39" i="92"/>
  <c r="E39" i="92"/>
  <c r="L39" i="92"/>
  <c r="F39" i="92"/>
  <c r="C38" i="92"/>
  <c r="G39" i="92"/>
  <c r="H39" i="92"/>
  <c r="D32" i="92"/>
  <c r="E32" i="92"/>
  <c r="F32" i="92"/>
  <c r="C31" i="92"/>
  <c r="G32" i="92"/>
  <c r="H32" i="92"/>
  <c r="N25" i="92"/>
  <c r="D25" i="92"/>
  <c r="E25" i="92"/>
  <c r="F25" i="92"/>
  <c r="C24" i="92"/>
  <c r="G25" i="92"/>
  <c r="H25" i="92"/>
  <c r="I11" i="92"/>
  <c r="F11" i="92"/>
  <c r="E11" i="92"/>
  <c r="G11" i="92"/>
  <c r="H11" i="92"/>
  <c r="N11" i="92"/>
  <c r="M11" i="92"/>
  <c r="L11" i="92"/>
  <c r="K11" i="92"/>
  <c r="D11" i="92"/>
  <c r="C10" i="92"/>
  <c r="H66" i="90"/>
  <c r="H69" i="90" s="1"/>
  <c r="H54" i="92" s="1"/>
  <c r="G69" i="90"/>
  <c r="G54" i="92" s="1"/>
  <c r="I66" i="90"/>
  <c r="I69" i="90" s="1"/>
  <c r="I54" i="92" s="1"/>
  <c r="J66" i="90"/>
  <c r="K66" i="90"/>
  <c r="J69" i="90"/>
  <c r="J54" i="92" s="1"/>
  <c r="L66" i="90"/>
  <c r="L69" i="90" s="1"/>
  <c r="L54" i="92" s="1"/>
  <c r="K69" i="90"/>
  <c r="K54" i="92" s="1"/>
  <c r="M69" i="90"/>
  <c r="M54" i="92" s="1"/>
  <c r="H59" i="90"/>
  <c r="I57" i="90" s="1"/>
  <c r="I60" i="90" s="1"/>
  <c r="I47" i="92" s="1"/>
  <c r="C59" i="90"/>
  <c r="D57" i="90" s="1"/>
  <c r="D60" i="90" s="1"/>
  <c r="D47" i="92" s="1"/>
  <c r="J57" i="90"/>
  <c r="J60" i="90" s="1"/>
  <c r="J47" i="92" s="1"/>
  <c r="K57" i="90"/>
  <c r="K60" i="90" s="1"/>
  <c r="K47" i="92" s="1"/>
  <c r="L57" i="90"/>
  <c r="M57" i="90"/>
  <c r="M60" i="90" s="1"/>
  <c r="M47" i="92" s="1"/>
  <c r="L60" i="90"/>
  <c r="L47" i="92" s="1"/>
  <c r="N57" i="90"/>
  <c r="G59" i="90"/>
  <c r="F6" i="91"/>
  <c r="F8" i="91"/>
  <c r="F16" i="91"/>
  <c r="F17" i="91" s="1"/>
  <c r="F17" i="56"/>
  <c r="L41" i="90"/>
  <c r="M39" i="90" s="1"/>
  <c r="D50" i="90"/>
  <c r="E48" i="90" s="1"/>
  <c r="F32" i="90"/>
  <c r="G30" i="90" s="1"/>
  <c r="G23" i="90"/>
  <c r="G32" i="90"/>
  <c r="H30" i="90" s="1"/>
  <c r="G41" i="90"/>
  <c r="H39" i="90" s="1"/>
  <c r="C50" i="90"/>
  <c r="D48" i="90" s="1"/>
  <c r="E50" i="90"/>
  <c r="F48" i="90" s="1"/>
  <c r="C41" i="90"/>
  <c r="D39" i="90" s="1"/>
  <c r="D23" i="90"/>
  <c r="E21" i="90" s="1"/>
  <c r="I50" i="90"/>
  <c r="J48" i="90" s="1"/>
  <c r="E41" i="90"/>
  <c r="F39" i="90" s="1"/>
  <c r="F23" i="90"/>
  <c r="G21" i="90" s="1"/>
  <c r="H32" i="90"/>
  <c r="I30" i="90" s="1"/>
  <c r="H41" i="90"/>
  <c r="I39" i="90" s="1"/>
  <c r="I42" i="90" s="1"/>
  <c r="I33" i="92" s="1"/>
  <c r="D41" i="90"/>
  <c r="E39" i="90" s="1"/>
  <c r="F41" i="90"/>
  <c r="G39" i="90" s="1"/>
  <c r="J50" i="90"/>
  <c r="K48" i="90" s="1"/>
  <c r="K50" i="90"/>
  <c r="L48" i="90" s="1"/>
  <c r="L50" i="90"/>
  <c r="M48" i="90" s="1"/>
  <c r="M50" i="90"/>
  <c r="N48" i="90" s="1"/>
  <c r="H50" i="90"/>
  <c r="I48" i="90" s="1"/>
  <c r="F50" i="90"/>
  <c r="G50" i="90"/>
  <c r="I23" i="90"/>
  <c r="J21" i="90" s="1"/>
  <c r="M41" i="90"/>
  <c r="N39" i="90" s="1"/>
  <c r="J39" i="90"/>
  <c r="J42" i="90" s="1"/>
  <c r="J33" i="92" s="1"/>
  <c r="L39" i="90"/>
  <c r="K39" i="90"/>
  <c r="K42" i="90" s="1"/>
  <c r="K33" i="92" s="1"/>
  <c r="K23" i="90"/>
  <c r="L21" i="90" s="1"/>
  <c r="L24" i="90" s="1"/>
  <c r="L19" i="92" s="1"/>
  <c r="E23" i="90"/>
  <c r="F21" i="90" s="1"/>
  <c r="E32" i="90"/>
  <c r="F30" i="90" s="1"/>
  <c r="H23" i="90"/>
  <c r="I21" i="90" s="1"/>
  <c r="J23" i="90"/>
  <c r="D32" i="90"/>
  <c r="E30" i="90" s="1"/>
  <c r="D30" i="90"/>
  <c r="D33" i="90" s="1"/>
  <c r="D26" i="92" s="1"/>
  <c r="K30" i="90"/>
  <c r="K33" i="90" s="1"/>
  <c r="K26" i="92" s="1"/>
  <c r="L30" i="90"/>
  <c r="L33" i="90" s="1"/>
  <c r="L26" i="92" s="1"/>
  <c r="M30" i="90"/>
  <c r="M33" i="90" s="1"/>
  <c r="M26" i="92" s="1"/>
  <c r="N30" i="90"/>
  <c r="I32" i="90"/>
  <c r="F8" i="56"/>
  <c r="K13" i="77"/>
  <c r="K6" i="77"/>
  <c r="K53" i="53" s="1"/>
  <c r="N5" i="52"/>
  <c r="R14" i="87"/>
  <c r="R32" i="87" s="1"/>
  <c r="K32" i="87" s="1"/>
  <c r="P15" i="87"/>
  <c r="P33" i="87" s="1"/>
  <c r="E33" i="87" s="1"/>
  <c r="R7" i="87"/>
  <c r="R6" i="87"/>
  <c r="Q7" i="87"/>
  <c r="Q15" i="87" s="1"/>
  <c r="Q33" i="87" s="1"/>
  <c r="H33" i="87" s="1"/>
  <c r="Q6" i="87"/>
  <c r="Q14" i="87" s="1"/>
  <c r="Q32" i="87" s="1"/>
  <c r="H32" i="87" s="1"/>
  <c r="P7" i="87"/>
  <c r="P6" i="87"/>
  <c r="J7" i="87"/>
  <c r="J15" i="87" s="1"/>
  <c r="J33" i="87" s="1"/>
  <c r="J6" i="87"/>
  <c r="J14" i="87" s="1"/>
  <c r="J32" i="87" s="1"/>
  <c r="G7" i="87"/>
  <c r="G15" i="87" s="1"/>
  <c r="G33" i="87" s="1"/>
  <c r="G6" i="87"/>
  <c r="G14" i="87" s="1"/>
  <c r="G32" i="87" s="1"/>
  <c r="D7" i="87"/>
  <c r="D15" i="87" s="1"/>
  <c r="D33" i="87" s="1"/>
  <c r="D6" i="87"/>
  <c r="D14" i="87" s="1"/>
  <c r="D32" i="87" s="1"/>
  <c r="L8" i="86"/>
  <c r="N7" i="86"/>
  <c r="H19" i="86"/>
  <c r="G20" i="86"/>
  <c r="L20" i="86" s="1"/>
  <c r="C28" i="85"/>
  <c r="C40" i="85"/>
  <c r="D40" i="85"/>
  <c r="B40" i="85"/>
  <c r="D19" i="86"/>
  <c r="E19" i="86"/>
  <c r="I19" i="86" s="1"/>
  <c r="D20" i="86"/>
  <c r="H20" i="86" s="1"/>
  <c r="M20" i="86" s="1"/>
  <c r="E20" i="86"/>
  <c r="I20" i="86" s="1"/>
  <c r="N20" i="86" s="1"/>
  <c r="D21" i="86"/>
  <c r="H21" i="86" s="1"/>
  <c r="M21" i="86" s="1"/>
  <c r="E21" i="86"/>
  <c r="I21" i="86" s="1"/>
  <c r="C20" i="86"/>
  <c r="C21" i="86"/>
  <c r="G21" i="86" s="1"/>
  <c r="L21" i="86" s="1"/>
  <c r="C19" i="86"/>
  <c r="G19" i="86" s="1"/>
  <c r="E14" i="86"/>
  <c r="I14" i="86" s="1"/>
  <c r="C14" i="86"/>
  <c r="C12" i="86"/>
  <c r="C8" i="86"/>
  <c r="G8" i="86" s="1"/>
  <c r="E25" i="85"/>
  <c r="C20" i="85"/>
  <c r="C22" i="85" s="1"/>
  <c r="D8" i="86" s="1"/>
  <c r="B24" i="85"/>
  <c r="B20" i="85" s="1"/>
  <c r="B21" i="85" s="1"/>
  <c r="B30" i="85"/>
  <c r="C55" i="85"/>
  <c r="D55" i="85"/>
  <c r="B55" i="85"/>
  <c r="D20" i="85"/>
  <c r="E7" i="86" s="1"/>
  <c r="I7" i="86" s="1"/>
  <c r="D22" i="85"/>
  <c r="E8" i="86" s="1"/>
  <c r="I8" i="86" s="1"/>
  <c r="N8" i="86" s="1"/>
  <c r="B38" i="85"/>
  <c r="E43" i="85"/>
  <c r="C24" i="85"/>
  <c r="C43" i="85" s="1"/>
  <c r="E38" i="85"/>
  <c r="E44" i="85" s="1"/>
  <c r="E26" i="85"/>
  <c r="F12" i="86" s="1"/>
  <c r="L44" i="104" l="1"/>
  <c r="L49" i="104" s="1"/>
  <c r="L59" i="104"/>
  <c r="L60" i="103"/>
  <c r="B5" i="77"/>
  <c r="F5" i="77"/>
  <c r="J12" i="77"/>
  <c r="C14" i="77"/>
  <c r="I7" i="77"/>
  <c r="D14" i="77"/>
  <c r="B7" i="77"/>
  <c r="M7" i="77"/>
  <c r="L7" i="77"/>
  <c r="K7" i="77"/>
  <c r="K55" i="103"/>
  <c r="K43" i="104"/>
  <c r="D51" i="90"/>
  <c r="D40" i="92" s="1"/>
  <c r="L42" i="90"/>
  <c r="L33" i="92" s="1"/>
  <c r="J54" i="103"/>
  <c r="I53" i="103"/>
  <c r="J59" i="92"/>
  <c r="F59" i="92"/>
  <c r="M59" i="92"/>
  <c r="I59" i="92"/>
  <c r="N59" i="92"/>
  <c r="H59" i="92"/>
  <c r="C58" i="92"/>
  <c r="D59" i="92"/>
  <c r="G59" i="92"/>
  <c r="K59" i="92"/>
  <c r="L59" i="92"/>
  <c r="E59" i="92"/>
  <c r="H57" i="90"/>
  <c r="H60" i="90" s="1"/>
  <c r="H47" i="92" s="1"/>
  <c r="G60" i="90"/>
  <c r="K51" i="90"/>
  <c r="K40" i="92" s="1"/>
  <c r="G33" i="90"/>
  <c r="G26" i="92" s="1"/>
  <c r="J51" i="90"/>
  <c r="J40" i="92" s="1"/>
  <c r="F42" i="90"/>
  <c r="F33" i="92" s="1"/>
  <c r="I51" i="90"/>
  <c r="I40" i="92" s="1"/>
  <c r="E24" i="90"/>
  <c r="E19" i="92" s="1"/>
  <c r="I24" i="90"/>
  <c r="I19" i="92" s="1"/>
  <c r="E42" i="90"/>
  <c r="E33" i="92" s="1"/>
  <c r="F33" i="90"/>
  <c r="F26" i="92" s="1"/>
  <c r="L51" i="90"/>
  <c r="L40" i="92" s="1"/>
  <c r="H33" i="90"/>
  <c r="H26" i="92" s="1"/>
  <c r="D24" i="90"/>
  <c r="D19" i="92" s="1"/>
  <c r="H42" i="90"/>
  <c r="H33" i="92" s="1"/>
  <c r="D42" i="90"/>
  <c r="D33" i="92" s="1"/>
  <c r="F24" i="90"/>
  <c r="F19" i="92" s="1"/>
  <c r="M42" i="90"/>
  <c r="M33" i="92" s="1"/>
  <c r="G42" i="90"/>
  <c r="G33" i="92" s="1"/>
  <c r="E51" i="90"/>
  <c r="E40" i="92" s="1"/>
  <c r="M51" i="90"/>
  <c r="M40" i="92" s="1"/>
  <c r="G48" i="90"/>
  <c r="G51" i="90" s="1"/>
  <c r="G40" i="92" s="1"/>
  <c r="F51" i="90"/>
  <c r="F40" i="92" s="1"/>
  <c r="J24" i="90"/>
  <c r="J19" i="92" s="1"/>
  <c r="H48" i="90"/>
  <c r="H51" i="90" s="1"/>
  <c r="H40" i="92" s="1"/>
  <c r="K21" i="90"/>
  <c r="K24" i="90" s="1"/>
  <c r="K19" i="92" s="1"/>
  <c r="E33" i="90"/>
  <c r="E26" i="92" s="1"/>
  <c r="I33" i="90"/>
  <c r="I26" i="92" s="1"/>
  <c r="J30" i="90"/>
  <c r="J33" i="90" s="1"/>
  <c r="J26" i="92" s="1"/>
  <c r="G24" i="90"/>
  <c r="G19" i="92" s="1"/>
  <c r="H21" i="90"/>
  <c r="H24" i="90" s="1"/>
  <c r="H19" i="92" s="1"/>
  <c r="I11" i="86"/>
  <c r="N14" i="86"/>
  <c r="L19" i="86"/>
  <c r="J21" i="86"/>
  <c r="O21" i="86" s="1"/>
  <c r="N21" i="86"/>
  <c r="N19" i="86"/>
  <c r="R8" i="86"/>
  <c r="R9" i="86" s="1"/>
  <c r="M19" i="86"/>
  <c r="B6" i="77"/>
  <c r="B53" i="53" s="1"/>
  <c r="J6" i="77"/>
  <c r="J53" i="53" s="1"/>
  <c r="E5" i="77"/>
  <c r="I12" i="77"/>
  <c r="I6" i="77"/>
  <c r="I53" i="53" s="1"/>
  <c r="D5" i="77"/>
  <c r="M13" i="77"/>
  <c r="H12" i="77"/>
  <c r="H6" i="77"/>
  <c r="H53" i="53" s="1"/>
  <c r="C5" i="77"/>
  <c r="L13" i="77"/>
  <c r="G12" i="77"/>
  <c r="B12" i="77"/>
  <c r="F6" i="77"/>
  <c r="F53" i="53" s="1"/>
  <c r="J7" i="77"/>
  <c r="E6" i="77"/>
  <c r="E53" i="53" s="1"/>
  <c r="B14" i="77"/>
  <c r="I13" i="77"/>
  <c r="D12" i="77"/>
  <c r="H7" i="77"/>
  <c r="C6" i="77"/>
  <c r="C53" i="53" s="1"/>
  <c r="L14" i="77"/>
  <c r="G13" i="77"/>
  <c r="G7" i="77"/>
  <c r="B13" i="77"/>
  <c r="C12" i="77"/>
  <c r="K14" i="77"/>
  <c r="F7" i="77"/>
  <c r="L5" i="77"/>
  <c r="J14" i="77"/>
  <c r="E13" i="77"/>
  <c r="G6" i="77"/>
  <c r="G53" i="53" s="1"/>
  <c r="H13" i="77"/>
  <c r="D13" i="77"/>
  <c r="F12" i="77"/>
  <c r="M14" i="77"/>
  <c r="M5" i="77"/>
  <c r="E7" i="77"/>
  <c r="D7" i="77"/>
  <c r="J5" i="77"/>
  <c r="H14" i="77"/>
  <c r="C13" i="77"/>
  <c r="E12" i="77"/>
  <c r="D6" i="77"/>
  <c r="D53" i="53" s="1"/>
  <c r="K5" i="77"/>
  <c r="I5" i="77"/>
  <c r="G14" i="77"/>
  <c r="M12" i="77"/>
  <c r="J13" i="77"/>
  <c r="F13" i="77"/>
  <c r="I14" i="77"/>
  <c r="C7" i="77"/>
  <c r="M6" i="77"/>
  <c r="M53" i="53" s="1"/>
  <c r="H5" i="77"/>
  <c r="F14" i="77"/>
  <c r="L12" i="77"/>
  <c r="L6" i="77"/>
  <c r="L53" i="53" s="1"/>
  <c r="G5" i="77"/>
  <c r="E14" i="77"/>
  <c r="K12" i="77"/>
  <c r="D14" i="86"/>
  <c r="C11" i="86"/>
  <c r="E8" i="87" s="1"/>
  <c r="E7" i="87" s="1"/>
  <c r="D16" i="86"/>
  <c r="C30" i="85"/>
  <c r="D11" i="86"/>
  <c r="H8" i="87" s="1"/>
  <c r="H7" i="87" s="1"/>
  <c r="F14" i="86"/>
  <c r="E16" i="86"/>
  <c r="C7" i="86"/>
  <c r="G7" i="86" s="1"/>
  <c r="L7" i="86" s="1"/>
  <c r="D7" i="86"/>
  <c r="H7" i="86" s="1"/>
  <c r="G22" i="86"/>
  <c r="I22" i="86"/>
  <c r="G9" i="86"/>
  <c r="H22" i="86"/>
  <c r="E22" i="86"/>
  <c r="D22" i="86"/>
  <c r="D24" i="86" s="1"/>
  <c r="C22" i="86"/>
  <c r="C24" i="86" s="1"/>
  <c r="F21" i="86"/>
  <c r="F20" i="86"/>
  <c r="I16" i="86"/>
  <c r="J19" i="86"/>
  <c r="I9" i="86"/>
  <c r="J20" i="86"/>
  <c r="D15" i="86"/>
  <c r="F19" i="86"/>
  <c r="E9" i="86"/>
  <c r="C16" i="86"/>
  <c r="G16" i="86" s="1"/>
  <c r="C15" i="86"/>
  <c r="G15" i="86" s="1"/>
  <c r="L15" i="86" s="1"/>
  <c r="F8" i="86"/>
  <c r="C29" i="85"/>
  <c r="D24" i="85"/>
  <c r="E11" i="86" s="1"/>
  <c r="G20" i="85"/>
  <c r="G21" i="85" s="1"/>
  <c r="D26" i="85"/>
  <c r="E12" i="86" s="1"/>
  <c r="B43" i="85"/>
  <c r="B29" i="85"/>
  <c r="B44" i="85"/>
  <c r="C44" i="85"/>
  <c r="C26" i="85"/>
  <c r="D12" i="86" s="1"/>
  <c r="H12" i="86" s="1"/>
  <c r="M12" i="86" s="1"/>
  <c r="O16" i="89" l="1"/>
  <c r="K44" i="104"/>
  <c r="K59" i="104"/>
  <c r="K60" i="103"/>
  <c r="E6" i="87"/>
  <c r="H6" i="87"/>
  <c r="C6" i="87"/>
  <c r="F7" i="87"/>
  <c r="F6" i="87"/>
  <c r="J55" i="103"/>
  <c r="J43" i="104"/>
  <c r="G47" i="92"/>
  <c r="I54" i="103"/>
  <c r="H53" i="103"/>
  <c r="C7" i="87"/>
  <c r="L22" i="86"/>
  <c r="M22" i="86"/>
  <c r="I24" i="86"/>
  <c r="N24" i="86" s="1"/>
  <c r="N22" i="86"/>
  <c r="O20" i="86"/>
  <c r="E15" i="86"/>
  <c r="N15" i="86" s="1"/>
  <c r="K8" i="87"/>
  <c r="N9" i="86"/>
  <c r="O19" i="86"/>
  <c r="G14" i="86"/>
  <c r="L14" i="86" s="1"/>
  <c r="L16" i="86"/>
  <c r="N16" i="86"/>
  <c r="N34" i="87"/>
  <c r="H8" i="86"/>
  <c r="M7" i="86"/>
  <c r="I12" i="86"/>
  <c r="N12" i="86" s="1"/>
  <c r="N11" i="86"/>
  <c r="K16" i="87"/>
  <c r="G11" i="86"/>
  <c r="E24" i="86"/>
  <c r="H11" i="86"/>
  <c r="J8" i="86"/>
  <c r="O8" i="86" s="1"/>
  <c r="S8" i="86" s="1"/>
  <c r="H14" i="86"/>
  <c r="H15" i="86" s="1"/>
  <c r="M15" i="86" s="1"/>
  <c r="F11" i="86"/>
  <c r="F15" i="86" s="1"/>
  <c r="F7" i="86"/>
  <c r="F9" i="86" s="1"/>
  <c r="F16" i="86"/>
  <c r="F22" i="86"/>
  <c r="F24" i="86" s="1"/>
  <c r="H24" i="86"/>
  <c r="M24" i="86" s="1"/>
  <c r="J7" i="86"/>
  <c r="D9" i="86"/>
  <c r="C9" i="86"/>
  <c r="L9" i="86" s="1"/>
  <c r="J22" i="86"/>
  <c r="O22" i="86" s="1"/>
  <c r="D25" i="85"/>
  <c r="D29" i="85"/>
  <c r="D43" i="85"/>
  <c r="D44" i="85"/>
  <c r="J44" i="104" l="1"/>
  <c r="J59" i="104"/>
  <c r="K49" i="104"/>
  <c r="J60" i="103"/>
  <c r="K27" i="87"/>
  <c r="I55" i="103"/>
  <c r="I43" i="104"/>
  <c r="H54" i="103"/>
  <c r="G53" i="103"/>
  <c r="G12" i="86"/>
  <c r="L12" i="86" s="1"/>
  <c r="E16" i="87"/>
  <c r="L11" i="86"/>
  <c r="K6" i="87"/>
  <c r="N8" i="87"/>
  <c r="K7" i="87"/>
  <c r="I32" i="87"/>
  <c r="I33" i="87"/>
  <c r="K14" i="87"/>
  <c r="K15" i="87"/>
  <c r="J11" i="86"/>
  <c r="Q9" i="86"/>
  <c r="T7" i="86"/>
  <c r="H9" i="86"/>
  <c r="M9" i="86" s="1"/>
  <c r="M8" i="86"/>
  <c r="J9" i="86"/>
  <c r="O9" i="86" s="1"/>
  <c r="O7" i="86"/>
  <c r="S9" i="86" s="1"/>
  <c r="H16" i="87"/>
  <c r="M11" i="86"/>
  <c r="H16" i="86"/>
  <c r="M16" i="86" s="1"/>
  <c r="M14" i="86"/>
  <c r="G24" i="86"/>
  <c r="L24" i="86" s="1"/>
  <c r="J14" i="86"/>
  <c r="J49" i="104" l="1"/>
  <c r="I44" i="104"/>
  <c r="I59" i="104"/>
  <c r="I60" i="103"/>
  <c r="H27" i="87"/>
  <c r="E27" i="87"/>
  <c r="I15" i="87"/>
  <c r="K17" i="52" s="1"/>
  <c r="K26" i="87"/>
  <c r="I14" i="87"/>
  <c r="H10" i="52" s="1"/>
  <c r="K21" i="87"/>
  <c r="Q17" i="52"/>
  <c r="R17" i="52"/>
  <c r="S17" i="52"/>
  <c r="P17" i="52"/>
  <c r="Q10" i="52"/>
  <c r="S10" i="52"/>
  <c r="R10" i="52"/>
  <c r="P10" i="52"/>
  <c r="H55" i="103"/>
  <c r="H43" i="104"/>
  <c r="G54" i="103"/>
  <c r="F53" i="103"/>
  <c r="H17" i="52"/>
  <c r="I17" i="52"/>
  <c r="B17" i="52"/>
  <c r="M17" i="52"/>
  <c r="G17" i="52"/>
  <c r="J17" i="52"/>
  <c r="E17" i="52"/>
  <c r="F17" i="52"/>
  <c r="I7" i="87"/>
  <c r="L7" i="87" s="1"/>
  <c r="N7" i="87"/>
  <c r="O11" i="86"/>
  <c r="J12" i="86"/>
  <c r="O12" i="86" s="1"/>
  <c r="F32" i="87"/>
  <c r="H14" i="87"/>
  <c r="H15" i="87"/>
  <c r="F33" i="87"/>
  <c r="J15" i="86"/>
  <c r="O15" i="86" s="1"/>
  <c r="I6" i="87"/>
  <c r="L6" i="87" s="1"/>
  <c r="N6" i="87"/>
  <c r="J24" i="86"/>
  <c r="O24" i="86" s="1"/>
  <c r="J16" i="86"/>
  <c r="O16" i="86" s="1"/>
  <c r="O14" i="86"/>
  <c r="T8" i="86"/>
  <c r="T9" i="86" s="1"/>
  <c r="N16" i="87"/>
  <c r="E14" i="87"/>
  <c r="E19" i="87" s="1"/>
  <c r="E21" i="87" s="1"/>
  <c r="E15" i="87"/>
  <c r="E24" i="87" s="1"/>
  <c r="E26" i="87" s="1"/>
  <c r="H44" i="104" l="1"/>
  <c r="H49" i="104" s="1"/>
  <c r="H59" i="104"/>
  <c r="I49" i="104"/>
  <c r="H60" i="103"/>
  <c r="F10" i="52"/>
  <c r="D10" i="52"/>
  <c r="B10" i="52"/>
  <c r="E10" i="52"/>
  <c r="C10" i="52"/>
  <c r="G10" i="52"/>
  <c r="M10" i="52"/>
  <c r="I10" i="52"/>
  <c r="N27" i="87"/>
  <c r="L10" i="52"/>
  <c r="L17" i="52"/>
  <c r="K10" i="52"/>
  <c r="D17" i="52"/>
  <c r="C17" i="52"/>
  <c r="J10" i="52"/>
  <c r="F15" i="87"/>
  <c r="I16" i="52" s="1"/>
  <c r="H26" i="87"/>
  <c r="F14" i="87"/>
  <c r="B9" i="52" s="1"/>
  <c r="B52" i="53" s="1"/>
  <c r="H21" i="87"/>
  <c r="R9" i="52"/>
  <c r="P9" i="52"/>
  <c r="Q9" i="52"/>
  <c r="S9" i="52"/>
  <c r="Q16" i="52"/>
  <c r="R16" i="52"/>
  <c r="S16" i="52"/>
  <c r="P16" i="52"/>
  <c r="G55" i="103"/>
  <c r="G43" i="104"/>
  <c r="F54" i="103"/>
  <c r="E53" i="103"/>
  <c r="C15" i="87"/>
  <c r="N15" i="87"/>
  <c r="C32" i="87"/>
  <c r="N32" i="87"/>
  <c r="C33" i="87"/>
  <c r="N33" i="87"/>
  <c r="N14" i="87"/>
  <c r="C14" i="87"/>
  <c r="S7" i="87"/>
  <c r="M7" i="87"/>
  <c r="S6" i="87"/>
  <c r="M6" i="87"/>
  <c r="N26" i="87" l="1"/>
  <c r="G44" i="104"/>
  <c r="G59" i="104"/>
  <c r="G60" i="103"/>
  <c r="H16" i="52"/>
  <c r="F16" i="52"/>
  <c r="E16" i="52"/>
  <c r="C16" i="52"/>
  <c r="F9" i="52"/>
  <c r="F52" i="53" s="1"/>
  <c r="F54" i="53" s="1"/>
  <c r="K9" i="52"/>
  <c r="K52" i="53" s="1"/>
  <c r="K54" i="53" s="1"/>
  <c r="C9" i="52"/>
  <c r="C52" i="53" s="1"/>
  <c r="C54" i="53" s="1"/>
  <c r="B16" i="52"/>
  <c r="L16" i="52"/>
  <c r="H9" i="52"/>
  <c r="H52" i="53" s="1"/>
  <c r="H54" i="53" s="1"/>
  <c r="D16" i="52"/>
  <c r="D9" i="52"/>
  <c r="D52" i="53" s="1"/>
  <c r="D54" i="53" s="1"/>
  <c r="G16" i="52"/>
  <c r="J9" i="52"/>
  <c r="J52" i="53" s="1"/>
  <c r="J54" i="53" s="1"/>
  <c r="M16" i="52"/>
  <c r="L9" i="52"/>
  <c r="L52" i="53" s="1"/>
  <c r="L54" i="53" s="1"/>
  <c r="J16" i="52"/>
  <c r="M9" i="52"/>
  <c r="M52" i="53" s="1"/>
  <c r="M54" i="53" s="1"/>
  <c r="I9" i="52"/>
  <c r="I52" i="53" s="1"/>
  <c r="I54" i="53" s="1"/>
  <c r="K16" i="52"/>
  <c r="S14" i="87"/>
  <c r="N21" i="87"/>
  <c r="G9" i="52"/>
  <c r="G52" i="53" s="1"/>
  <c r="G54" i="53" s="1"/>
  <c r="E9" i="52"/>
  <c r="E52" i="53" s="1"/>
  <c r="E54" i="53" s="1"/>
  <c r="L33" i="87"/>
  <c r="M33" i="87" s="1"/>
  <c r="Q15" i="52"/>
  <c r="Q18" i="52" s="1"/>
  <c r="R26" i="89" s="1"/>
  <c r="R15" i="52"/>
  <c r="R18" i="52" s="1"/>
  <c r="S26" i="89" s="1"/>
  <c r="S15" i="52"/>
  <c r="S18" i="52" s="1"/>
  <c r="T26" i="89" s="1"/>
  <c r="P15" i="52"/>
  <c r="P18" i="52" s="1"/>
  <c r="Q26" i="89" s="1"/>
  <c r="L32" i="87"/>
  <c r="M32" i="87" s="1"/>
  <c r="P8" i="52"/>
  <c r="P11" i="52" s="1"/>
  <c r="Q13" i="89" s="1"/>
  <c r="Q8" i="52"/>
  <c r="Q11" i="52" s="1"/>
  <c r="R13" i="89" s="1"/>
  <c r="S8" i="52"/>
  <c r="S11" i="52" s="1"/>
  <c r="T13" i="89" s="1"/>
  <c r="R8" i="52"/>
  <c r="R11" i="52" s="1"/>
  <c r="S13" i="89" s="1"/>
  <c r="F55" i="103"/>
  <c r="F43" i="104"/>
  <c r="E54" i="103"/>
  <c r="D53" i="103"/>
  <c r="B54" i="53"/>
  <c r="S33" i="87"/>
  <c r="S32" i="87"/>
  <c r="S15" i="87"/>
  <c r="T11" i="86"/>
  <c r="I8" i="52"/>
  <c r="K8" i="52"/>
  <c r="J8" i="52"/>
  <c r="B8" i="52"/>
  <c r="C8" i="52"/>
  <c r="D8" i="52"/>
  <c r="L14" i="87"/>
  <c r="M14" i="87" s="1"/>
  <c r="M8" i="52"/>
  <c r="L8" i="52"/>
  <c r="E8" i="52"/>
  <c r="F8" i="52"/>
  <c r="G8" i="52"/>
  <c r="H8" i="52"/>
  <c r="F15" i="52"/>
  <c r="M15" i="52"/>
  <c r="L15" i="87"/>
  <c r="M15" i="87" s="1"/>
  <c r="J15" i="52"/>
  <c r="G15" i="52"/>
  <c r="H15" i="52"/>
  <c r="I15" i="52"/>
  <c r="C15" i="52"/>
  <c r="B15" i="52"/>
  <c r="D15" i="52"/>
  <c r="K15" i="52"/>
  <c r="E15" i="52"/>
  <c r="L15" i="52"/>
  <c r="F44" i="104" l="1"/>
  <c r="F59" i="104"/>
  <c r="G49" i="104"/>
  <c r="F60" i="103"/>
  <c r="N54" i="53"/>
  <c r="N52" i="53"/>
  <c r="Q27" i="89"/>
  <c r="Q14" i="89"/>
  <c r="E55" i="103"/>
  <c r="E60" i="103" s="1"/>
  <c r="E43" i="104"/>
  <c r="T12" i="86"/>
  <c r="F49" i="104" l="1"/>
  <c r="E44" i="104"/>
  <c r="E59" i="104"/>
  <c r="N53" i="53"/>
  <c r="C53" i="104"/>
  <c r="D53" i="104"/>
  <c r="E49" i="104" l="1"/>
  <c r="E53" i="104"/>
  <c r="F53" i="104" s="1"/>
  <c r="G53" i="104" s="1"/>
  <c r="H53" i="104" s="1"/>
  <c r="I53" i="104" s="1"/>
  <c r="J53" i="104" s="1"/>
  <c r="K53" i="104" s="1"/>
  <c r="L53" i="104" s="1"/>
  <c r="M53" i="104" s="1"/>
  <c r="N53" i="104" s="1"/>
  <c r="O58" i="103" l="1"/>
  <c r="D59" i="103"/>
  <c r="O25" i="104" l="1"/>
  <c r="D26" i="104"/>
  <c r="O59" i="103"/>
  <c r="O26" i="104" l="1"/>
  <c r="K76" i="103" l="1"/>
  <c r="I76" i="103"/>
  <c r="C76" i="103"/>
  <c r="F76" i="103"/>
  <c r="G76" i="103"/>
  <c r="M76" i="103"/>
  <c r="N76" i="103"/>
  <c r="L76" i="103"/>
  <c r="H76" i="103"/>
  <c r="J76" i="103"/>
  <c r="E76" i="103"/>
  <c r="D76" i="103"/>
  <c r="J80" i="54" l="1"/>
  <c r="H80" i="54"/>
  <c r="E80" i="54"/>
  <c r="J17" i="51"/>
  <c r="G17" i="51"/>
  <c r="J40" i="51"/>
  <c r="D40" i="51"/>
  <c r="P39" i="51"/>
  <c r="M39" i="51"/>
  <c r="I30" i="54"/>
  <c r="F30" i="54"/>
  <c r="D30" i="54"/>
  <c r="C30" i="54"/>
  <c r="D30" i="53"/>
  <c r="E30" i="53"/>
  <c r="F30" i="53"/>
  <c r="K30" i="53"/>
  <c r="L30" i="53"/>
  <c r="G10" i="51"/>
  <c r="E78" i="53"/>
  <c r="D35" i="51"/>
  <c r="I78" i="53"/>
  <c r="P35" i="51"/>
  <c r="M78" i="53"/>
  <c r="D11" i="51"/>
  <c r="D9" i="51"/>
  <c r="B29" i="53"/>
  <c r="B77" i="53"/>
  <c r="C29" i="53"/>
  <c r="C77" i="53"/>
  <c r="B29" i="54"/>
  <c r="B54" i="54"/>
  <c r="B79" i="54"/>
  <c r="C29" i="54"/>
  <c r="C54" i="54"/>
  <c r="C79" i="54"/>
  <c r="D29" i="54"/>
  <c r="D54" i="54"/>
  <c r="D79" i="54"/>
  <c r="D29" i="53"/>
  <c r="D77" i="53"/>
  <c r="E29" i="54"/>
  <c r="E54" i="54"/>
  <c r="E79" i="54"/>
  <c r="E29" i="53"/>
  <c r="E77" i="53"/>
  <c r="F29" i="54"/>
  <c r="F54" i="54"/>
  <c r="F79" i="54"/>
  <c r="B30" i="53"/>
  <c r="B78" i="53"/>
  <c r="C30" i="53"/>
  <c r="C78" i="53"/>
  <c r="F29" i="53"/>
  <c r="F77" i="53"/>
  <c r="G29" i="53"/>
  <c r="G30" i="53"/>
  <c r="G77" i="53"/>
  <c r="G78" i="53"/>
  <c r="H29" i="53"/>
  <c r="H30" i="53"/>
  <c r="H77" i="53"/>
  <c r="H78" i="53"/>
  <c r="I29" i="53"/>
  <c r="I30" i="53"/>
  <c r="I77" i="53"/>
  <c r="J29" i="53"/>
  <c r="J77" i="53"/>
  <c r="K29" i="53"/>
  <c r="K77" i="53"/>
  <c r="L29" i="53"/>
  <c r="L77" i="53"/>
  <c r="M29" i="53"/>
  <c r="M30" i="53"/>
  <c r="M77" i="53"/>
  <c r="C80" i="54"/>
  <c r="D80" i="54"/>
  <c r="E30" i="54"/>
  <c r="F55" i="54"/>
  <c r="G29" i="54"/>
  <c r="G54" i="54"/>
  <c r="G79" i="54"/>
  <c r="H29" i="54"/>
  <c r="H30" i="54"/>
  <c r="H54" i="54"/>
  <c r="H79" i="54"/>
  <c r="I29" i="54"/>
  <c r="I54" i="54"/>
  <c r="I55" i="54"/>
  <c r="I79" i="54"/>
  <c r="I80" i="54"/>
  <c r="J29" i="54"/>
  <c r="J30" i="54"/>
  <c r="J54" i="54"/>
  <c r="J79" i="54"/>
  <c r="K29" i="54"/>
  <c r="K30" i="54"/>
  <c r="K54" i="54"/>
  <c r="K55" i="54"/>
  <c r="K79" i="54"/>
  <c r="L29" i="54"/>
  <c r="L54" i="54"/>
  <c r="L79" i="54"/>
  <c r="L80" i="54"/>
  <c r="M29" i="54"/>
  <c r="M30" i="54"/>
  <c r="M54" i="54"/>
  <c r="M55" i="54"/>
  <c r="M79" i="54"/>
  <c r="M80" i="54"/>
  <c r="N17" i="52"/>
  <c r="N16" i="52"/>
  <c r="N15" i="52"/>
  <c r="N10" i="52"/>
  <c r="C15" i="51"/>
  <c r="C15" i="93" s="1"/>
  <c r="F15" i="51"/>
  <c r="F15" i="93" s="1"/>
  <c r="I15" i="51"/>
  <c r="I15" i="93" s="1"/>
  <c r="L15" i="51"/>
  <c r="L15" i="93" s="1"/>
  <c r="M15" i="51"/>
  <c r="O15" i="51"/>
  <c r="O15" i="93" s="1"/>
  <c r="R15" i="51"/>
  <c r="R15" i="93" s="1"/>
  <c r="S15" i="51"/>
  <c r="C39" i="51"/>
  <c r="C39" i="93" s="1"/>
  <c r="D39" i="51"/>
  <c r="F39" i="51"/>
  <c r="F39" i="93" s="1"/>
  <c r="G39" i="51"/>
  <c r="I39" i="51"/>
  <c r="I39" i="93" s="1"/>
  <c r="J39" i="51"/>
  <c r="L39" i="51"/>
  <c r="L39" i="93" s="1"/>
  <c r="O39" i="51"/>
  <c r="O39" i="93" s="1"/>
  <c r="R39" i="51"/>
  <c r="R39" i="93" s="1"/>
  <c r="C16" i="51"/>
  <c r="C16" i="93" s="1"/>
  <c r="F16" i="51"/>
  <c r="F16" i="93" s="1"/>
  <c r="H16" i="93" s="1"/>
  <c r="I16" i="51"/>
  <c r="I16" i="93" s="1"/>
  <c r="K16" i="93" s="1"/>
  <c r="L16" i="51"/>
  <c r="L16" i="93" s="1"/>
  <c r="N16" i="93" s="1"/>
  <c r="M16" i="51"/>
  <c r="O16" i="51"/>
  <c r="O16" i="93" s="1"/>
  <c r="Q16" i="93" s="1"/>
  <c r="P16" i="51"/>
  <c r="R16" i="51"/>
  <c r="R16" i="93" s="1"/>
  <c r="T16" i="93" s="1"/>
  <c r="S16" i="51"/>
  <c r="C40" i="51"/>
  <c r="C40" i="93" s="1"/>
  <c r="F40" i="51"/>
  <c r="F40" i="93" s="1"/>
  <c r="H40" i="93" s="1"/>
  <c r="G40" i="51"/>
  <c r="I40" i="51"/>
  <c r="I40" i="93" s="1"/>
  <c r="K40" i="93" s="1"/>
  <c r="L40" i="51"/>
  <c r="L40" i="93" s="1"/>
  <c r="N40" i="93" s="1"/>
  <c r="M40" i="51"/>
  <c r="O40" i="51"/>
  <c r="O40" i="93" s="1"/>
  <c r="Q40" i="93" s="1"/>
  <c r="P40" i="51"/>
  <c r="R40" i="51"/>
  <c r="R40" i="93" s="1"/>
  <c r="T40" i="93" s="1"/>
  <c r="S40" i="51"/>
  <c r="C17" i="51"/>
  <c r="C17" i="93" s="1"/>
  <c r="D17" i="51"/>
  <c r="F17" i="51"/>
  <c r="F17" i="93" s="1"/>
  <c r="H17" i="93" s="1"/>
  <c r="I17" i="51"/>
  <c r="I17" i="93" s="1"/>
  <c r="K17" i="93" s="1"/>
  <c r="L17" i="51"/>
  <c r="L17" i="93" s="1"/>
  <c r="N17" i="93" s="1"/>
  <c r="O17" i="51"/>
  <c r="O17" i="93" s="1"/>
  <c r="Q17" i="93" s="1"/>
  <c r="R17" i="51"/>
  <c r="R17" i="93" s="1"/>
  <c r="T17" i="93" s="1"/>
  <c r="C41" i="51"/>
  <c r="C41" i="93" s="1"/>
  <c r="F41" i="51"/>
  <c r="F41" i="93" s="1"/>
  <c r="H41" i="93" s="1"/>
  <c r="G41" i="51"/>
  <c r="I41" i="51"/>
  <c r="I41" i="93" s="1"/>
  <c r="K41" i="93" s="1"/>
  <c r="J41" i="51"/>
  <c r="L41" i="51"/>
  <c r="L41" i="93" s="1"/>
  <c r="N41" i="93" s="1"/>
  <c r="M41" i="51"/>
  <c r="O41" i="51"/>
  <c r="O41" i="93" s="1"/>
  <c r="Q41" i="93" s="1"/>
  <c r="P41" i="51"/>
  <c r="R41" i="51"/>
  <c r="R41" i="93" s="1"/>
  <c r="T41" i="93" s="1"/>
  <c r="S41" i="51"/>
  <c r="C9" i="51"/>
  <c r="F9" i="51"/>
  <c r="G9" i="51"/>
  <c r="I9" i="51"/>
  <c r="I9" i="93" s="1"/>
  <c r="J9" i="51"/>
  <c r="L9" i="51"/>
  <c r="L9" i="93" s="1"/>
  <c r="M9" i="51"/>
  <c r="O9" i="51"/>
  <c r="O9" i="93" s="1"/>
  <c r="P9" i="51"/>
  <c r="R9" i="51"/>
  <c r="R9" i="93" s="1"/>
  <c r="S9" i="51"/>
  <c r="C33" i="51"/>
  <c r="C33" i="93" s="1"/>
  <c r="D33" i="51"/>
  <c r="F33" i="51"/>
  <c r="G33" i="51"/>
  <c r="I33" i="51"/>
  <c r="L33" i="51"/>
  <c r="M33" i="51"/>
  <c r="O33" i="51"/>
  <c r="P33" i="51"/>
  <c r="R33" i="51"/>
  <c r="R33" i="93" s="1"/>
  <c r="S33" i="51"/>
  <c r="C10" i="51"/>
  <c r="C10" i="93" s="1"/>
  <c r="D10" i="51"/>
  <c r="F10" i="51"/>
  <c r="F10" i="93" s="1"/>
  <c r="I10" i="51"/>
  <c r="I10" i="93" s="1"/>
  <c r="L10" i="51"/>
  <c r="L10" i="93" s="1"/>
  <c r="O10" i="51"/>
  <c r="O10" i="93" s="1"/>
  <c r="R10" i="51"/>
  <c r="R10" i="93" s="1"/>
  <c r="C34" i="51"/>
  <c r="D34" i="51"/>
  <c r="F34" i="51"/>
  <c r="G34" i="51"/>
  <c r="I34" i="51"/>
  <c r="J34" i="51"/>
  <c r="L34" i="51"/>
  <c r="L34" i="93" s="1"/>
  <c r="M34" i="51"/>
  <c r="O34" i="51"/>
  <c r="O34" i="93" s="1"/>
  <c r="P34" i="51"/>
  <c r="R34" i="51"/>
  <c r="R34" i="93" s="1"/>
  <c r="S34" i="51"/>
  <c r="C11" i="51"/>
  <c r="C11" i="93" s="1"/>
  <c r="F11" i="51"/>
  <c r="F11" i="93" s="1"/>
  <c r="G11" i="51"/>
  <c r="I11" i="51"/>
  <c r="I11" i="93" s="1"/>
  <c r="J11" i="51"/>
  <c r="L11" i="51"/>
  <c r="L11" i="93" s="1"/>
  <c r="M11" i="51"/>
  <c r="O11" i="51"/>
  <c r="P11" i="51"/>
  <c r="R11" i="51"/>
  <c r="S11" i="51"/>
  <c r="C35" i="51"/>
  <c r="F35" i="51"/>
  <c r="I35" i="51"/>
  <c r="I35" i="93" s="1"/>
  <c r="L35" i="51"/>
  <c r="L35" i="93" s="1"/>
  <c r="O35" i="51"/>
  <c r="O35" i="93" s="1"/>
  <c r="R35" i="51"/>
  <c r="R35" i="93" s="1"/>
  <c r="S35" i="51"/>
  <c r="M18" i="52"/>
  <c r="L18" i="52"/>
  <c r="K18" i="52"/>
  <c r="J18" i="52"/>
  <c r="I18" i="52"/>
  <c r="H18" i="52"/>
  <c r="G18" i="52"/>
  <c r="F18" i="52"/>
  <c r="E18" i="52"/>
  <c r="D18" i="52"/>
  <c r="C18" i="52"/>
  <c r="B18" i="52"/>
  <c r="C11" i="52"/>
  <c r="D11" i="52"/>
  <c r="E11" i="52"/>
  <c r="F11" i="52"/>
  <c r="G11" i="52"/>
  <c r="H11" i="52"/>
  <c r="I11" i="52"/>
  <c r="J11" i="52"/>
  <c r="K11" i="52"/>
  <c r="L11" i="52"/>
  <c r="M11" i="52"/>
  <c r="N8" i="52"/>
  <c r="N9" i="52"/>
  <c r="B11" i="52"/>
  <c r="G13" i="89" l="1"/>
  <c r="E13" i="89"/>
  <c r="D13" i="89"/>
  <c r="C26" i="89"/>
  <c r="D26" i="89"/>
  <c r="E26" i="89"/>
  <c r="F26" i="89"/>
  <c r="G26" i="89"/>
  <c r="N13" i="89"/>
  <c r="H26" i="89"/>
  <c r="M13" i="89"/>
  <c r="I26" i="89"/>
  <c r="J26" i="89"/>
  <c r="K13" i="89"/>
  <c r="K26" i="89"/>
  <c r="J13" i="89"/>
  <c r="L26" i="89"/>
  <c r="C13" i="89"/>
  <c r="C14" i="89" s="1"/>
  <c r="L13" i="89"/>
  <c r="I13" i="89"/>
  <c r="M26" i="89"/>
  <c r="H13" i="89"/>
  <c r="N26" i="89"/>
  <c r="F13" i="89"/>
  <c r="E33" i="51"/>
  <c r="O26" i="89"/>
  <c r="H39" i="93"/>
  <c r="H42" i="93" s="1"/>
  <c r="F42" i="93"/>
  <c r="L12" i="93"/>
  <c r="N9" i="93"/>
  <c r="L21" i="93"/>
  <c r="C22" i="93"/>
  <c r="U10" i="93"/>
  <c r="E10" i="93"/>
  <c r="F47" i="51"/>
  <c r="F35" i="93"/>
  <c r="K9" i="93"/>
  <c r="I12" i="93"/>
  <c r="I21" i="93"/>
  <c r="I42" i="93"/>
  <c r="K39" i="93"/>
  <c r="K42" i="93" s="1"/>
  <c r="R23" i="51"/>
  <c r="R11" i="93"/>
  <c r="O18" i="93"/>
  <c r="Q15" i="93"/>
  <c r="Q18" i="93" s="1"/>
  <c r="R45" i="93"/>
  <c r="R36" i="93"/>
  <c r="T33" i="93"/>
  <c r="E39" i="93"/>
  <c r="U39" i="93"/>
  <c r="C42" i="93"/>
  <c r="O23" i="51"/>
  <c r="O11" i="93"/>
  <c r="N11" i="93"/>
  <c r="N23" i="93" s="1"/>
  <c r="L23" i="93"/>
  <c r="U17" i="93"/>
  <c r="E17" i="93"/>
  <c r="W17" i="93" s="1"/>
  <c r="O46" i="93"/>
  <c r="Q34" i="93"/>
  <c r="Q46" i="93" s="1"/>
  <c r="C47" i="51"/>
  <c r="C35" i="93"/>
  <c r="O45" i="51"/>
  <c r="O33" i="93"/>
  <c r="F21" i="51"/>
  <c r="F9" i="93"/>
  <c r="C46" i="51"/>
  <c r="C34" i="93"/>
  <c r="C36" i="93" s="1"/>
  <c r="N15" i="93"/>
  <c r="N18" i="93" s="1"/>
  <c r="L18" i="93"/>
  <c r="F46" i="51"/>
  <c r="F34" i="93"/>
  <c r="K15" i="93"/>
  <c r="K18" i="93" s="1"/>
  <c r="I18" i="93"/>
  <c r="K35" i="93"/>
  <c r="K47" i="93" s="1"/>
  <c r="I47" i="93"/>
  <c r="E41" i="93"/>
  <c r="W41" i="93" s="1"/>
  <c r="U41" i="93"/>
  <c r="T15" i="93"/>
  <c r="T18" i="93" s="1"/>
  <c r="R18" i="93"/>
  <c r="I45" i="51"/>
  <c r="I33" i="93"/>
  <c r="O22" i="93"/>
  <c r="Q10" i="93"/>
  <c r="Q22" i="93" s="1"/>
  <c r="E33" i="93"/>
  <c r="C45" i="93"/>
  <c r="U16" i="93"/>
  <c r="E16" i="93"/>
  <c r="W16" i="93" s="1"/>
  <c r="H15" i="93"/>
  <c r="H18" i="93" s="1"/>
  <c r="F18" i="93"/>
  <c r="I46" i="51"/>
  <c r="I34" i="93"/>
  <c r="C21" i="51"/>
  <c r="C9" i="93"/>
  <c r="F45" i="51"/>
  <c r="F33" i="93"/>
  <c r="I23" i="93"/>
  <c r="K11" i="93"/>
  <c r="K23" i="93" s="1"/>
  <c r="N10" i="93"/>
  <c r="N22" i="93" s="1"/>
  <c r="L22" i="93"/>
  <c r="R42" i="93"/>
  <c r="T39" i="93"/>
  <c r="T42" i="93" s="1"/>
  <c r="E15" i="93"/>
  <c r="U15" i="93"/>
  <c r="C18" i="93"/>
  <c r="N34" i="93"/>
  <c r="N46" i="93" s="1"/>
  <c r="L46" i="93"/>
  <c r="R47" i="93"/>
  <c r="T35" i="93"/>
  <c r="T47" i="93" s="1"/>
  <c r="S47" i="93" s="1"/>
  <c r="C23" i="93"/>
  <c r="E11" i="93"/>
  <c r="I22" i="93"/>
  <c r="K10" i="93"/>
  <c r="K22" i="93" s="1"/>
  <c r="J22" i="93" s="1"/>
  <c r="R21" i="93"/>
  <c r="T9" i="93"/>
  <c r="R12" i="93"/>
  <c r="Q39" i="93"/>
  <c r="Q42" i="93" s="1"/>
  <c r="O42" i="93"/>
  <c r="L45" i="51"/>
  <c r="L33" i="93"/>
  <c r="Q35" i="93"/>
  <c r="Q47" i="93" s="1"/>
  <c r="O47" i="93"/>
  <c r="L42" i="93"/>
  <c r="N39" i="93"/>
  <c r="N42" i="93" s="1"/>
  <c r="U40" i="93"/>
  <c r="E40" i="93"/>
  <c r="R22" i="93"/>
  <c r="T10" i="93"/>
  <c r="T22" i="93" s="1"/>
  <c r="H11" i="93"/>
  <c r="H23" i="93" s="1"/>
  <c r="F23" i="93"/>
  <c r="F22" i="93"/>
  <c r="H10" i="93"/>
  <c r="H22" i="93" s="1"/>
  <c r="N35" i="93"/>
  <c r="N47" i="93" s="1"/>
  <c r="L47" i="93"/>
  <c r="R46" i="93"/>
  <c r="T34" i="93"/>
  <c r="T46" i="93" s="1"/>
  <c r="O21" i="93"/>
  <c r="Q9" i="93"/>
  <c r="K4" i="53"/>
  <c r="L4" i="53"/>
  <c r="D4" i="53"/>
  <c r="H4" i="53"/>
  <c r="G4" i="53"/>
  <c r="E4" i="53"/>
  <c r="F4" i="53"/>
  <c r="C45" i="51"/>
  <c r="J4" i="53"/>
  <c r="R22" i="51"/>
  <c r="L22" i="51"/>
  <c r="C23" i="51"/>
  <c r="F23" i="51"/>
  <c r="I22" i="51"/>
  <c r="M4" i="53"/>
  <c r="O47" i="51"/>
  <c r="L47" i="51"/>
  <c r="R46" i="51"/>
  <c r="O21" i="51"/>
  <c r="I4" i="53"/>
  <c r="O13" i="89"/>
  <c r="I47" i="51"/>
  <c r="C22" i="51"/>
  <c r="R21" i="51"/>
  <c r="O46" i="51"/>
  <c r="L21" i="51"/>
  <c r="C4" i="53"/>
  <c r="L23" i="51"/>
  <c r="I23" i="51"/>
  <c r="O22" i="51"/>
  <c r="R45" i="51"/>
  <c r="R47" i="51"/>
  <c r="F22" i="51"/>
  <c r="L46" i="51"/>
  <c r="I21" i="51"/>
  <c r="B4" i="53"/>
  <c r="J10" i="51"/>
  <c r="K10" i="51" s="1"/>
  <c r="G80" i="54"/>
  <c r="G81" i="54" s="1"/>
  <c r="G55" i="54"/>
  <c r="G56" i="54" s="1"/>
  <c r="J16" i="51"/>
  <c r="K16" i="51" s="1"/>
  <c r="E55" i="54"/>
  <c r="E56" i="54" s="1"/>
  <c r="D55" i="54"/>
  <c r="D56" i="54" s="1"/>
  <c r="G16" i="51"/>
  <c r="H16" i="51" s="1"/>
  <c r="D41" i="51"/>
  <c r="E41" i="51" s="1"/>
  <c r="D16" i="51"/>
  <c r="E16" i="51" s="1"/>
  <c r="J15" i="51"/>
  <c r="K15" i="51" s="1"/>
  <c r="S17" i="51"/>
  <c r="T17" i="51" s="1"/>
  <c r="G15" i="51"/>
  <c r="H15" i="51" s="1"/>
  <c r="H55" i="54"/>
  <c r="H56" i="54" s="1"/>
  <c r="B30" i="54"/>
  <c r="B31" i="54" s="1"/>
  <c r="P17" i="51"/>
  <c r="Q17" i="51" s="1"/>
  <c r="D15" i="51"/>
  <c r="E15" i="51" s="1"/>
  <c r="G35" i="51"/>
  <c r="H35" i="51" s="1"/>
  <c r="F78" i="53"/>
  <c r="F79" i="53" s="1"/>
  <c r="K80" i="54"/>
  <c r="K81" i="54" s="1"/>
  <c r="D78" i="53"/>
  <c r="D79" i="53" s="1"/>
  <c r="C55" i="54"/>
  <c r="C56" i="54" s="1"/>
  <c r="N16" i="51"/>
  <c r="E34" i="51"/>
  <c r="E40" i="51"/>
  <c r="H33" i="51"/>
  <c r="T16" i="51"/>
  <c r="N18" i="52"/>
  <c r="L31" i="53"/>
  <c r="E4" i="54"/>
  <c r="C81" i="54"/>
  <c r="C4" i="54"/>
  <c r="G31" i="53"/>
  <c r="J55" i="54"/>
  <c r="P15" i="51"/>
  <c r="Q15" i="51" s="1"/>
  <c r="L55" i="54"/>
  <c r="L56" i="54" s="1"/>
  <c r="G30" i="54"/>
  <c r="G31" i="54" s="1"/>
  <c r="B80" i="54"/>
  <c r="M17" i="51"/>
  <c r="N17" i="51" s="1"/>
  <c r="S39" i="51"/>
  <c r="T39" i="51" s="1"/>
  <c r="B55" i="54"/>
  <c r="B56" i="54" s="1"/>
  <c r="L30" i="54"/>
  <c r="L31" i="54" s="1"/>
  <c r="F80" i="54"/>
  <c r="F81" i="54" s="1"/>
  <c r="P10" i="51"/>
  <c r="Q10" i="51" s="1"/>
  <c r="M10" i="51"/>
  <c r="N10" i="51" s="1"/>
  <c r="J33" i="51"/>
  <c r="K33" i="51" s="1"/>
  <c r="J30" i="53"/>
  <c r="J31" i="53" s="1"/>
  <c r="L78" i="53"/>
  <c r="L79" i="53" s="1"/>
  <c r="K78" i="53"/>
  <c r="K79" i="53" s="1"/>
  <c r="M35" i="51"/>
  <c r="N35" i="51" s="1"/>
  <c r="S10" i="51"/>
  <c r="T10" i="51" s="1"/>
  <c r="J35" i="51"/>
  <c r="K35" i="51" s="1"/>
  <c r="J78" i="53"/>
  <c r="J79" i="53" s="1"/>
  <c r="N33" i="51"/>
  <c r="B31" i="53"/>
  <c r="N41" i="51"/>
  <c r="H31" i="53"/>
  <c r="J81" i="54"/>
  <c r="H31" i="54"/>
  <c r="E17" i="51"/>
  <c r="H34" i="51"/>
  <c r="D4" i="54"/>
  <c r="Q33" i="51"/>
  <c r="L18" i="51"/>
  <c r="D31" i="53"/>
  <c r="E81" i="54"/>
  <c r="C79" i="53"/>
  <c r="C31" i="53"/>
  <c r="E31" i="54"/>
  <c r="C18" i="51"/>
  <c r="D31" i="54"/>
  <c r="B79" i="53"/>
  <c r="Q41" i="51"/>
  <c r="F56" i="54"/>
  <c r="E31" i="53"/>
  <c r="F31" i="54"/>
  <c r="R18" i="51"/>
  <c r="T11" i="51"/>
  <c r="M81" i="54"/>
  <c r="H79" i="53"/>
  <c r="M31" i="54"/>
  <c r="H9" i="51"/>
  <c r="N9" i="51"/>
  <c r="K39" i="51"/>
  <c r="I31" i="54"/>
  <c r="M79" i="53"/>
  <c r="I79" i="53"/>
  <c r="D81" i="54"/>
  <c r="N40" i="51"/>
  <c r="E35" i="51"/>
  <c r="H81" i="54"/>
  <c r="I31" i="53"/>
  <c r="Q34" i="51"/>
  <c r="H41" i="51"/>
  <c r="T41" i="51"/>
  <c r="T15" i="51"/>
  <c r="H4" i="54"/>
  <c r="Q16" i="51"/>
  <c r="R36" i="51"/>
  <c r="N11" i="51"/>
  <c r="E10" i="51"/>
  <c r="E22" i="51" s="1"/>
  <c r="C31" i="54"/>
  <c r="L81" i="54"/>
  <c r="H11" i="51"/>
  <c r="K41" i="51"/>
  <c r="Q39" i="51"/>
  <c r="U10" i="51"/>
  <c r="K31" i="54"/>
  <c r="K56" i="54"/>
  <c r="M4" i="54"/>
  <c r="H39" i="51"/>
  <c r="F36" i="51"/>
  <c r="F42" i="51"/>
  <c r="M31" i="53"/>
  <c r="G79" i="53"/>
  <c r="N77" i="53"/>
  <c r="E79" i="53"/>
  <c r="Q11" i="51"/>
  <c r="J4" i="54"/>
  <c r="K31" i="53"/>
  <c r="N79" i="54"/>
  <c r="J31" i="54"/>
  <c r="O36" i="51"/>
  <c r="I81" i="54"/>
  <c r="K17" i="51"/>
  <c r="L4" i="54"/>
  <c r="N29" i="54"/>
  <c r="U17" i="51"/>
  <c r="M56" i="54"/>
  <c r="F12" i="51"/>
  <c r="I12" i="51"/>
  <c r="C36" i="51"/>
  <c r="T33" i="51"/>
  <c r="T45" i="51" s="1"/>
  <c r="R42" i="51"/>
  <c r="U39" i="51"/>
  <c r="U11" i="51"/>
  <c r="I18" i="51"/>
  <c r="U15" i="51"/>
  <c r="T34" i="51"/>
  <c r="U16" i="51"/>
  <c r="F4" i="54"/>
  <c r="N15" i="51"/>
  <c r="K4" i="54"/>
  <c r="B4" i="54"/>
  <c r="T35" i="51"/>
  <c r="T47" i="51" s="1"/>
  <c r="N39" i="51"/>
  <c r="F31" i="53"/>
  <c r="N29" i="53"/>
  <c r="U41" i="51"/>
  <c r="G4" i="54"/>
  <c r="K40" i="51"/>
  <c r="N34" i="51"/>
  <c r="L36" i="51"/>
  <c r="H40" i="51"/>
  <c r="I42" i="51"/>
  <c r="K34" i="51"/>
  <c r="Q40" i="51"/>
  <c r="O42" i="51"/>
  <c r="Q9" i="51"/>
  <c r="O12" i="51"/>
  <c r="N54" i="54"/>
  <c r="I56" i="54"/>
  <c r="L42" i="51"/>
  <c r="L12" i="51"/>
  <c r="T40" i="51"/>
  <c r="O18" i="51"/>
  <c r="I36" i="51"/>
  <c r="K11" i="51"/>
  <c r="N11" i="52"/>
  <c r="H10" i="51"/>
  <c r="U40" i="51"/>
  <c r="U35" i="51"/>
  <c r="E11" i="51"/>
  <c r="K9" i="51"/>
  <c r="Q35" i="51"/>
  <c r="E9" i="51"/>
  <c r="U9" i="51"/>
  <c r="H17" i="51"/>
  <c r="C12" i="51"/>
  <c r="U33" i="51"/>
  <c r="T9" i="51"/>
  <c r="R12" i="51"/>
  <c r="C42" i="51"/>
  <c r="E39" i="51"/>
  <c r="E45" i="51" s="1"/>
  <c r="F18" i="51"/>
  <c r="U34" i="51"/>
  <c r="I4" i="54"/>
  <c r="H22" i="51" l="1"/>
  <c r="U33" i="93"/>
  <c r="L24" i="93"/>
  <c r="Q21" i="51"/>
  <c r="Y40" i="93"/>
  <c r="F48" i="51"/>
  <c r="G22" i="93"/>
  <c r="I48" i="51"/>
  <c r="S22" i="93"/>
  <c r="P18" i="93"/>
  <c r="M42" i="93"/>
  <c r="Y41" i="93"/>
  <c r="F24" i="51"/>
  <c r="H45" i="51"/>
  <c r="G45" i="51" s="1"/>
  <c r="I24" i="93"/>
  <c r="J23" i="93"/>
  <c r="P22" i="93"/>
  <c r="U18" i="93"/>
  <c r="J42" i="93"/>
  <c r="V16" i="93"/>
  <c r="W15" i="93"/>
  <c r="E18" i="93"/>
  <c r="D18" i="93" s="1"/>
  <c r="J18" i="93"/>
  <c r="V17" i="93"/>
  <c r="AA41" i="93"/>
  <c r="M47" i="93"/>
  <c r="P42" i="93"/>
  <c r="S42" i="93"/>
  <c r="F46" i="93"/>
  <c r="H34" i="93"/>
  <c r="H46" i="93" s="1"/>
  <c r="T21" i="93"/>
  <c r="M23" i="93"/>
  <c r="M22" i="93"/>
  <c r="E45" i="93"/>
  <c r="M18" i="93"/>
  <c r="Q11" i="93"/>
  <c r="Q23" i="93" s="1"/>
  <c r="O23" i="93"/>
  <c r="O24" i="93" s="1"/>
  <c r="K21" i="93"/>
  <c r="K12" i="93"/>
  <c r="J12" i="93" s="1"/>
  <c r="G23" i="93"/>
  <c r="F47" i="93"/>
  <c r="H35" i="93"/>
  <c r="C46" i="93"/>
  <c r="E34" i="93"/>
  <c r="U34" i="93"/>
  <c r="Y34" i="93" s="1"/>
  <c r="E23" i="93"/>
  <c r="F45" i="93"/>
  <c r="F36" i="93"/>
  <c r="H33" i="93"/>
  <c r="I36" i="93"/>
  <c r="K33" i="93"/>
  <c r="I45" i="93"/>
  <c r="Y39" i="93"/>
  <c r="W10" i="93"/>
  <c r="E22" i="93"/>
  <c r="E42" i="93"/>
  <c r="D42" i="93" s="1"/>
  <c r="W40" i="93"/>
  <c r="V40" i="93" s="1"/>
  <c r="U11" i="93"/>
  <c r="F12" i="93"/>
  <c r="F21" i="93"/>
  <c r="F24" i="93" s="1"/>
  <c r="H9" i="93"/>
  <c r="W39" i="93"/>
  <c r="C12" i="93"/>
  <c r="E9" i="93"/>
  <c r="E12" i="93" s="1"/>
  <c r="U9" i="93"/>
  <c r="C21" i="93"/>
  <c r="T36" i="93"/>
  <c r="S36" i="93" s="1"/>
  <c r="T45" i="93"/>
  <c r="U22" i="93"/>
  <c r="Q23" i="51"/>
  <c r="P23" i="51" s="1"/>
  <c r="K46" i="51"/>
  <c r="J46" i="51" s="1"/>
  <c r="S18" i="93"/>
  <c r="O45" i="93"/>
  <c r="O48" i="93" s="1"/>
  <c r="Q33" i="93"/>
  <c r="O36" i="93"/>
  <c r="K21" i="51"/>
  <c r="J21" i="51" s="1"/>
  <c r="O12" i="93"/>
  <c r="K34" i="93"/>
  <c r="K46" i="93" s="1"/>
  <c r="I46" i="93"/>
  <c r="U42" i="93"/>
  <c r="R48" i="93"/>
  <c r="N21" i="93"/>
  <c r="N12" i="93"/>
  <c r="M12" i="93" s="1"/>
  <c r="Q21" i="93"/>
  <c r="V41" i="93"/>
  <c r="C47" i="93"/>
  <c r="E35" i="93"/>
  <c r="E47" i="93" s="1"/>
  <c r="U35" i="93"/>
  <c r="E21" i="51"/>
  <c r="P47" i="93"/>
  <c r="M46" i="93"/>
  <c r="S46" i="93"/>
  <c r="N33" i="93"/>
  <c r="L36" i="93"/>
  <c r="L45" i="93"/>
  <c r="L48" i="93" s="1"/>
  <c r="G18" i="93"/>
  <c r="J47" i="93"/>
  <c r="P46" i="93"/>
  <c r="T11" i="93"/>
  <c r="T23" i="93" s="1"/>
  <c r="R23" i="93"/>
  <c r="R24" i="93" s="1"/>
  <c r="G42" i="93"/>
  <c r="T22" i="51"/>
  <c r="S22" i="51" s="1"/>
  <c r="H46" i="51"/>
  <c r="G46" i="51" s="1"/>
  <c r="N22" i="51"/>
  <c r="M22" i="51" s="1"/>
  <c r="Q22" i="51"/>
  <c r="Q24" i="51" s="1"/>
  <c r="H47" i="51"/>
  <c r="G47" i="51" s="1"/>
  <c r="E47" i="51"/>
  <c r="D47" i="51" s="1"/>
  <c r="K22" i="51"/>
  <c r="J22" i="51" s="1"/>
  <c r="R24" i="51"/>
  <c r="T21" i="51"/>
  <c r="S21" i="51" s="1"/>
  <c r="E23" i="51"/>
  <c r="B6" i="53"/>
  <c r="L48" i="51"/>
  <c r="K6" i="53"/>
  <c r="N45" i="51"/>
  <c r="H23" i="51"/>
  <c r="G23" i="51" s="1"/>
  <c r="L24" i="51"/>
  <c r="F6" i="53"/>
  <c r="Q47" i="51"/>
  <c r="P47" i="51" s="1"/>
  <c r="H6" i="53"/>
  <c r="K47" i="51"/>
  <c r="J47" i="51" s="1"/>
  <c r="L6" i="53"/>
  <c r="I24" i="51"/>
  <c r="I6" i="53"/>
  <c r="P21" i="51"/>
  <c r="O24" i="51"/>
  <c r="C6" i="53"/>
  <c r="N21" i="51"/>
  <c r="M21" i="51" s="1"/>
  <c r="H21" i="51"/>
  <c r="E6" i="53"/>
  <c r="D45" i="51"/>
  <c r="C48" i="51"/>
  <c r="N47" i="51"/>
  <c r="M47" i="51" s="1"/>
  <c r="G22" i="51"/>
  <c r="M6" i="53"/>
  <c r="K23" i="51"/>
  <c r="J23" i="51" s="1"/>
  <c r="T46" i="51"/>
  <c r="T48" i="51" s="1"/>
  <c r="D6" i="53"/>
  <c r="G6" i="53"/>
  <c r="E46" i="51"/>
  <c r="D46" i="51" s="1"/>
  <c r="S47" i="51"/>
  <c r="N46" i="51"/>
  <c r="M46" i="51" s="1"/>
  <c r="S45" i="51"/>
  <c r="R48" i="51"/>
  <c r="N23" i="51"/>
  <c r="M23" i="51" s="1"/>
  <c r="T23" i="51"/>
  <c r="S23" i="51" s="1"/>
  <c r="Q45" i="51"/>
  <c r="J6" i="53"/>
  <c r="Q46" i="51"/>
  <c r="P46" i="51" s="1"/>
  <c r="K45" i="51"/>
  <c r="O48" i="51"/>
  <c r="H36" i="51"/>
  <c r="G36" i="51" s="1"/>
  <c r="E18" i="51"/>
  <c r="D18" i="51" s="1"/>
  <c r="J56" i="54"/>
  <c r="B81" i="54"/>
  <c r="C6" i="54"/>
  <c r="L6" i="54"/>
  <c r="N42" i="51"/>
  <c r="M42" i="51" s="1"/>
  <c r="G6" i="54"/>
  <c r="F6" i="54"/>
  <c r="N31" i="53"/>
  <c r="N30" i="53" s="1"/>
  <c r="E6" i="54"/>
  <c r="D6" i="54"/>
  <c r="K42" i="51"/>
  <c r="J42" i="51" s="1"/>
  <c r="T36" i="51"/>
  <c r="S36" i="51" s="1"/>
  <c r="W16" i="51"/>
  <c r="V16" i="51" s="1"/>
  <c r="W41" i="51"/>
  <c r="V41" i="51" s="1"/>
  <c r="M6" i="54"/>
  <c r="K18" i="51"/>
  <c r="J18" i="51" s="1"/>
  <c r="U42" i="51"/>
  <c r="Q42" i="51"/>
  <c r="P42" i="51" s="1"/>
  <c r="E36" i="51"/>
  <c r="D36" i="51" s="1"/>
  <c r="Y34" i="51"/>
  <c r="N18" i="51"/>
  <c r="M18" i="51" s="1"/>
  <c r="H6" i="54"/>
  <c r="K6" i="54"/>
  <c r="T18" i="51"/>
  <c r="S18" i="51" s="1"/>
  <c r="W34" i="51"/>
  <c r="V34" i="51" s="1"/>
  <c r="Q18" i="51"/>
  <c r="P18" i="51" s="1"/>
  <c r="H42" i="51"/>
  <c r="G42" i="51" s="1"/>
  <c r="Y41" i="51"/>
  <c r="W33" i="51"/>
  <c r="V33" i="51" s="1"/>
  <c r="U23" i="51"/>
  <c r="U18" i="51"/>
  <c r="Y39" i="51"/>
  <c r="N36" i="51"/>
  <c r="M36" i="51" s="1"/>
  <c r="Y40" i="51"/>
  <c r="N31" i="54"/>
  <c r="N30" i="54" s="1"/>
  <c r="N79" i="53"/>
  <c r="N78" i="53" s="1"/>
  <c r="K36" i="51"/>
  <c r="J36" i="51" s="1"/>
  <c r="N12" i="51"/>
  <c r="M12" i="51" s="1"/>
  <c r="Y35" i="51"/>
  <c r="W35" i="51"/>
  <c r="V35" i="51" s="1"/>
  <c r="U47" i="51"/>
  <c r="T42" i="51"/>
  <c r="S42" i="51" s="1"/>
  <c r="E42" i="51"/>
  <c r="D42" i="51" s="1"/>
  <c r="W39" i="51"/>
  <c r="V39" i="51" s="1"/>
  <c r="N4" i="54"/>
  <c r="Q12" i="51"/>
  <c r="P12" i="51" s="1"/>
  <c r="W11" i="51"/>
  <c r="V11" i="51" s="1"/>
  <c r="W15" i="51"/>
  <c r="V15" i="51" s="1"/>
  <c r="W10" i="51"/>
  <c r="V10" i="51" s="1"/>
  <c r="H12" i="51"/>
  <c r="G12" i="51" s="1"/>
  <c r="U45" i="51"/>
  <c r="T12" i="51"/>
  <c r="S12" i="51" s="1"/>
  <c r="U22" i="51"/>
  <c r="H18" i="51"/>
  <c r="G18" i="51" s="1"/>
  <c r="W17" i="51"/>
  <c r="V17" i="51" s="1"/>
  <c r="U46" i="51"/>
  <c r="I6" i="54"/>
  <c r="U12" i="51"/>
  <c r="Y33" i="51"/>
  <c r="W9" i="51"/>
  <c r="V9" i="51" s="1"/>
  <c r="E12" i="51"/>
  <c r="D12" i="51" s="1"/>
  <c r="K12" i="51"/>
  <c r="J12" i="51" s="1"/>
  <c r="N4" i="53"/>
  <c r="Q36" i="51"/>
  <c r="P36" i="51" s="1"/>
  <c r="U36" i="51"/>
  <c r="C24" i="51"/>
  <c r="U21" i="51"/>
  <c r="W40" i="51"/>
  <c r="V40" i="51" s="1"/>
  <c r="Z41" i="93" l="1"/>
  <c r="Q12" i="93"/>
  <c r="Y42" i="93"/>
  <c r="H48" i="51"/>
  <c r="G48" i="51" s="1"/>
  <c r="P22" i="51"/>
  <c r="U47" i="93"/>
  <c r="G46" i="93"/>
  <c r="Y35" i="93"/>
  <c r="P12" i="93"/>
  <c r="D12" i="93"/>
  <c r="U46" i="93"/>
  <c r="Y46" i="93" s="1"/>
  <c r="W9" i="93"/>
  <c r="V9" i="93" s="1"/>
  <c r="S21" i="93"/>
  <c r="T24" i="93"/>
  <c r="S24" i="93" s="1"/>
  <c r="E36" i="93"/>
  <c r="D36" i="93" s="1"/>
  <c r="W34" i="93"/>
  <c r="V34" i="93" s="1"/>
  <c r="E46" i="93"/>
  <c r="E48" i="93" s="1"/>
  <c r="T12" i="93"/>
  <c r="S12" i="93" s="1"/>
  <c r="S23" i="93"/>
  <c r="P21" i="93"/>
  <c r="Q24" i="93"/>
  <c r="P24" i="93" s="1"/>
  <c r="W35" i="93"/>
  <c r="V35" i="93" s="1"/>
  <c r="H47" i="93"/>
  <c r="G47" i="93" s="1"/>
  <c r="W22" i="93"/>
  <c r="D22" i="93"/>
  <c r="U36" i="93"/>
  <c r="M21" i="93"/>
  <c r="N24" i="93"/>
  <c r="M24" i="93" s="1"/>
  <c r="S45" i="93"/>
  <c r="T48" i="93"/>
  <c r="S48" i="93" s="1"/>
  <c r="V10" i="93"/>
  <c r="C24" i="93"/>
  <c r="U21" i="93"/>
  <c r="J21" i="93"/>
  <c r="K24" i="93"/>
  <c r="J24" i="93" s="1"/>
  <c r="Y33" i="93"/>
  <c r="Y36" i="93" s="1"/>
  <c r="U12" i="93"/>
  <c r="I48" i="93"/>
  <c r="N45" i="93"/>
  <c r="N36" i="93"/>
  <c r="M36" i="93" s="1"/>
  <c r="J46" i="93"/>
  <c r="K45" i="93"/>
  <c r="K36" i="93"/>
  <c r="J36" i="93" s="1"/>
  <c r="P23" i="93"/>
  <c r="U23" i="93"/>
  <c r="Y47" i="93" s="1"/>
  <c r="H36" i="93"/>
  <c r="G36" i="93" s="1"/>
  <c r="H45" i="93"/>
  <c r="W33" i="93"/>
  <c r="U45" i="93"/>
  <c r="D45" i="93"/>
  <c r="V15" i="93"/>
  <c r="AA39" i="93"/>
  <c r="W18" i="93"/>
  <c r="V18" i="93" s="1"/>
  <c r="C48" i="93"/>
  <c r="V39" i="93"/>
  <c r="W42" i="93"/>
  <c r="V42" i="93" s="1"/>
  <c r="F48" i="93"/>
  <c r="E21" i="93"/>
  <c r="H12" i="93"/>
  <c r="G12" i="93" s="1"/>
  <c r="H21" i="93"/>
  <c r="W11" i="93"/>
  <c r="D47" i="93"/>
  <c r="Q45" i="93"/>
  <c r="Q36" i="93"/>
  <c r="P36" i="93" s="1"/>
  <c r="W23" i="93"/>
  <c r="D23" i="93"/>
  <c r="AA40" i="93"/>
  <c r="Z40" i="93" s="1"/>
  <c r="E48" i="51"/>
  <c r="D48" i="51" s="1"/>
  <c r="S46" i="51"/>
  <c r="K24" i="51"/>
  <c r="J24" i="51" s="1"/>
  <c r="P24" i="51"/>
  <c r="K48" i="51"/>
  <c r="J48" i="51" s="1"/>
  <c r="J45" i="51"/>
  <c r="T24" i="51"/>
  <c r="S24" i="51" s="1"/>
  <c r="S48" i="51"/>
  <c r="N48" i="51"/>
  <c r="M48" i="51" s="1"/>
  <c r="M45" i="51"/>
  <c r="H24" i="51"/>
  <c r="G24" i="51" s="1"/>
  <c r="G21" i="51"/>
  <c r="N24" i="51"/>
  <c r="M24" i="51" s="1"/>
  <c r="N56" i="54"/>
  <c r="N55" i="54" s="1"/>
  <c r="Q48" i="51"/>
  <c r="P48" i="51" s="1"/>
  <c r="P45" i="51"/>
  <c r="L5" i="53"/>
  <c r="J5" i="53"/>
  <c r="G5" i="53"/>
  <c r="K5" i="54"/>
  <c r="M5" i="53"/>
  <c r="F5" i="54"/>
  <c r="L5" i="54"/>
  <c r="G5" i="54"/>
  <c r="D5" i="54"/>
  <c r="I5" i="53"/>
  <c r="E5" i="53"/>
  <c r="E5" i="54"/>
  <c r="J6" i="54"/>
  <c r="B5" i="53"/>
  <c r="D5" i="53"/>
  <c r="H5" i="54"/>
  <c r="K5" i="53"/>
  <c r="F5" i="53"/>
  <c r="M5" i="54"/>
  <c r="H5" i="53"/>
  <c r="C5" i="54"/>
  <c r="B6" i="54"/>
  <c r="N81" i="54"/>
  <c r="N80" i="54" s="1"/>
  <c r="C5" i="53"/>
  <c r="AA34" i="51"/>
  <c r="Z34" i="51" s="1"/>
  <c r="Y47" i="51"/>
  <c r="N6" i="53"/>
  <c r="W36" i="51"/>
  <c r="V36" i="51" s="1"/>
  <c r="AA40" i="51"/>
  <c r="Z40" i="51" s="1"/>
  <c r="W46" i="51"/>
  <c r="V46" i="51" s="1"/>
  <c r="W47" i="51"/>
  <c r="V47" i="51" s="1"/>
  <c r="Y42" i="51"/>
  <c r="Y36" i="51"/>
  <c r="AA41" i="51"/>
  <c r="Z41" i="51" s="1"/>
  <c r="U48" i="51"/>
  <c r="D21" i="51"/>
  <c r="W21" i="51"/>
  <c r="V21" i="51" s="1"/>
  <c r="E24" i="51"/>
  <c r="D24" i="51" s="1"/>
  <c r="D23" i="51"/>
  <c r="W23" i="51"/>
  <c r="V23" i="51" s="1"/>
  <c r="AA35" i="51"/>
  <c r="Z35" i="51" s="1"/>
  <c r="Y45" i="51"/>
  <c r="U24" i="51"/>
  <c r="AA33" i="51"/>
  <c r="Z33" i="51" s="1"/>
  <c r="W12" i="51"/>
  <c r="V12" i="51" s="1"/>
  <c r="W18" i="51"/>
  <c r="V18" i="51" s="1"/>
  <c r="AA39" i="51"/>
  <c r="Z39" i="51" s="1"/>
  <c r="W42" i="51"/>
  <c r="V42" i="51" s="1"/>
  <c r="Y46" i="51"/>
  <c r="W45" i="51"/>
  <c r="V45" i="51" s="1"/>
  <c r="I5" i="54"/>
  <c r="W22" i="51"/>
  <c r="V22" i="51" s="1"/>
  <c r="D22" i="51"/>
  <c r="W45" i="93" l="1"/>
  <c r="D48" i="93"/>
  <c r="W47" i="93"/>
  <c r="V47" i="93" s="1"/>
  <c r="U48" i="93"/>
  <c r="AA34" i="93"/>
  <c r="Z34" i="93" s="1"/>
  <c r="AA42" i="93"/>
  <c r="Z42" i="93" s="1"/>
  <c r="Z39" i="93"/>
  <c r="V23" i="93"/>
  <c r="V45" i="93"/>
  <c r="M45" i="93"/>
  <c r="N48" i="93"/>
  <c r="M48" i="93" s="1"/>
  <c r="V22" i="93"/>
  <c r="P45" i="93"/>
  <c r="Q48" i="93"/>
  <c r="P48" i="93" s="1"/>
  <c r="V33" i="93"/>
  <c r="W36" i="93"/>
  <c r="V36" i="93" s="1"/>
  <c r="V11" i="93"/>
  <c r="AA35" i="93"/>
  <c r="Z35" i="93" s="1"/>
  <c r="G45" i="93"/>
  <c r="H48" i="93"/>
  <c r="G48" i="93" s="1"/>
  <c r="H24" i="93"/>
  <c r="G24" i="93" s="1"/>
  <c r="G21" i="93"/>
  <c r="Y45" i="93"/>
  <c r="Y48" i="93" s="1"/>
  <c r="U24" i="93"/>
  <c r="D21" i="93"/>
  <c r="W21" i="93"/>
  <c r="E24" i="93"/>
  <c r="D24" i="93" s="1"/>
  <c r="D46" i="93"/>
  <c r="W46" i="93"/>
  <c r="V46" i="93" s="1"/>
  <c r="J45" i="93"/>
  <c r="K48" i="93"/>
  <c r="J48" i="93" s="1"/>
  <c r="W12" i="93"/>
  <c r="V12" i="93" s="1"/>
  <c r="AA33" i="93"/>
  <c r="B5" i="54"/>
  <c r="N5" i="53"/>
  <c r="J5" i="54"/>
  <c r="N6" i="54"/>
  <c r="Y48" i="51"/>
  <c r="W24" i="51"/>
  <c r="V24" i="51" s="1"/>
  <c r="AA45" i="51"/>
  <c r="Z45" i="51" s="1"/>
  <c r="AA46" i="51"/>
  <c r="Z46" i="51" s="1"/>
  <c r="AA36" i="51"/>
  <c r="Z36" i="51" s="1"/>
  <c r="AA47" i="51"/>
  <c r="Z47" i="51" s="1"/>
  <c r="W48" i="51"/>
  <c r="V48" i="51" s="1"/>
  <c r="AA42" i="51"/>
  <c r="Z42" i="51" s="1"/>
  <c r="AA47" i="93" l="1"/>
  <c r="Z47" i="93" s="1"/>
  <c r="W48" i="93"/>
  <c r="V48" i="93" s="1"/>
  <c r="V21" i="93"/>
  <c r="W24" i="93"/>
  <c r="V24" i="93" s="1"/>
  <c r="AA45" i="93"/>
  <c r="Z33" i="93"/>
  <c r="AA36" i="93"/>
  <c r="Z36" i="93" s="1"/>
  <c r="AA46" i="93"/>
  <c r="Z46" i="93" s="1"/>
  <c r="P6" i="53"/>
  <c r="N5" i="54"/>
  <c r="P6" i="54"/>
  <c r="AA48" i="51"/>
  <c r="AA48" i="93" l="1"/>
  <c r="Z45" i="93"/>
  <c r="Z48" i="51"/>
  <c r="AA50" i="51"/>
  <c r="Z48" i="93" l="1"/>
  <c r="D12" i="89" l="1"/>
  <c r="D14" i="89" s="1"/>
  <c r="E12" i="89" s="1"/>
  <c r="E14" i="89" s="1"/>
  <c r="F12" i="89" s="1"/>
  <c r="E14" i="90" l="1"/>
  <c r="F14" i="89"/>
  <c r="G12" i="89" s="1"/>
  <c r="M14" i="90"/>
  <c r="N12" i="90" s="1"/>
  <c r="G14" i="90"/>
  <c r="F12" i="90"/>
  <c r="D14" i="90"/>
  <c r="O15" i="89"/>
  <c r="F14" i="90" l="1"/>
  <c r="G12" i="90" s="1"/>
  <c r="G14" i="89"/>
  <c r="H12" i="89" s="1"/>
  <c r="H14" i="89" s="1"/>
  <c r="I12" i="89" s="1"/>
  <c r="D12" i="90"/>
  <c r="D15" i="90" s="1"/>
  <c r="D12" i="92" s="1"/>
  <c r="D60" i="92" s="1"/>
  <c r="G15" i="90"/>
  <c r="G12" i="92" s="1"/>
  <c r="G60" i="92" s="1"/>
  <c r="H12" i="90"/>
  <c r="E12" i="90"/>
  <c r="E15" i="90" s="1"/>
  <c r="E12" i="92" s="1"/>
  <c r="E60" i="92" s="1"/>
  <c r="F15" i="90" l="1"/>
  <c r="F12" i="92" s="1"/>
  <c r="F60" i="92" s="1"/>
  <c r="I12" i="90"/>
  <c r="I14" i="89"/>
  <c r="J12" i="89" s="1"/>
  <c r="H15" i="90" l="1"/>
  <c r="H12" i="92" s="1"/>
  <c r="H60" i="92" s="1"/>
  <c r="I14" i="90"/>
  <c r="J14" i="89"/>
  <c r="K12" i="89" s="1"/>
  <c r="J12" i="90" l="1"/>
  <c r="I15" i="90"/>
  <c r="I12" i="92" s="1"/>
  <c r="I60" i="92" s="1"/>
  <c r="J14" i="90"/>
  <c r="K12" i="90" s="1"/>
  <c r="K14" i="89"/>
  <c r="L12" i="89" s="1"/>
  <c r="J15" i="90" l="1"/>
  <c r="J12" i="92" s="1"/>
  <c r="J60" i="92" s="1"/>
  <c r="K14" i="90"/>
  <c r="L14" i="89"/>
  <c r="M12" i="89" s="1"/>
  <c r="L12" i="90" l="1"/>
  <c r="K15" i="90"/>
  <c r="K12" i="92" s="1"/>
  <c r="K60" i="92" s="1"/>
  <c r="L14" i="90"/>
  <c r="M12" i="90" s="1"/>
  <c r="M15" i="90" s="1"/>
  <c r="M12" i="92" s="1"/>
  <c r="M60" i="92" s="1"/>
  <c r="M14" i="89"/>
  <c r="N12" i="89" s="1"/>
  <c r="N14" i="89" s="1"/>
  <c r="Q12" i="89" s="1"/>
  <c r="Q15" i="89" s="1"/>
  <c r="L15" i="90" l="1"/>
  <c r="L12" i="92" s="1"/>
  <c r="L60" i="92" s="1"/>
  <c r="C27" i="103" l="1"/>
  <c r="C75" i="103" s="1"/>
  <c r="C34" i="103" l="1"/>
  <c r="C37" i="103" l="1"/>
  <c r="C22" i="103" s="1"/>
  <c r="C21" i="104" s="1"/>
  <c r="D34" i="103"/>
  <c r="O21" i="103"/>
  <c r="E21" i="104"/>
  <c r="E22" i="104" s="1"/>
  <c r="E34" i="103" l="1"/>
  <c r="F34" i="103" s="1"/>
  <c r="G34" i="103" s="1"/>
  <c r="H34" i="103" s="1"/>
  <c r="D37" i="103"/>
  <c r="E27" i="104"/>
  <c r="C22" i="104"/>
  <c r="C23" i="103"/>
  <c r="C35" i="103"/>
  <c r="E23" i="103"/>
  <c r="G22" i="103"/>
  <c r="F22" i="103"/>
  <c r="F21" i="104" s="1"/>
  <c r="F22" i="104" s="1"/>
  <c r="D22" i="103" l="1"/>
  <c r="D21" i="104" s="1"/>
  <c r="D22" i="104" s="1"/>
  <c r="F27" i="104"/>
  <c r="E28" i="103"/>
  <c r="C28" i="103"/>
  <c r="G23" i="103"/>
  <c r="G21" i="104"/>
  <c r="G22" i="104" s="1"/>
  <c r="C27" i="104"/>
  <c r="F23" i="103"/>
  <c r="I34" i="103"/>
  <c r="H22" i="103"/>
  <c r="D23" i="103" l="1"/>
  <c r="D26" i="103" s="1"/>
  <c r="D27" i="104"/>
  <c r="D35" i="103"/>
  <c r="E35" i="103" s="1"/>
  <c r="F35" i="103" s="1"/>
  <c r="G35" i="103" s="1"/>
  <c r="H35" i="103" s="1"/>
  <c r="G27" i="104"/>
  <c r="F28" i="103"/>
  <c r="G28" i="103"/>
  <c r="H23" i="103"/>
  <c r="H21" i="104"/>
  <c r="H22" i="104" s="1"/>
  <c r="J34" i="103"/>
  <c r="I22" i="103"/>
  <c r="O26" i="103" l="1"/>
  <c r="D27" i="103"/>
  <c r="D28" i="103" s="1"/>
  <c r="H27" i="104"/>
  <c r="H28" i="103"/>
  <c r="I35" i="103"/>
  <c r="I21" i="104"/>
  <c r="O27" i="103"/>
  <c r="K34" i="103"/>
  <c r="J22" i="103"/>
  <c r="I23" i="103"/>
  <c r="I22" i="104" l="1"/>
  <c r="J23" i="103"/>
  <c r="J21" i="104"/>
  <c r="J22" i="104" s="1"/>
  <c r="J35" i="103"/>
  <c r="I28" i="103"/>
  <c r="L34" i="103"/>
  <c r="K22" i="103"/>
  <c r="K21" i="104" s="1"/>
  <c r="K22" i="104" s="1"/>
  <c r="K27" i="104" l="1"/>
  <c r="J27" i="104"/>
  <c r="J28" i="103"/>
  <c r="I27" i="104"/>
  <c r="K35" i="103"/>
  <c r="K23" i="103"/>
  <c r="L22" i="103"/>
  <c r="M34" i="103"/>
  <c r="I75" i="103" l="1"/>
  <c r="I77" i="103" s="1"/>
  <c r="I79" i="103" s="1"/>
  <c r="F75" i="103"/>
  <c r="F77" i="103" s="1"/>
  <c r="F79" i="103" s="1"/>
  <c r="K75" i="103"/>
  <c r="K77" i="103" s="1"/>
  <c r="K79" i="103" s="1"/>
  <c r="E75" i="103"/>
  <c r="E77" i="103" s="1"/>
  <c r="E79" i="103" s="1"/>
  <c r="G75" i="103"/>
  <c r="G77" i="103" s="1"/>
  <c r="G79" i="103" s="1"/>
  <c r="J75" i="103"/>
  <c r="J77" i="103" s="1"/>
  <c r="J79" i="103" s="1"/>
  <c r="L75" i="103"/>
  <c r="L77" i="103" s="1"/>
  <c r="L79" i="103" s="1"/>
  <c r="M75" i="103"/>
  <c r="M77" i="103" s="1"/>
  <c r="M79" i="103" s="1"/>
  <c r="H75" i="103"/>
  <c r="H77" i="103" s="1"/>
  <c r="H79" i="103" s="1"/>
  <c r="N75" i="103"/>
  <c r="N77" i="103" s="1"/>
  <c r="N79" i="103" s="1"/>
  <c r="C77" i="103"/>
  <c r="C79" i="103" s="1"/>
  <c r="D75" i="103"/>
  <c r="D77" i="103" s="1"/>
  <c r="D79" i="103" s="1"/>
  <c r="L23" i="103"/>
  <c r="L21" i="104"/>
  <c r="L22" i="104" s="1"/>
  <c r="L35" i="103"/>
  <c r="N34" i="103"/>
  <c r="N22" i="103" s="1"/>
  <c r="M22" i="103"/>
  <c r="M21" i="104" s="1"/>
  <c r="K28" i="103"/>
  <c r="L28" i="103" l="1"/>
  <c r="N23" i="103"/>
  <c r="N21" i="104"/>
  <c r="N22" i="104" s="1"/>
  <c r="M22" i="104"/>
  <c r="L27" i="104"/>
  <c r="M35" i="103"/>
  <c r="N35" i="103" s="1"/>
  <c r="M23" i="103"/>
  <c r="O22" i="103"/>
  <c r="N27" i="104" l="1"/>
  <c r="M27" i="104"/>
  <c r="N28" i="103"/>
  <c r="O21" i="104"/>
  <c r="O22" i="104"/>
  <c r="M28" i="103"/>
  <c r="O23" i="103"/>
  <c r="O27" i="104" l="1"/>
  <c r="O28" i="103"/>
  <c r="C27" i="89" l="1"/>
  <c r="D25" i="89"/>
  <c r="D27" i="89" s="1"/>
  <c r="E25" i="89" s="1"/>
  <c r="E27" i="89" s="1"/>
  <c r="F25" i="89" s="1"/>
  <c r="F27" i="89" s="1"/>
  <c r="G25" i="89" s="1"/>
  <c r="G27" i="89" s="1"/>
  <c r="H25" i="89" s="1"/>
  <c r="H27" i="89" s="1"/>
  <c r="I25" i="89" s="1"/>
  <c r="I27" i="89" s="1"/>
  <c r="J25" i="89" s="1"/>
  <c r="J27" i="89" s="1"/>
  <c r="K25" i="89" s="1"/>
  <c r="K27" i="89" s="1"/>
  <c r="L25" i="89" s="1"/>
  <c r="L27" i="89" s="1"/>
  <c r="M25" i="89" s="1"/>
  <c r="M27" i="89" s="1"/>
  <c r="N25" i="89" s="1"/>
  <c r="N27" i="89" s="1"/>
  <c r="Q25" i="89" s="1"/>
  <c r="Q28" i="89" s="1"/>
  <c r="C42" i="90"/>
  <c r="C33" i="92" s="1"/>
  <c r="C53" i="92"/>
  <c r="O53" i="92" s="1"/>
  <c r="C49" i="90"/>
  <c r="C51" i="90" s="1"/>
  <c r="C13" i="90"/>
  <c r="O13" i="90" s="1"/>
  <c r="C40" i="90"/>
  <c r="C32" i="92" s="1"/>
  <c r="C67" i="90"/>
  <c r="C69" i="90" s="1"/>
  <c r="C58" i="90"/>
  <c r="C46" i="92" s="1"/>
  <c r="C31" i="90"/>
  <c r="C33" i="90" s="1"/>
  <c r="C22" i="90"/>
  <c r="O22" i="90" s="1"/>
  <c r="C52" i="104"/>
  <c r="C31" i="104"/>
  <c r="C32" i="104" s="1"/>
  <c r="O31" i="104"/>
  <c r="O26" i="136"/>
  <c r="C28" i="136"/>
  <c r="O32" i="136"/>
  <c r="C26" i="136"/>
  <c r="C32" i="136"/>
  <c r="C43" i="136"/>
  <c r="O43" i="136" s="1"/>
  <c r="C27" i="136"/>
  <c r="C25" i="136"/>
  <c r="C31" i="136" s="1"/>
  <c r="O31" i="136" s="1"/>
  <c r="C22" i="136"/>
  <c r="C24" i="136" s="1"/>
  <c r="O22" i="136"/>
  <c r="O28" i="89"/>
  <c r="C41" i="103"/>
  <c r="C42" i="103" s="1"/>
  <c r="O42" i="103" l="1"/>
  <c r="O50" i="103" s="1"/>
  <c r="C50" i="103"/>
  <c r="C53" i="103"/>
  <c r="C64" i="103" s="1"/>
  <c r="D64" i="103" s="1"/>
  <c r="O31" i="90"/>
  <c r="C60" i="90"/>
  <c r="O58" i="90"/>
  <c r="O40" i="90"/>
  <c r="O49" i="90"/>
  <c r="C25" i="92"/>
  <c r="O25" i="92" s="1"/>
  <c r="C34" i="92"/>
  <c r="D31" i="92" s="1"/>
  <c r="D34" i="92" s="1"/>
  <c r="E31" i="92" s="1"/>
  <c r="E34" i="92" s="1"/>
  <c r="F31" i="92" s="1"/>
  <c r="F34" i="92" s="1"/>
  <c r="G31" i="92" s="1"/>
  <c r="G34" i="92" s="1"/>
  <c r="H31" i="92" s="1"/>
  <c r="H34" i="92" s="1"/>
  <c r="I31" i="92" s="1"/>
  <c r="I34" i="92" s="1"/>
  <c r="J31" i="92" s="1"/>
  <c r="J34" i="92" s="1"/>
  <c r="K31" i="92" s="1"/>
  <c r="K34" i="92" s="1"/>
  <c r="L31" i="92" s="1"/>
  <c r="L34" i="92" s="1"/>
  <c r="M31" i="92" s="1"/>
  <c r="M34" i="92" s="1"/>
  <c r="N31" i="92" s="1"/>
  <c r="C39" i="92"/>
  <c r="O39" i="92" s="1"/>
  <c r="Q13" i="90"/>
  <c r="N14" i="90" s="1"/>
  <c r="N15" i="90" s="1"/>
  <c r="N12" i="92" s="1"/>
  <c r="Q40" i="90"/>
  <c r="N41" i="90" s="1"/>
  <c r="N42" i="90" s="1"/>
  <c r="Q31" i="90"/>
  <c r="N32" i="90" s="1"/>
  <c r="N33" i="90" s="1"/>
  <c r="N26" i="92" s="1"/>
  <c r="Q22" i="90"/>
  <c r="N23" i="90" s="1"/>
  <c r="N24" i="90" s="1"/>
  <c r="N19" i="92" s="1"/>
  <c r="Q58" i="90"/>
  <c r="N59" i="90" s="1"/>
  <c r="N60" i="90" s="1"/>
  <c r="N47" i="92" s="1"/>
  <c r="Q67" i="90"/>
  <c r="N68" i="90" s="1"/>
  <c r="N69" i="90" s="1"/>
  <c r="N54" i="92" s="1"/>
  <c r="Q49" i="90"/>
  <c r="N50" i="90" s="1"/>
  <c r="N51" i="90" s="1"/>
  <c r="N40" i="92" s="1"/>
  <c r="C30" i="136"/>
  <c r="O24" i="136"/>
  <c r="C54" i="92"/>
  <c r="O28" i="136"/>
  <c r="C34" i="136"/>
  <c r="C40" i="92"/>
  <c r="O25" i="136"/>
  <c r="C18" i="92"/>
  <c r="C24" i="90"/>
  <c r="C26" i="92"/>
  <c r="C63" i="103"/>
  <c r="D63" i="103" s="1"/>
  <c r="E63" i="103" s="1"/>
  <c r="F63" i="103" s="1"/>
  <c r="G63" i="103" s="1"/>
  <c r="H63" i="103" s="1"/>
  <c r="I63" i="103" s="1"/>
  <c r="J63" i="103" s="1"/>
  <c r="K63" i="103" s="1"/>
  <c r="L63" i="103" s="1"/>
  <c r="M63" i="103" s="1"/>
  <c r="N63" i="103" s="1"/>
  <c r="O41" i="103"/>
  <c r="O27" i="136"/>
  <c r="C33" i="136"/>
  <c r="O32" i="92"/>
  <c r="C47" i="136"/>
  <c r="O47" i="136" s="1"/>
  <c r="O32" i="104"/>
  <c r="O41" i="104" s="1"/>
  <c r="C41" i="104"/>
  <c r="C48" i="92"/>
  <c r="D45" i="92" s="1"/>
  <c r="D48" i="92" s="1"/>
  <c r="E45" i="92" s="1"/>
  <c r="E48" i="92" s="1"/>
  <c r="F45" i="92" s="1"/>
  <c r="F48" i="92" s="1"/>
  <c r="G45" i="92" s="1"/>
  <c r="G48" i="92" s="1"/>
  <c r="H45" i="92" s="1"/>
  <c r="H48" i="92" s="1"/>
  <c r="I45" i="92" s="1"/>
  <c r="I48" i="92" s="1"/>
  <c r="J45" i="92" s="1"/>
  <c r="J48" i="92" s="1"/>
  <c r="K45" i="92" s="1"/>
  <c r="K48" i="92" s="1"/>
  <c r="L45" i="92" s="1"/>
  <c r="L48" i="92" s="1"/>
  <c r="M45" i="92" s="1"/>
  <c r="M48" i="92" s="1"/>
  <c r="N45" i="92" s="1"/>
  <c r="O46" i="92"/>
  <c r="C56" i="104"/>
  <c r="D52" i="104"/>
  <c r="O67" i="90"/>
  <c r="C11" i="92"/>
  <c r="C47" i="92"/>
  <c r="C15" i="90"/>
  <c r="N48" i="92" l="1"/>
  <c r="C67" i="103"/>
  <c r="C54" i="103" s="1"/>
  <c r="C65" i="103" s="1"/>
  <c r="O53" i="103"/>
  <c r="O26" i="92"/>
  <c r="O51" i="90"/>
  <c r="O40" i="92"/>
  <c r="O47" i="92"/>
  <c r="O60" i="90"/>
  <c r="C41" i="92"/>
  <c r="D38" i="92" s="1"/>
  <c r="D41" i="92" s="1"/>
  <c r="E38" i="92" s="1"/>
  <c r="E41" i="92" s="1"/>
  <c r="F38" i="92" s="1"/>
  <c r="F41" i="92" s="1"/>
  <c r="G38" i="92" s="1"/>
  <c r="G41" i="92" s="1"/>
  <c r="H38" i="92" s="1"/>
  <c r="H41" i="92" s="1"/>
  <c r="I38" i="92" s="1"/>
  <c r="I41" i="92" s="1"/>
  <c r="J38" i="92" s="1"/>
  <c r="J41" i="92" s="1"/>
  <c r="K38" i="92" s="1"/>
  <c r="K41" i="92" s="1"/>
  <c r="L38" i="92" s="1"/>
  <c r="L41" i="92" s="1"/>
  <c r="M38" i="92" s="1"/>
  <c r="M41" i="92" s="1"/>
  <c r="N38" i="92" s="1"/>
  <c r="N41" i="92" s="1"/>
  <c r="O33" i="90"/>
  <c r="E52" i="104"/>
  <c r="F52" i="104" s="1"/>
  <c r="G52" i="104" s="1"/>
  <c r="H52" i="104" s="1"/>
  <c r="I52" i="104" s="1"/>
  <c r="J52" i="104" s="1"/>
  <c r="K52" i="104" s="1"/>
  <c r="L52" i="104" s="1"/>
  <c r="M52" i="104" s="1"/>
  <c r="N52" i="104" s="1"/>
  <c r="D56" i="104"/>
  <c r="D67" i="103"/>
  <c r="D54" i="103" s="1"/>
  <c r="O54" i="103" s="1"/>
  <c r="E64" i="103"/>
  <c r="F64" i="103" s="1"/>
  <c r="G64" i="103" s="1"/>
  <c r="H64" i="103" s="1"/>
  <c r="I64" i="103" s="1"/>
  <c r="J64" i="103" s="1"/>
  <c r="K64" i="103" s="1"/>
  <c r="L64" i="103" s="1"/>
  <c r="M64" i="103" s="1"/>
  <c r="N64" i="103" s="1"/>
  <c r="O69" i="90"/>
  <c r="O54" i="92"/>
  <c r="C55" i="92"/>
  <c r="D52" i="92" s="1"/>
  <c r="D55" i="92" s="1"/>
  <c r="E52" i="92" s="1"/>
  <c r="E55" i="92" s="1"/>
  <c r="F52" i="92" s="1"/>
  <c r="F55" i="92" s="1"/>
  <c r="G52" i="92" s="1"/>
  <c r="G55" i="92" s="1"/>
  <c r="H52" i="92" s="1"/>
  <c r="H55" i="92" s="1"/>
  <c r="I52" i="92" s="1"/>
  <c r="I55" i="92" s="1"/>
  <c r="J52" i="92" s="1"/>
  <c r="J55" i="92" s="1"/>
  <c r="K52" i="92" s="1"/>
  <c r="K55" i="92" s="1"/>
  <c r="L52" i="92" s="1"/>
  <c r="L55" i="92" s="1"/>
  <c r="M52" i="92" s="1"/>
  <c r="M55" i="92" s="1"/>
  <c r="N52" i="92" s="1"/>
  <c r="N55" i="92" s="1"/>
  <c r="C35" i="136"/>
  <c r="C37" i="136" s="1"/>
  <c r="C48" i="136"/>
  <c r="O48" i="136" s="1"/>
  <c r="O30" i="136"/>
  <c r="O11" i="92"/>
  <c r="C13" i="92"/>
  <c r="D10" i="92" s="1"/>
  <c r="D13" i="92" s="1"/>
  <c r="E10" i="92" s="1"/>
  <c r="E13" i="92" s="1"/>
  <c r="F10" i="92" s="1"/>
  <c r="F13" i="92" s="1"/>
  <c r="G10" i="92" s="1"/>
  <c r="G13" i="92" s="1"/>
  <c r="H10" i="92" s="1"/>
  <c r="H13" i="92" s="1"/>
  <c r="I10" i="92" s="1"/>
  <c r="I13" i="92" s="1"/>
  <c r="J10" i="92" s="1"/>
  <c r="J13" i="92" s="1"/>
  <c r="K10" i="92" s="1"/>
  <c r="K13" i="92" s="1"/>
  <c r="L10" i="92" s="1"/>
  <c r="L13" i="92" s="1"/>
  <c r="M10" i="92" s="1"/>
  <c r="M13" i="92" s="1"/>
  <c r="N10" i="92" s="1"/>
  <c r="N13" i="92" s="1"/>
  <c r="C59" i="92"/>
  <c r="O24" i="90"/>
  <c r="C19" i="92"/>
  <c r="O19" i="92" s="1"/>
  <c r="O18" i="92"/>
  <c r="C27" i="92"/>
  <c r="D24" i="92" s="1"/>
  <c r="D27" i="92" s="1"/>
  <c r="E24" i="92" s="1"/>
  <c r="E27" i="92" s="1"/>
  <c r="F24" i="92" s="1"/>
  <c r="F27" i="92" s="1"/>
  <c r="G24" i="92" s="1"/>
  <c r="G27" i="92" s="1"/>
  <c r="H24" i="92" s="1"/>
  <c r="H27" i="92" s="1"/>
  <c r="I24" i="92" s="1"/>
  <c r="I27" i="92" s="1"/>
  <c r="J24" i="92" s="1"/>
  <c r="J27" i="92" s="1"/>
  <c r="K24" i="92" s="1"/>
  <c r="K27" i="92" s="1"/>
  <c r="L24" i="92" s="1"/>
  <c r="L27" i="92" s="1"/>
  <c r="M24" i="92" s="1"/>
  <c r="M27" i="92" s="1"/>
  <c r="N24" i="92" s="1"/>
  <c r="N27" i="92" s="1"/>
  <c r="C12" i="92"/>
  <c r="O15" i="90"/>
  <c r="C44" i="136"/>
  <c r="O33" i="136"/>
  <c r="O34" i="136"/>
  <c r="C46" i="136"/>
  <c r="O46" i="136" s="1"/>
  <c r="N33" i="92"/>
  <c r="N60" i="92" s="1"/>
  <c r="O42" i="90"/>
  <c r="C43" i="104" l="1"/>
  <c r="C55" i="103"/>
  <c r="C59" i="104"/>
  <c r="C54" i="104"/>
  <c r="C44" i="104"/>
  <c r="C60" i="103"/>
  <c r="O59" i="92"/>
  <c r="O33" i="92"/>
  <c r="N34" i="92"/>
  <c r="D55" i="103"/>
  <c r="D43" i="104"/>
  <c r="D65" i="103"/>
  <c r="E65" i="103" s="1"/>
  <c r="F65" i="103" s="1"/>
  <c r="G65" i="103" s="1"/>
  <c r="H65" i="103" s="1"/>
  <c r="I65" i="103" s="1"/>
  <c r="J65" i="103" s="1"/>
  <c r="K65" i="103" s="1"/>
  <c r="L65" i="103" s="1"/>
  <c r="M65" i="103" s="1"/>
  <c r="N65" i="103" s="1"/>
  <c r="C60" i="92"/>
  <c r="O12" i="92"/>
  <c r="C49" i="136"/>
  <c r="O44" i="136"/>
  <c r="O49" i="136" s="1"/>
  <c r="O35" i="136"/>
  <c r="O37" i="136" s="1"/>
  <c r="C20" i="92"/>
  <c r="D17" i="92" s="1"/>
  <c r="D20" i="92" s="1"/>
  <c r="E17" i="92" s="1"/>
  <c r="E20" i="92" s="1"/>
  <c r="F17" i="92" s="1"/>
  <c r="F20" i="92" s="1"/>
  <c r="G17" i="92" s="1"/>
  <c r="G20" i="92" s="1"/>
  <c r="H17" i="92" s="1"/>
  <c r="H20" i="92" s="1"/>
  <c r="I17" i="92" s="1"/>
  <c r="I20" i="92" s="1"/>
  <c r="J17" i="92" s="1"/>
  <c r="J20" i="92" s="1"/>
  <c r="K17" i="92" s="1"/>
  <c r="K20" i="92" s="1"/>
  <c r="L17" i="92" s="1"/>
  <c r="L20" i="92" s="1"/>
  <c r="M17" i="92" s="1"/>
  <c r="M20" i="92" s="1"/>
  <c r="N17" i="92" s="1"/>
  <c r="N20" i="92" s="1"/>
  <c r="D60" i="103" l="1"/>
  <c r="O60" i="103" s="1"/>
  <c r="D59" i="104"/>
  <c r="D44" i="104"/>
  <c r="O44" i="104" s="1"/>
  <c r="D54" i="104"/>
  <c r="E54" i="104" s="1"/>
  <c r="F54" i="104" s="1"/>
  <c r="G54" i="104" s="1"/>
  <c r="H54" i="104" s="1"/>
  <c r="I54" i="104" s="1"/>
  <c r="J54" i="104" s="1"/>
  <c r="K54" i="104" s="1"/>
  <c r="L54" i="104" s="1"/>
  <c r="M54" i="104" s="1"/>
  <c r="N54" i="104" s="1"/>
  <c r="O60" i="92"/>
  <c r="C49" i="104"/>
  <c r="O43" i="104"/>
  <c r="C61" i="92"/>
  <c r="O55" i="103"/>
  <c r="D49" i="104" l="1"/>
  <c r="O49" i="104" s="1"/>
  <c r="C63" i="92"/>
  <c r="D58" i="92"/>
  <c r="D61" i="92" s="1"/>
  <c r="C66" i="92" l="1"/>
  <c r="E58" i="92"/>
  <c r="E61" i="92" s="1"/>
  <c r="D63" i="92"/>
  <c r="E63" i="92" l="1"/>
  <c r="F58" i="92"/>
  <c r="F61" i="92" s="1"/>
  <c r="D66" i="92"/>
  <c r="E66" i="92" l="1"/>
  <c r="G58" i="92"/>
  <c r="G61" i="92" s="1"/>
  <c r="F63" i="92"/>
  <c r="H58" i="92" l="1"/>
  <c r="H61" i="92" s="1"/>
  <c r="G63" i="92"/>
  <c r="I58" i="92" l="1"/>
  <c r="I61" i="92" s="1"/>
  <c r="H63" i="92"/>
  <c r="F66" i="92"/>
  <c r="G66" i="92"/>
  <c r="I63" i="92" l="1"/>
  <c r="J58" i="92"/>
  <c r="J61" i="92" s="1"/>
  <c r="K58" i="92" l="1"/>
  <c r="K61" i="92" s="1"/>
  <c r="J63" i="92"/>
  <c r="I66" i="92"/>
  <c r="H66" i="92"/>
  <c r="K63" i="92" l="1"/>
  <c r="L58" i="92"/>
  <c r="L61" i="92" s="1"/>
  <c r="J66" i="92"/>
  <c r="L63" i="92" l="1"/>
  <c r="M58" i="92"/>
  <c r="M61" i="92" s="1"/>
  <c r="K66" i="92"/>
  <c r="L66" i="92" l="1"/>
  <c r="M63" i="92"/>
  <c r="N58" i="92"/>
  <c r="N61" i="92" s="1"/>
  <c r="N63" i="92" l="1"/>
  <c r="M66" i="92"/>
  <c r="O52" i="136" l="1"/>
  <c r="N66" i="92"/>
</calcChain>
</file>

<file path=xl/sharedStrings.xml><?xml version="1.0" encoding="utf-8"?>
<sst xmlns="http://schemas.openxmlformats.org/spreadsheetml/2006/main" count="1083" uniqueCount="238">
  <si>
    <t>qtà</t>
  </si>
  <si>
    <t>valore</t>
  </si>
  <si>
    <t>Totale I° sem</t>
  </si>
  <si>
    <t>Totale</t>
  </si>
  <si>
    <t>assenteismo</t>
  </si>
  <si>
    <t>inventario</t>
  </si>
  <si>
    <t>h/uomo disponibili</t>
  </si>
  <si>
    <t>uomini disponibili</t>
  </si>
  <si>
    <t>turni</t>
  </si>
  <si>
    <t>p</t>
  </si>
  <si>
    <t>TOT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</si>
  <si>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</si>
  <si>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</si>
  <si>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</si>
  <si>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</si>
  <si>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</si>
  <si>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</si>
  <si>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</si>
  <si>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</si>
  <si>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</si>
  <si>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</si>
  <si>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</si>
  <si>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</si>
  <si>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LUGLIO</t>
  </si>
  <si>
    <t>AGOSTO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</si>
  <si>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</si>
  <si>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</si>
  <si>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</si>
  <si>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</si>
  <si>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</si>
  <si>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</si>
  <si>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</si>
  <si>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</si>
  <si>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</si>
  <si>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</si>
  <si>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Quantità</t>
  </si>
  <si>
    <t>Prezzo unitario</t>
  </si>
  <si>
    <t>Fatturato</t>
  </si>
  <si>
    <t xml:space="preserve">Prezzi di listino medi unitari </t>
  </si>
  <si>
    <t>Canale</t>
  </si>
  <si>
    <t>Valore mercato di riferimento</t>
  </si>
  <si>
    <t>Punti vendita</t>
  </si>
  <si>
    <t>Quota di mercato</t>
  </si>
  <si>
    <t>Fatturato Mozart</t>
  </si>
  <si>
    <t>Punti vendita serviti</t>
  </si>
  <si>
    <t>Fatturato per punto vendita</t>
  </si>
  <si>
    <t>Penetrazione punti vendita</t>
  </si>
  <si>
    <t>Fatturato per agente</t>
  </si>
  <si>
    <t>Materassi in schiuma poliuretanica (B)</t>
  </si>
  <si>
    <t>Materassi a molle (A)</t>
  </si>
  <si>
    <t>Analisi del mercato di riferimento</t>
  </si>
  <si>
    <t>1- Evoluzione per canale</t>
  </si>
  <si>
    <t>anno (N+1)</t>
  </si>
  <si>
    <t>anno (N+2)</t>
  </si>
  <si>
    <t>anno (N+3)</t>
  </si>
  <si>
    <t>tradizionale</t>
  </si>
  <si>
    <t>televendite</t>
  </si>
  <si>
    <t>gdo</t>
  </si>
  <si>
    <t>2- Dati commerciali anno (N)</t>
  </si>
  <si>
    <t>Preconsuntivo (N)</t>
  </si>
  <si>
    <t>Distribuzione fatt. per canale</t>
  </si>
  <si>
    <t>Condizioni  di regolamento medie di mercato (in gg)</t>
  </si>
  <si>
    <t>Mix di vendita:</t>
  </si>
  <si>
    <t>Fatturato per prodotto:</t>
  </si>
  <si>
    <t>Agenti:</t>
  </si>
  <si>
    <t>nord</t>
  </si>
  <si>
    <t>centro</t>
  </si>
  <si>
    <t>sud e isole</t>
  </si>
  <si>
    <t>totale</t>
  </si>
  <si>
    <t>Premio trimestrale clientela</t>
  </si>
  <si>
    <t>Provvigione agenti</t>
  </si>
  <si>
    <t>altro</t>
  </si>
  <si>
    <t>Budget vendite totali (N+1)</t>
  </si>
  <si>
    <t>Prezzo medio</t>
  </si>
  <si>
    <t>Prezzo medio mix</t>
  </si>
  <si>
    <t>Scostamenti (N+1)/(N) %</t>
  </si>
  <si>
    <t>trad.</t>
  </si>
  <si>
    <t>tel.</t>
  </si>
  <si>
    <t>Molle</t>
  </si>
  <si>
    <t>Poliuretano</t>
  </si>
  <si>
    <t>Q</t>
  </si>
  <si>
    <t>Canale tradizionale</t>
  </si>
  <si>
    <t>Canale televendite</t>
  </si>
  <si>
    <t>Canale GDO</t>
  </si>
  <si>
    <t>MIX prodotto/canale</t>
  </si>
  <si>
    <t>Budget (N+1)</t>
  </si>
  <si>
    <t>Tabella A.3 - Budget vendite per prodotto/canale</t>
  </si>
  <si>
    <t>televendita</t>
  </si>
  <si>
    <t>Tradizionale</t>
  </si>
  <si>
    <t>Televendite</t>
  </si>
  <si>
    <t>GDO</t>
  </si>
  <si>
    <t>CHECK</t>
  </si>
  <si>
    <t>POLIURETANO - TUTTI I CANALI</t>
  </si>
  <si>
    <t>POLIURETANO - TRADIZIONALE</t>
  </si>
  <si>
    <t>POLIURETANO - TELEVENDITE</t>
  </si>
  <si>
    <t>POLIURETANO - GDO</t>
  </si>
  <si>
    <t>MOLLE - TUTTI I CANALI</t>
  </si>
  <si>
    <t>MOLLE- TRADIZIOONALE</t>
  </si>
  <si>
    <t>MOLLE - TELEVENDITE</t>
  </si>
  <si>
    <t>MOLLE - GDO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</si>
  <si>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</si>
  <si>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</si>
  <si>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</si>
  <si>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</si>
  <si>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</si>
  <si>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</si>
  <si>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</si>
  <si>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</si>
  <si>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</si>
  <si>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</si>
  <si>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</si>
  <si>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</si>
  <si>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Tabella 3 - Budget vendite per prodotto/canale mensilizzate</t>
  </si>
  <si>
    <t>Tabella 2 - Budget vendite per prodotto/canale</t>
  </si>
  <si>
    <t>Tabella 1 - Sviluppo del preconsuntivo e del budget delle vendite complessivo</t>
  </si>
  <si>
    <t>Tabella 0 - Dati necessari per sviluppo successivo</t>
  </si>
  <si>
    <t>Materassi a molle</t>
  </si>
  <si>
    <t>Giacenze iniziali</t>
  </si>
  <si>
    <t>Giacenze iniziali (q)</t>
  </si>
  <si>
    <t>Tasso di rotazione scorte</t>
  </si>
  <si>
    <t>Durata prodotti (gg)</t>
  </si>
  <si>
    <t>Budget N+2</t>
  </si>
  <si>
    <t>Giacenze finali</t>
  </si>
  <si>
    <t>Produzione necessaria</t>
  </si>
  <si>
    <t>Vendite</t>
  </si>
  <si>
    <t>Budget vendite totali (N+2)</t>
  </si>
  <si>
    <t>Budget (N+2)</t>
  </si>
  <si>
    <t>Materassi in schiuma poliuretanica</t>
  </si>
  <si>
    <t>Ferro</t>
  </si>
  <si>
    <t>Cotone</t>
  </si>
  <si>
    <t>Lana</t>
  </si>
  <si>
    <t>Materasso a molle</t>
  </si>
  <si>
    <t>u.m.</t>
  </si>
  <si>
    <t>q u.m.</t>
  </si>
  <si>
    <t>kg</t>
  </si>
  <si>
    <t>Materasso schiuma poliuretanica</t>
  </si>
  <si>
    <t>Teli di cotone</t>
  </si>
  <si>
    <t>Filo</t>
  </si>
  <si>
    <t>Cellophane</t>
  </si>
  <si>
    <t>metri</t>
  </si>
  <si>
    <t>n.ro</t>
  </si>
  <si>
    <t>€/u.m.</t>
  </si>
  <si>
    <t>costo</t>
  </si>
  <si>
    <t>All B.2 - Parametri per MRP</t>
  </si>
  <si>
    <t>Tempi di rapprovvigionamento</t>
  </si>
  <si>
    <t>Scorta minima</t>
  </si>
  <si>
    <t>All B.3 - Rimanenze iniziali materie espresse in quantità</t>
  </si>
  <si>
    <t>Tempo di riapprovvigionamento in gg</t>
  </si>
  <si>
    <t>scorta minima</t>
  </si>
  <si>
    <t>Fabbisogno di produzione</t>
  </si>
  <si>
    <t>Acquisti necessari</t>
  </si>
  <si>
    <t>scost. q</t>
  </si>
  <si>
    <t>scost. p</t>
  </si>
  <si>
    <t>Tab. 6 - Distinta Base materie prime</t>
  </si>
  <si>
    <t>valore unitario</t>
  </si>
  <si>
    <t>-Fabbisogno di produzione</t>
  </si>
  <si>
    <t>+Acquisti</t>
  </si>
  <si>
    <t>cu</t>
  </si>
  <si>
    <t>pcu</t>
  </si>
  <si>
    <t>Totale II° sem</t>
  </si>
  <si>
    <t>All 2 - Parametri per MRP</t>
  </si>
  <si>
    <t>All 1 - Scheda di costo standard</t>
  </si>
  <si>
    <t>All 3 - Rimanenze iniziali materie espresse in quantità</t>
  </si>
  <si>
    <t>min/uomo</t>
  </si>
  <si>
    <t>min/macchina</t>
  </si>
  <si>
    <t>Fase 2</t>
  </si>
  <si>
    <t>Fase 1</t>
  </si>
  <si>
    <t>Fase 3</t>
  </si>
  <si>
    <t>Fase 4</t>
  </si>
  <si>
    <t>Fase 5</t>
  </si>
  <si>
    <t>Linea molle</t>
  </si>
  <si>
    <t>Linea poliuretano</t>
  </si>
  <si>
    <t>Tempo macchina a disposizione:</t>
  </si>
  <si>
    <t>N. macchine</t>
  </si>
  <si>
    <t>gg lavoro macchina</t>
  </si>
  <si>
    <t>gg manutenzione (esterna) macchina</t>
  </si>
  <si>
    <t>ore turno</t>
  </si>
  <si>
    <t>Uomini diretti a disposizione</t>
  </si>
  <si>
    <t>gg lavorabili uomo</t>
  </si>
  <si>
    <t>gg inventario uomo</t>
  </si>
  <si>
    <t>assenteismo individuale</t>
  </si>
  <si>
    <t>ore turno uomo</t>
  </si>
  <si>
    <t>ore straordinario uomo</t>
  </si>
  <si>
    <t>Prodotto molle</t>
  </si>
  <si>
    <t>Q produzione necessaria</t>
  </si>
  <si>
    <t>H necessarie</t>
  </si>
  <si>
    <t>gg uomo</t>
  </si>
  <si>
    <t>h disponibili</t>
  </si>
  <si>
    <t>delta h disponibili/necessarie</t>
  </si>
  <si>
    <t>nuova produzione</t>
  </si>
  <si>
    <t>h disponibili standard</t>
  </si>
  <si>
    <t>h straordinari</t>
  </si>
  <si>
    <t>h disponibili totali</t>
  </si>
  <si>
    <t>q prod. massima</t>
  </si>
  <si>
    <t>q necessaria</t>
  </si>
  <si>
    <t>q nuova produzione</t>
  </si>
  <si>
    <t>H necessarie (nuovo)</t>
  </si>
  <si>
    <t>H macchine necessarie</t>
  </si>
  <si>
    <t>gg macchine</t>
  </si>
  <si>
    <t>manutenzione</t>
  </si>
  <si>
    <t>n.ro macchine</t>
  </si>
  <si>
    <t>h turno</t>
  </si>
  <si>
    <t>H macchine necessarie (nuovo)</t>
  </si>
  <si>
    <t>var. totale</t>
  </si>
  <si>
    <t>fatturato vecchi agenti</t>
  </si>
  <si>
    <t>fatturato nuovi agenti</t>
  </si>
  <si>
    <t>var. molle vecchi agenti</t>
  </si>
  <si>
    <t>var. poliuretano vecchi agenti</t>
  </si>
  <si>
    <t>Var. materie prime</t>
  </si>
  <si>
    <t># Materassi a molle allestiti</t>
  </si>
  <si>
    <t>kg di ferro da consumare</t>
  </si>
  <si>
    <t>kg di cotone da consumare</t>
  </si>
  <si>
    <t>kg di lana da consumare</t>
  </si>
  <si>
    <t>costo consumo ferro</t>
  </si>
  <si>
    <t>costo consumo cotone</t>
  </si>
  <si>
    <t>costo consumo lana</t>
  </si>
  <si>
    <t>costo unitario di prodotto (a materie prime)</t>
  </si>
  <si>
    <t># Materassi in schiuma poliuretanica allestiti</t>
  </si>
  <si>
    <t>kg di poliuretano da consumare</t>
  </si>
  <si>
    <t>m di teli di cotone da consumare</t>
  </si>
  <si>
    <t>n. fili da consumare</t>
  </si>
  <si>
    <t>n. cellophane da consumare</t>
  </si>
  <si>
    <t>costo consumo poliuretano</t>
  </si>
  <si>
    <t>costo consumo teli di cotone</t>
  </si>
  <si>
    <t>costo consumo filo</t>
  </si>
  <si>
    <t>costo consumo cellophane</t>
  </si>
  <si>
    <t>costo consumo materie prime - totale</t>
  </si>
  <si>
    <t>costo consumo materie prime - materassi in schiuma</t>
  </si>
  <si>
    <t>costo consumo materie prime - materassi a molle</t>
  </si>
  <si>
    <t>All. 1 - Cicli di lavorazione</t>
  </si>
  <si>
    <t>Tabella 4 (v2) - Budget quantità da produrre</t>
  </si>
  <si>
    <t>All. 2 - Dati per riparto costo del lavoro</t>
  </si>
  <si>
    <t>All. 3 - Dati per calcolo tempo macchina a disposizione</t>
  </si>
  <si>
    <t>Tab. 5 - Check capacità produttiva UOMO</t>
  </si>
  <si>
    <t>Tab. 6 - Check capacità produttiva MACCHINA</t>
  </si>
  <si>
    <t>Tabella 10 - Budget costo del venduto per cruscotto/canale mensilizzato</t>
  </si>
  <si>
    <t>Tabella 9 - Budget acquisti (a valore) di materie prime</t>
  </si>
  <si>
    <t>Tabella 8 - Budget quantità di materie prime da acquistare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</si>
</sst>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(* #,##0_);_(* \(#,##0\);_(* &quot;-&quot;_);_(@_)"/>
    <numFmt numFmtId="167" formatCode="_(&quot;$&quot;* #,##0_);_(&quot;$&quot;* \(#,##0\);_(&quot;$&quot;* &quot;-&quot;_);_(@_)"/>
    <numFmt numFmtId="168" formatCode="_-&quot;€&quot;\ * #,##0_-;\-&quot;€&quot;\ * #,##0_-;_-&quot;€&quot;\ * &quot;-&quot;??_-;_-@_-"/>
    <numFmt numFmtId="169" formatCode="_-* #,##0.00000_-;\-* #,##0.00000_-;_-* &quot;-&quot;??_-;_-@_-"/>
    <numFmt numFmtId="170" formatCode="_-&quot;€&quot;\ * #,##0.0_-;\-&quot;€&quot;\ * #,##0.0_-;_-&quot;€&quot;\ * &quot;-&quot;??_-;_-@_-"/>
  </numFmts>
  <fonts count="19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PT Sans Narrow"/>
      <family val="2"/>
      <charset val="204"/>
    </font>
    <font>
      <sz val="12"/>
      <name val="PT Sans Narrow"/>
      <family val="2"/>
      <charset val="204"/>
    </font>
    <font>
      <b/>
      <sz val="12"/>
      <name val="PT Sans Narrow"/>
      <family val="2"/>
      <charset val="204"/>
    </font>
    <font>
      <i/>
      <sz val="12"/>
      <name val="PT Sans Narrow"/>
      <family val="2"/>
      <charset val="204"/>
    </font>
    <font>
      <b/>
      <i/>
      <sz val="12"/>
      <name val="PT Sans Narrow"/>
      <family val="2"/>
      <charset val="204"/>
    </font>
    <font>
      <sz val="12"/>
      <color indexed="10"/>
      <name val="PT Sans Narrow"/>
      <family val="2"/>
      <charset val="204"/>
    </font>
    <font>
      <b/>
      <sz val="16"/>
      <color theme="4"/>
      <name val="PT Sans Narrow"/>
      <family val="2"/>
      <charset val="204"/>
    </font>
    <font>
      <sz val="12"/>
      <color theme="0"/>
      <name val="PT Sans Narrow"/>
      <family val="2"/>
      <charset val="204"/>
    </font>
    <font>
      <b/>
      <sz val="12"/>
      <color theme="4"/>
      <name val="PT Sans Narrow"/>
      <family val="2"/>
      <charset val="204"/>
    </font>
    <font>
      <b/>
      <sz val="12"/>
      <color theme="4" tint="-0.249977111117893"/>
      <name val="PT Sans Narrow"/>
      <family val="2"/>
      <charset val="204"/>
    </font>
    <font>
      <sz val="14"/>
      <name val="PT Sans Narrow"/>
      <family val="2"/>
      <charset val="204"/>
    </font>
    <font>
      <b/>
      <sz val="14"/>
      <name val="PT Sans Narrow"/>
      <family val="2"/>
      <charset val="204"/>
    </font>
    <font>
      <sz val="14"/>
      <color theme="0"/>
      <name val="PT Sans Narrow"/>
      <family val="2"/>
      <charset val="204"/>
    </font>
    <font>
      <b/>
      <sz val="10"/>
      <name val="PT Sans Narrow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4D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480">
    <xf numFmtId="0" fontId="0" fillId="0" borderId="0" xfId="0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left"/>
    </xf>
    <xf numFmtId="3" fontId="7" fillId="0" borderId="0" xfId="2" applyNumberFormat="1" applyFont="1" applyFill="1" applyBorder="1" applyAlignment="1"/>
    <xf numFmtId="0" fontId="7" fillId="0" borderId="11" xfId="0" applyFont="1" applyBorder="1" applyAlignment="1">
      <alignment horizontal="left"/>
    </xf>
    <xf numFmtId="3" fontId="7" fillId="0" borderId="11" xfId="0" applyNumberFormat="1" applyFont="1" applyBorder="1"/>
    <xf numFmtId="0" fontId="7" fillId="0" borderId="12" xfId="0" applyFont="1" applyBorder="1" applyAlignment="1">
      <alignment horizontal="left"/>
    </xf>
    <xf numFmtId="3" fontId="6" fillId="0" borderId="12" xfId="0" applyNumberFormat="1" applyFont="1" applyBorder="1"/>
    <xf numFmtId="0" fontId="7" fillId="0" borderId="0" xfId="0" applyFont="1"/>
    <xf numFmtId="0" fontId="6" fillId="0" borderId="1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2" borderId="2" xfId="0" applyFont="1" applyFill="1" applyBorder="1"/>
    <xf numFmtId="0" fontId="6" fillId="2" borderId="0" xfId="0" applyFont="1" applyFill="1"/>
    <xf numFmtId="0" fontId="6" fillId="2" borderId="16" xfId="0" applyFont="1" applyFill="1" applyBorder="1"/>
    <xf numFmtId="165" fontId="6" fillId="0" borderId="2" xfId="2" applyNumberFormat="1" applyFont="1" applyBorder="1"/>
    <xf numFmtId="165" fontId="6" fillId="0" borderId="0" xfId="2" applyNumberFormat="1" applyFont="1" applyBorder="1"/>
    <xf numFmtId="165" fontId="6" fillId="0" borderId="7" xfId="2" applyNumberFormat="1" applyFont="1" applyBorder="1"/>
    <xf numFmtId="165" fontId="6" fillId="2" borderId="2" xfId="0" applyNumberFormat="1" applyFont="1" applyFill="1" applyBorder="1"/>
    <xf numFmtId="165" fontId="6" fillId="0" borderId="0" xfId="0" applyNumberFormat="1" applyFont="1"/>
    <xf numFmtId="0" fontId="7" fillId="0" borderId="8" xfId="0" applyFont="1" applyBorder="1" applyAlignment="1">
      <alignment horizontal="left"/>
    </xf>
    <xf numFmtId="165" fontId="7" fillId="2" borderId="8" xfId="2" applyNumberFormat="1" applyFont="1" applyFill="1" applyBorder="1"/>
    <xf numFmtId="165" fontId="7" fillId="2" borderId="13" xfId="2" applyNumberFormat="1" applyFont="1" applyFill="1" applyBorder="1"/>
    <xf numFmtId="165" fontId="7" fillId="2" borderId="15" xfId="2" applyNumberFormat="1" applyFont="1" applyFill="1" applyBorder="1"/>
    <xf numFmtId="165" fontId="7" fillId="0" borderId="0" xfId="2" applyNumberFormat="1" applyFont="1" applyFill="1" applyBorder="1"/>
    <xf numFmtId="165" fontId="6" fillId="0" borderId="2" xfId="0" applyNumberFormat="1" applyFont="1" applyBorder="1"/>
    <xf numFmtId="9" fontId="6" fillId="0" borderId="0" xfId="4" applyFont="1"/>
    <xf numFmtId="43" fontId="6" fillId="0" borderId="0" xfId="0" applyNumberFormat="1" applyFont="1"/>
    <xf numFmtId="0" fontId="7" fillId="0" borderId="0" xfId="0" applyFont="1" applyAlignment="1">
      <alignment horizontal="left"/>
    </xf>
    <xf numFmtId="165" fontId="7" fillId="0" borderId="0" xfId="2" applyNumberFormat="1" applyFont="1" applyBorder="1"/>
    <xf numFmtId="0" fontId="6" fillId="2" borderId="2" xfId="0" applyFont="1" applyFill="1" applyBorder="1" applyAlignment="1">
      <alignment horizontal="center"/>
    </xf>
    <xf numFmtId="43" fontId="6" fillId="0" borderId="0" xfId="2" applyFont="1"/>
    <xf numFmtId="0" fontId="7" fillId="3" borderId="10" xfId="0" applyFont="1" applyFill="1" applyBorder="1" applyAlignment="1">
      <alignment horizontal="center"/>
    </xf>
    <xf numFmtId="3" fontId="6" fillId="0" borderId="0" xfId="0" applyNumberFormat="1" applyFont="1"/>
    <xf numFmtId="3" fontId="6" fillId="3" borderId="0" xfId="0" applyNumberFormat="1" applyFont="1" applyFill="1"/>
    <xf numFmtId="168" fontId="7" fillId="0" borderId="0" xfId="5" applyNumberFormat="1" applyFont="1"/>
    <xf numFmtId="168" fontId="7" fillId="3" borderId="0" xfId="5" applyNumberFormat="1" applyFont="1" applyFill="1"/>
    <xf numFmtId="168" fontId="6" fillId="0" borderId="0" xfId="5" applyNumberFormat="1" applyFont="1"/>
    <xf numFmtId="10" fontId="10" fillId="0" borderId="0" xfId="4" applyNumberFormat="1" applyFont="1" applyAlignment="1">
      <alignment horizontal="center"/>
    </xf>
    <xf numFmtId="0" fontId="11" fillId="0" borderId="0" xfId="0" applyFont="1"/>
    <xf numFmtId="164" fontId="6" fillId="0" borderId="0" xfId="5" applyFont="1" applyFill="1" applyBorder="1" applyAlignment="1"/>
    <xf numFmtId="164" fontId="6" fillId="0" borderId="13" xfId="5" applyFont="1" applyFill="1" applyBorder="1" applyAlignment="1"/>
    <xf numFmtId="164" fontId="6" fillId="0" borderId="0" xfId="5" applyFont="1" applyBorder="1"/>
    <xf numFmtId="164" fontId="9" fillId="2" borderId="13" xfId="5" applyFont="1" applyFill="1" applyBorder="1"/>
    <xf numFmtId="164" fontId="8" fillId="0" borderId="0" xfId="5" applyFont="1" applyBorder="1"/>
    <xf numFmtId="168" fontId="6" fillId="0" borderId="6" xfId="5" applyNumberFormat="1" applyFont="1" applyBorder="1"/>
    <xf numFmtId="168" fontId="7" fillId="2" borderId="14" xfId="5" applyNumberFormat="1" applyFont="1" applyFill="1" applyBorder="1"/>
    <xf numFmtId="164" fontId="8" fillId="2" borderId="0" xfId="5" applyFont="1" applyFill="1" applyBorder="1"/>
    <xf numFmtId="164" fontId="7" fillId="2" borderId="13" xfId="5" applyFont="1" applyFill="1" applyBorder="1"/>
    <xf numFmtId="164" fontId="6" fillId="2" borderId="0" xfId="5" applyFont="1" applyFill="1" applyBorder="1"/>
    <xf numFmtId="168" fontId="6" fillId="2" borderId="16" xfId="5" applyNumberFormat="1" applyFont="1" applyFill="1" applyBorder="1"/>
    <xf numFmtId="168" fontId="7" fillId="2" borderId="17" xfId="5" applyNumberFormat="1" applyFont="1" applyFill="1" applyBorder="1"/>
    <xf numFmtId="164" fontId="6" fillId="0" borderId="0" xfId="5" applyFont="1"/>
    <xf numFmtId="164" fontId="6" fillId="3" borderId="0" xfId="5" applyFont="1" applyFill="1"/>
    <xf numFmtId="0" fontId="6" fillId="0" borderId="33" xfId="0" applyFont="1" applyBorder="1"/>
    <xf numFmtId="0" fontId="6" fillId="0" borderId="33" xfId="0" applyFont="1" applyBorder="1" applyAlignment="1">
      <alignment horizontal="left"/>
    </xf>
    <xf numFmtId="168" fontId="6" fillId="0" borderId="0" xfId="0" applyNumberFormat="1" applyFont="1"/>
    <xf numFmtId="0" fontId="6" fillId="0" borderId="0" xfId="0" applyFont="1" applyAlignment="1">
      <alignment vertical="center"/>
    </xf>
    <xf numFmtId="0" fontId="6" fillId="0" borderId="21" xfId="0" applyFont="1" applyBorder="1"/>
    <xf numFmtId="168" fontId="6" fillId="0" borderId="0" xfId="5" applyNumberFormat="1" applyFont="1" applyBorder="1"/>
    <xf numFmtId="168" fontId="6" fillId="5" borderId="0" xfId="0" applyNumberFormat="1" applyFont="1" applyFill="1"/>
    <xf numFmtId="10" fontId="6" fillId="0" borderId="0" xfId="4" applyNumberFormat="1" applyFont="1"/>
    <xf numFmtId="0" fontId="6" fillId="0" borderId="43" xfId="0" applyFont="1" applyBorder="1"/>
    <xf numFmtId="0" fontId="6" fillId="0" borderId="2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36" xfId="0" applyFont="1" applyBorder="1"/>
    <xf numFmtId="0" fontId="6" fillId="0" borderId="7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4" borderId="19" xfId="0" applyFont="1" applyFill="1" applyBorder="1" applyAlignment="1">
      <alignment vertical="center"/>
    </xf>
    <xf numFmtId="168" fontId="6" fillId="0" borderId="19" xfId="5" applyNumberFormat="1" applyFont="1" applyBorder="1" applyAlignment="1">
      <alignment vertical="center"/>
    </xf>
    <xf numFmtId="9" fontId="6" fillId="4" borderId="19" xfId="0" applyNumberFormat="1" applyFont="1" applyFill="1" applyBorder="1" applyAlignment="1">
      <alignment vertical="center"/>
    </xf>
    <xf numFmtId="9" fontId="6" fillId="4" borderId="19" xfId="0" applyNumberFormat="1" applyFont="1" applyFill="1" applyBorder="1" applyAlignment="1">
      <alignment horizontal="center" vertical="center"/>
    </xf>
    <xf numFmtId="168" fontId="6" fillId="0" borderId="19" xfId="0" applyNumberFormat="1" applyFont="1" applyBorder="1" applyAlignment="1">
      <alignment vertical="center"/>
    </xf>
    <xf numFmtId="168" fontId="6" fillId="4" borderId="19" xfId="0" applyNumberFormat="1" applyFont="1" applyFill="1" applyBorder="1" applyAlignment="1">
      <alignment vertical="center"/>
    </xf>
    <xf numFmtId="9" fontId="6" fillId="0" borderId="19" xfId="0" applyNumberFormat="1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9" fontId="6" fillId="0" borderId="0" xfId="4" applyFont="1" applyAlignment="1">
      <alignment horizontal="center" vertical="center"/>
    </xf>
    <xf numFmtId="9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4" borderId="30" xfId="0" applyNumberFormat="1" applyFont="1" applyFill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9" fontId="6" fillId="4" borderId="6" xfId="0" applyNumberFormat="1" applyFont="1" applyFill="1" applyBorder="1" applyAlignment="1">
      <alignment horizontal="center" vertical="center"/>
    </xf>
    <xf numFmtId="9" fontId="6" fillId="4" borderId="5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9" fontId="6" fillId="4" borderId="51" xfId="0" applyNumberFormat="1" applyFont="1" applyFill="1" applyBorder="1" applyAlignment="1">
      <alignment horizontal="center" vertical="center"/>
    </xf>
    <xf numFmtId="168" fontId="6" fillId="0" borderId="54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165" fontId="6" fillId="0" borderId="19" xfId="2" applyNumberFormat="1" applyFont="1" applyFill="1" applyBorder="1" applyAlignment="1">
      <alignment horizontal="center" vertical="center"/>
    </xf>
    <xf numFmtId="9" fontId="6" fillId="0" borderId="19" xfId="4" applyFont="1" applyBorder="1" applyAlignment="1">
      <alignment horizontal="center" vertical="center"/>
    </xf>
    <xf numFmtId="168" fontId="6" fillId="0" borderId="19" xfId="5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165" fontId="6" fillId="4" borderId="19" xfId="2" applyNumberFormat="1" applyFont="1" applyFill="1" applyBorder="1" applyAlignment="1">
      <alignment vertical="center"/>
    </xf>
    <xf numFmtId="165" fontId="6" fillId="4" borderId="19" xfId="2" applyNumberFormat="1" applyFont="1" applyFill="1" applyBorder="1" applyAlignment="1">
      <alignment horizontal="center" vertical="center"/>
    </xf>
    <xf numFmtId="164" fontId="6" fillId="0" borderId="19" xfId="5" applyFont="1" applyBorder="1" applyAlignment="1">
      <alignment horizontal="center" vertical="center"/>
    </xf>
    <xf numFmtId="0" fontId="7" fillId="0" borderId="54" xfId="0" applyFont="1" applyBorder="1" applyAlignment="1">
      <alignment vertical="center"/>
    </xf>
    <xf numFmtId="165" fontId="6" fillId="0" borderId="19" xfId="2" applyNumberFormat="1" applyFont="1" applyBorder="1" applyAlignment="1">
      <alignment vertical="center"/>
    </xf>
    <xf numFmtId="165" fontId="6" fillId="0" borderId="19" xfId="2" applyNumberFormat="1" applyFont="1" applyBorder="1" applyAlignment="1">
      <alignment horizontal="center" vertical="center"/>
    </xf>
    <xf numFmtId="9" fontId="6" fillId="4" borderId="19" xfId="4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7" xfId="0" applyFont="1" applyBorder="1" applyAlignment="1">
      <alignment vertical="center"/>
    </xf>
    <xf numFmtId="0" fontId="6" fillId="8" borderId="56" xfId="0" applyFont="1" applyFill="1" applyBorder="1" applyAlignment="1">
      <alignment vertical="center"/>
    </xf>
    <xf numFmtId="168" fontId="6" fillId="0" borderId="58" xfId="0" applyNumberFormat="1" applyFont="1" applyBorder="1" applyAlignment="1">
      <alignment vertical="center"/>
    </xf>
    <xf numFmtId="168" fontId="6" fillId="8" borderId="20" xfId="0" applyNumberFormat="1" applyFont="1" applyFill="1" applyBorder="1" applyAlignment="1">
      <alignment vertical="center"/>
    </xf>
    <xf numFmtId="165" fontId="6" fillId="0" borderId="58" xfId="2" applyNumberFormat="1" applyFont="1" applyFill="1" applyBorder="1" applyAlignment="1">
      <alignment horizontal="center" vertical="center"/>
    </xf>
    <xf numFmtId="165" fontId="6" fillId="8" borderId="20" xfId="2" applyNumberFormat="1" applyFont="1" applyFill="1" applyBorder="1" applyAlignment="1">
      <alignment horizontal="center" vertical="center"/>
    </xf>
    <xf numFmtId="168" fontId="6" fillId="0" borderId="58" xfId="5" applyNumberFormat="1" applyFont="1" applyBorder="1" applyAlignment="1">
      <alignment vertical="center"/>
    </xf>
    <xf numFmtId="168" fontId="6" fillId="8" borderId="20" xfId="5" applyNumberFormat="1" applyFont="1" applyFill="1" applyBorder="1" applyAlignment="1">
      <alignment vertical="center"/>
    </xf>
    <xf numFmtId="9" fontId="6" fillId="0" borderId="58" xfId="4" applyFont="1" applyBorder="1" applyAlignment="1">
      <alignment horizontal="center" vertical="center"/>
    </xf>
    <xf numFmtId="9" fontId="6" fillId="8" borderId="20" xfId="4" applyFont="1" applyFill="1" applyBorder="1" applyAlignment="1">
      <alignment horizontal="center" vertical="center"/>
    </xf>
    <xf numFmtId="168" fontId="6" fillId="0" borderId="58" xfId="5" applyNumberFormat="1" applyFont="1" applyBorder="1" applyAlignment="1">
      <alignment horizontal="center" vertical="center"/>
    </xf>
    <xf numFmtId="168" fontId="6" fillId="8" borderId="20" xfId="5" applyNumberFormat="1" applyFont="1" applyFill="1" applyBorder="1" applyAlignment="1">
      <alignment horizontal="center" vertical="center"/>
    </xf>
    <xf numFmtId="0" fontId="6" fillId="0" borderId="58" xfId="0" applyFont="1" applyBorder="1" applyAlignment="1">
      <alignment vertical="center"/>
    </xf>
    <xf numFmtId="0" fontId="6" fillId="8" borderId="20" xfId="0" applyFont="1" applyFill="1" applyBorder="1" applyAlignment="1">
      <alignment vertical="center"/>
    </xf>
    <xf numFmtId="0" fontId="7" fillId="0" borderId="58" xfId="0" applyFont="1" applyBorder="1" applyAlignment="1">
      <alignment vertical="center"/>
    </xf>
    <xf numFmtId="0" fontId="7" fillId="8" borderId="20" xfId="0" applyFont="1" applyFill="1" applyBorder="1" applyAlignment="1">
      <alignment vertical="center"/>
    </xf>
    <xf numFmtId="168" fontId="7" fillId="0" borderId="59" xfId="0" applyNumberFormat="1" applyFont="1" applyBorder="1" applyAlignment="1">
      <alignment vertical="center"/>
    </xf>
    <xf numFmtId="168" fontId="7" fillId="0" borderId="60" xfId="0" applyNumberFormat="1" applyFont="1" applyBorder="1" applyAlignment="1">
      <alignment vertical="center"/>
    </xf>
    <xf numFmtId="168" fontId="7" fillId="8" borderId="61" xfId="0" applyNumberFormat="1" applyFont="1" applyFill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168" fontId="7" fillId="0" borderId="62" xfId="0" applyNumberFormat="1" applyFont="1" applyBorder="1" applyAlignment="1">
      <alignment vertical="center"/>
    </xf>
    <xf numFmtId="168" fontId="7" fillId="0" borderId="50" xfId="0" applyNumberFormat="1" applyFont="1" applyBorder="1" applyAlignment="1">
      <alignment vertical="center"/>
    </xf>
    <xf numFmtId="168" fontId="7" fillId="8" borderId="63" xfId="0" applyNumberFormat="1" applyFont="1" applyFill="1" applyBorder="1" applyAlignment="1">
      <alignment vertical="center"/>
    </xf>
    <xf numFmtId="0" fontId="6" fillId="9" borderId="56" xfId="0" applyFont="1" applyFill="1" applyBorder="1" applyAlignment="1">
      <alignment vertical="center"/>
    </xf>
    <xf numFmtId="168" fontId="6" fillId="9" borderId="20" xfId="0" applyNumberFormat="1" applyFont="1" applyFill="1" applyBorder="1" applyAlignment="1">
      <alignment vertical="center"/>
    </xf>
    <xf numFmtId="165" fontId="6" fillId="9" borderId="20" xfId="2" applyNumberFormat="1" applyFont="1" applyFill="1" applyBorder="1" applyAlignment="1">
      <alignment horizontal="center" vertical="center"/>
    </xf>
    <xf numFmtId="168" fontId="6" fillId="9" borderId="20" xfId="5" applyNumberFormat="1" applyFont="1" applyFill="1" applyBorder="1" applyAlignment="1">
      <alignment vertical="center"/>
    </xf>
    <xf numFmtId="168" fontId="7" fillId="9" borderId="63" xfId="0" applyNumberFormat="1" applyFont="1" applyFill="1" applyBorder="1" applyAlignment="1">
      <alignment vertical="center"/>
    </xf>
    <xf numFmtId="9" fontId="6" fillId="9" borderId="20" xfId="4" applyFont="1" applyFill="1" applyBorder="1" applyAlignment="1">
      <alignment horizontal="center" vertical="center"/>
    </xf>
    <xf numFmtId="168" fontId="6" fillId="9" borderId="20" xfId="5" applyNumberFormat="1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168" fontId="7" fillId="9" borderId="61" xfId="0" applyNumberFormat="1" applyFont="1" applyFill="1" applyBorder="1" applyAlignment="1">
      <alignment vertical="center"/>
    </xf>
    <xf numFmtId="165" fontId="6" fillId="4" borderId="58" xfId="2" applyNumberFormat="1" applyFont="1" applyFill="1" applyBorder="1" applyAlignment="1">
      <alignment horizontal="center" vertical="center"/>
    </xf>
    <xf numFmtId="164" fontId="6" fillId="4" borderId="19" xfId="5" applyFont="1" applyFill="1" applyBorder="1" applyAlignment="1">
      <alignment horizontal="center" vertical="center"/>
    </xf>
    <xf numFmtId="9" fontId="7" fillId="0" borderId="58" xfId="0" applyNumberFormat="1" applyFont="1" applyBorder="1" applyAlignment="1">
      <alignment horizontal="center" vertical="center"/>
    </xf>
    <xf numFmtId="9" fontId="7" fillId="0" borderId="19" xfId="0" applyNumberFormat="1" applyFont="1" applyBorder="1" applyAlignment="1">
      <alignment horizontal="center" vertical="center"/>
    </xf>
    <xf numFmtId="9" fontId="7" fillId="8" borderId="20" xfId="0" applyNumberFormat="1" applyFont="1" applyFill="1" applyBorder="1" applyAlignment="1">
      <alignment horizontal="center" vertical="center"/>
    </xf>
    <xf numFmtId="9" fontId="7" fillId="4" borderId="19" xfId="0" applyNumberFormat="1" applyFont="1" applyFill="1" applyBorder="1" applyAlignment="1">
      <alignment horizontal="center" vertical="center"/>
    </xf>
    <xf numFmtId="9" fontId="7" fillId="9" borderId="20" xfId="0" applyNumberFormat="1" applyFont="1" applyFill="1" applyBorder="1" applyAlignment="1">
      <alignment horizontal="center" vertical="center"/>
    </xf>
    <xf numFmtId="9" fontId="7" fillId="0" borderId="58" xfId="4" applyFont="1" applyBorder="1" applyAlignment="1">
      <alignment horizontal="center" vertical="center"/>
    </xf>
    <xf numFmtId="9" fontId="7" fillId="0" borderId="19" xfId="4" applyFont="1" applyBorder="1" applyAlignment="1">
      <alignment horizontal="center" vertical="center"/>
    </xf>
    <xf numFmtId="9" fontId="7" fillId="8" borderId="20" xfId="4" applyFont="1" applyFill="1" applyBorder="1" applyAlignment="1">
      <alignment horizontal="center" vertical="center"/>
    </xf>
    <xf numFmtId="9" fontId="7" fillId="4" borderId="58" xfId="4" applyFont="1" applyFill="1" applyBorder="1" applyAlignment="1">
      <alignment horizontal="center" vertical="center"/>
    </xf>
    <xf numFmtId="9" fontId="7" fillId="9" borderId="20" xfId="4" applyFont="1" applyFill="1" applyBorder="1" applyAlignment="1">
      <alignment horizontal="center" vertical="center"/>
    </xf>
    <xf numFmtId="0" fontId="6" fillId="4" borderId="58" xfId="0" applyFont="1" applyFill="1" applyBorder="1" applyAlignment="1">
      <alignment vertical="center"/>
    </xf>
    <xf numFmtId="10" fontId="6" fillId="0" borderId="19" xfId="4" applyNumberFormat="1" applyFont="1" applyFill="1" applyBorder="1" applyAlignment="1">
      <alignment horizontal="center" vertical="center"/>
    </xf>
    <xf numFmtId="10" fontId="6" fillId="9" borderId="20" xfId="4" applyNumberFormat="1" applyFont="1" applyFill="1" applyBorder="1" applyAlignment="1">
      <alignment horizontal="center" vertical="center"/>
    </xf>
    <xf numFmtId="10" fontId="6" fillId="0" borderId="58" xfId="4" applyNumberFormat="1" applyFont="1" applyFill="1" applyBorder="1" applyAlignment="1">
      <alignment horizontal="center" vertical="center"/>
    </xf>
    <xf numFmtId="10" fontId="6" fillId="0" borderId="19" xfId="4" applyNumberFormat="1" applyFont="1" applyBorder="1" applyAlignment="1">
      <alignment horizontal="center" vertical="center"/>
    </xf>
    <xf numFmtId="10" fontId="7" fillId="0" borderId="58" xfId="4" applyNumberFormat="1" applyFont="1" applyFill="1" applyBorder="1" applyAlignment="1">
      <alignment horizontal="center" vertical="center"/>
    </xf>
    <xf numFmtId="10" fontId="7" fillId="0" borderId="19" xfId="4" applyNumberFormat="1" applyFont="1" applyBorder="1" applyAlignment="1">
      <alignment horizontal="center" vertical="center"/>
    </xf>
    <xf numFmtId="10" fontId="7" fillId="9" borderId="20" xfId="4" applyNumberFormat="1" applyFont="1" applyFill="1" applyBorder="1" applyAlignment="1">
      <alignment horizontal="center" vertical="center"/>
    </xf>
    <xf numFmtId="10" fontId="7" fillId="0" borderId="59" xfId="4" applyNumberFormat="1" applyFont="1" applyBorder="1" applyAlignment="1">
      <alignment vertical="center"/>
    </xf>
    <xf numFmtId="10" fontId="7" fillId="0" borderId="60" xfId="4" applyNumberFormat="1" applyFont="1" applyBorder="1" applyAlignment="1">
      <alignment vertical="center"/>
    </xf>
    <xf numFmtId="10" fontId="7" fillId="9" borderId="61" xfId="4" applyNumberFormat="1" applyFont="1" applyFill="1" applyBorder="1" applyAlignment="1">
      <alignment vertical="center"/>
    </xf>
    <xf numFmtId="0" fontId="6" fillId="0" borderId="51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165" fontId="6" fillId="0" borderId="3" xfId="2" applyNumberFormat="1" applyFont="1" applyBorder="1"/>
    <xf numFmtId="168" fontId="6" fillId="0" borderId="5" xfId="5" applyNumberFormat="1" applyFont="1" applyBorder="1"/>
    <xf numFmtId="168" fontId="6" fillId="0" borderId="4" xfId="5" applyNumberFormat="1" applyFont="1" applyBorder="1"/>
    <xf numFmtId="0" fontId="6" fillId="0" borderId="31" xfId="0" applyFont="1" applyBorder="1" applyAlignment="1">
      <alignment horizontal="center"/>
    </xf>
    <xf numFmtId="0" fontId="6" fillId="0" borderId="57" xfId="0" applyFont="1" applyBorder="1"/>
    <xf numFmtId="168" fontId="6" fillId="0" borderId="9" xfId="5" applyNumberFormat="1" applyFont="1" applyBorder="1"/>
    <xf numFmtId="168" fontId="6" fillId="0" borderId="45" xfId="5" applyNumberFormat="1" applyFont="1" applyBorder="1"/>
    <xf numFmtId="0" fontId="7" fillId="0" borderId="65" xfId="0" applyFont="1" applyBorder="1"/>
    <xf numFmtId="0" fontId="7" fillId="0" borderId="15" xfId="0" applyFont="1" applyBorder="1"/>
    <xf numFmtId="0" fontId="7" fillId="0" borderId="13" xfId="0" applyFont="1" applyBorder="1"/>
    <xf numFmtId="168" fontId="7" fillId="0" borderId="14" xfId="5" applyNumberFormat="1" applyFont="1" applyBorder="1"/>
    <xf numFmtId="168" fontId="7" fillId="0" borderId="17" xfId="5" applyNumberFormat="1" applyFont="1" applyBorder="1"/>
    <xf numFmtId="0" fontId="6" fillId="0" borderId="26" xfId="0" applyFont="1" applyBorder="1" applyAlignment="1">
      <alignment horizontal="center"/>
    </xf>
    <xf numFmtId="9" fontId="6" fillId="0" borderId="45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4" borderId="6" xfId="0" applyNumberFormat="1" applyFont="1" applyFill="1" applyBorder="1" applyAlignment="1">
      <alignment horizontal="center"/>
    </xf>
    <xf numFmtId="0" fontId="6" fillId="0" borderId="65" xfId="0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9" fontId="6" fillId="4" borderId="21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3" fontId="6" fillId="0" borderId="0" xfId="2" applyNumberFormat="1" applyFont="1" applyFill="1" applyBorder="1" applyAlignment="1"/>
    <xf numFmtId="0" fontId="7" fillId="0" borderId="34" xfId="0" applyFont="1" applyBorder="1" applyAlignment="1">
      <alignment horizontal="left"/>
    </xf>
    <xf numFmtId="0" fontId="7" fillId="0" borderId="49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6" fillId="0" borderId="4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64" fontId="6" fillId="0" borderId="45" xfId="5" applyFont="1" applyFill="1" applyBorder="1" applyAlignment="1"/>
    <xf numFmtId="164" fontId="6" fillId="0" borderId="17" xfId="5" applyFont="1" applyFill="1" applyBorder="1" applyAlignment="1"/>
    <xf numFmtId="0" fontId="7" fillId="3" borderId="35" xfId="0" applyFont="1" applyFill="1" applyBorder="1" applyAlignment="1">
      <alignment horizontal="center"/>
    </xf>
    <xf numFmtId="3" fontId="6" fillId="3" borderId="45" xfId="0" applyNumberFormat="1" applyFont="1" applyFill="1" applyBorder="1"/>
    <xf numFmtId="164" fontId="6" fillId="3" borderId="45" xfId="5" applyFont="1" applyFill="1" applyBorder="1"/>
    <xf numFmtId="168" fontId="7" fillId="0" borderId="13" xfId="5" applyNumberFormat="1" applyFont="1" applyBorder="1"/>
    <xf numFmtId="168" fontId="7" fillId="3" borderId="17" xfId="5" applyNumberFormat="1" applyFont="1" applyFill="1" applyBorder="1"/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165" fontId="6" fillId="0" borderId="0" xfId="2" applyNumberFormat="1" applyFont="1" applyBorder="1" applyAlignment="1">
      <alignment horizontal="center" vertical="center"/>
    </xf>
    <xf numFmtId="0" fontId="12" fillId="7" borderId="39" xfId="0" applyFont="1" applyFill="1" applyBorder="1" applyAlignment="1">
      <alignment vertical="center"/>
    </xf>
    <xf numFmtId="165" fontId="6" fillId="4" borderId="0" xfId="2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165" fontId="7" fillId="0" borderId="47" xfId="2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6" fillId="0" borderId="67" xfId="0" applyFont="1" applyBorder="1" applyAlignment="1">
      <alignment vertical="center"/>
    </xf>
    <xf numFmtId="0" fontId="6" fillId="0" borderId="58" xfId="0" quotePrefix="1" applyFont="1" applyBorder="1" applyAlignment="1">
      <alignment vertical="center"/>
    </xf>
    <xf numFmtId="0" fontId="7" fillId="0" borderId="62" xfId="0" quotePrefix="1" applyFont="1" applyBorder="1" applyAlignment="1">
      <alignment vertical="center"/>
    </xf>
    <xf numFmtId="0" fontId="6" fillId="9" borderId="38" xfId="0" applyFont="1" applyFill="1" applyBorder="1" applyAlignment="1">
      <alignment horizontal="center" vertical="center"/>
    </xf>
    <xf numFmtId="0" fontId="6" fillId="0" borderId="45" xfId="0" applyFont="1" applyBorder="1" applyAlignment="1">
      <alignment vertical="center"/>
    </xf>
    <xf numFmtId="3" fontId="6" fillId="0" borderId="44" xfId="0" applyNumberFormat="1" applyFont="1" applyBorder="1" applyAlignment="1">
      <alignment vertical="center"/>
    </xf>
    <xf numFmtId="3" fontId="6" fillId="0" borderId="45" xfId="0" applyNumberFormat="1" applyFont="1" applyBorder="1" applyAlignment="1">
      <alignment vertical="center"/>
    </xf>
    <xf numFmtId="165" fontId="7" fillId="9" borderId="63" xfId="2" applyNumberFormat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2" fontId="6" fillId="4" borderId="0" xfId="0" applyNumberFormat="1" applyFont="1" applyFill="1" applyAlignment="1">
      <alignment horizontal="right" vertical="center"/>
    </xf>
    <xf numFmtId="9" fontId="7" fillId="0" borderId="65" xfId="0" applyNumberFormat="1" applyFont="1" applyBorder="1" applyAlignment="1">
      <alignment horizontal="center" vertical="center"/>
    </xf>
    <xf numFmtId="9" fontId="7" fillId="0" borderId="68" xfId="0" applyNumberFormat="1" applyFont="1" applyBorder="1" applyAlignment="1">
      <alignment horizontal="center" vertical="center"/>
    </xf>
    <xf numFmtId="0" fontId="6" fillId="6" borderId="56" xfId="0" applyFont="1" applyFill="1" applyBorder="1" applyAlignment="1">
      <alignment vertical="center"/>
    </xf>
    <xf numFmtId="168" fontId="6" fillId="6" borderId="20" xfId="0" applyNumberFormat="1" applyFont="1" applyFill="1" applyBorder="1" applyAlignment="1">
      <alignment vertical="center"/>
    </xf>
    <xf numFmtId="165" fontId="6" fillId="6" borderId="20" xfId="2" applyNumberFormat="1" applyFont="1" applyFill="1" applyBorder="1" applyAlignment="1">
      <alignment horizontal="center" vertical="center"/>
    </xf>
    <xf numFmtId="168" fontId="6" fillId="6" borderId="20" xfId="5" applyNumberFormat="1" applyFont="1" applyFill="1" applyBorder="1" applyAlignment="1">
      <alignment vertical="center"/>
    </xf>
    <xf numFmtId="168" fontId="7" fillId="6" borderId="63" xfId="0" applyNumberFormat="1" applyFont="1" applyFill="1" applyBorder="1" applyAlignment="1">
      <alignment vertical="center"/>
    </xf>
    <xf numFmtId="9" fontId="7" fillId="6" borderId="40" xfId="0" applyNumberFormat="1" applyFont="1" applyFill="1" applyBorder="1" applyAlignment="1">
      <alignment horizontal="center" vertical="center"/>
    </xf>
    <xf numFmtId="168" fontId="6" fillId="0" borderId="58" xfId="5" applyNumberFormat="1" applyFont="1" applyFill="1" applyBorder="1" applyAlignment="1">
      <alignment vertical="center"/>
    </xf>
    <xf numFmtId="168" fontId="6" fillId="0" borderId="19" xfId="5" applyNumberFormat="1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2" fontId="15" fillId="0" borderId="0" xfId="0" applyNumberFormat="1" applyFont="1" applyAlignment="1">
      <alignment horizontal="center" vertical="center"/>
    </xf>
    <xf numFmtId="0" fontId="15" fillId="0" borderId="44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5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164" fontId="16" fillId="0" borderId="0" xfId="5" applyFont="1" applyBorder="1" applyAlignment="1">
      <alignment vertical="center"/>
    </xf>
    <xf numFmtId="164" fontId="15" fillId="0" borderId="45" xfId="5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64" fontId="16" fillId="0" borderId="17" xfId="5" applyFont="1" applyBorder="1" applyAlignment="1">
      <alignment horizontal="center" vertical="center"/>
    </xf>
    <xf numFmtId="164" fontId="15" fillId="0" borderId="0" xfId="5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 wrapText="1"/>
    </xf>
    <xf numFmtId="0" fontId="17" fillId="0" borderId="66" xfId="0" applyFont="1" applyBorder="1" applyAlignment="1">
      <alignment vertical="center"/>
    </xf>
    <xf numFmtId="0" fontId="17" fillId="0" borderId="67" xfId="0" applyFont="1" applyBorder="1" applyAlignment="1">
      <alignment vertical="center"/>
    </xf>
    <xf numFmtId="0" fontId="15" fillId="12" borderId="70" xfId="0" applyFont="1" applyFill="1" applyBorder="1" applyAlignment="1">
      <alignment horizontal="center" vertical="center"/>
    </xf>
    <xf numFmtId="0" fontId="7" fillId="0" borderId="58" xfId="0" applyFont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/>
    </xf>
    <xf numFmtId="0" fontId="8" fillId="0" borderId="58" xfId="0" applyFont="1" applyBorder="1" applyAlignment="1">
      <alignment horizontal="right" vertical="center"/>
    </xf>
    <xf numFmtId="165" fontId="6" fillId="0" borderId="44" xfId="0" applyNumberFormat="1" applyFont="1" applyBorder="1" applyAlignment="1">
      <alignment vertical="center"/>
    </xf>
    <xf numFmtId="165" fontId="7" fillId="0" borderId="32" xfId="2" applyNumberFormat="1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5" fontId="6" fillId="0" borderId="45" xfId="2" applyNumberFormat="1" applyFont="1" applyBorder="1" applyAlignment="1">
      <alignment vertical="center"/>
    </xf>
    <xf numFmtId="0" fontId="7" fillId="10" borderId="71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65" fontId="6" fillId="0" borderId="43" xfId="0" applyNumberFormat="1" applyFont="1" applyBorder="1" applyAlignment="1">
      <alignment vertical="center"/>
    </xf>
    <xf numFmtId="3" fontId="6" fillId="0" borderId="72" xfId="0" applyNumberFormat="1" applyFont="1" applyBorder="1" applyAlignment="1">
      <alignment vertical="center"/>
    </xf>
    <xf numFmtId="165" fontId="15" fillId="0" borderId="45" xfId="2" applyNumberFormat="1" applyFont="1" applyBorder="1" applyAlignment="1">
      <alignment horizontal="center" vertical="center"/>
    </xf>
    <xf numFmtId="165" fontId="15" fillId="0" borderId="17" xfId="2" applyNumberFormat="1" applyFont="1" applyBorder="1" applyAlignment="1">
      <alignment horizontal="center" vertical="center"/>
    </xf>
    <xf numFmtId="9" fontId="15" fillId="4" borderId="0" xfId="0" applyNumberFormat="1" applyFont="1" applyFill="1" applyAlignment="1">
      <alignment horizontal="center" vertical="center"/>
    </xf>
    <xf numFmtId="164" fontId="15" fillId="12" borderId="0" xfId="5" applyFont="1" applyFill="1" applyBorder="1" applyAlignment="1">
      <alignment horizontal="center" vertical="center"/>
    </xf>
    <xf numFmtId="164" fontId="15" fillId="4" borderId="0" xfId="5" applyFont="1" applyFill="1" applyAlignment="1">
      <alignment horizontal="center" vertical="center"/>
    </xf>
    <xf numFmtId="2" fontId="15" fillId="12" borderId="0" xfId="2" applyNumberFormat="1" applyFont="1" applyFill="1" applyBorder="1" applyAlignment="1">
      <alignment horizontal="center" vertical="center"/>
    </xf>
    <xf numFmtId="0" fontId="15" fillId="9" borderId="70" xfId="0" applyFont="1" applyFill="1" applyBorder="1" applyAlignment="1">
      <alignment horizontal="center" vertical="center"/>
    </xf>
    <xf numFmtId="43" fontId="15" fillId="0" borderId="45" xfId="2" applyFont="1" applyBorder="1" applyAlignment="1">
      <alignment horizontal="center" vertical="center"/>
    </xf>
    <xf numFmtId="43" fontId="15" fillId="0" borderId="17" xfId="2" applyFont="1" applyBorder="1" applyAlignment="1">
      <alignment horizontal="center" vertical="center"/>
    </xf>
    <xf numFmtId="165" fontId="15" fillId="12" borderId="45" xfId="2" applyNumberFormat="1" applyFont="1" applyFill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164" fontId="8" fillId="0" borderId="0" xfId="5" applyFont="1" applyFill="1" applyBorder="1" applyAlignment="1">
      <alignment horizontal="right" vertical="center"/>
    </xf>
    <xf numFmtId="168" fontId="6" fillId="0" borderId="0" xfId="5" applyNumberFormat="1" applyFont="1" applyFill="1" applyBorder="1" applyAlignment="1">
      <alignment horizontal="center" vertical="center"/>
    </xf>
    <xf numFmtId="168" fontId="6" fillId="0" borderId="0" xfId="5" applyNumberFormat="1" applyFont="1" applyBorder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9" borderId="58" xfId="0" applyFont="1" applyFill="1" applyBorder="1" applyAlignment="1">
      <alignment horizontal="right" vertical="center"/>
    </xf>
    <xf numFmtId="0" fontId="6" fillId="9" borderId="0" xfId="0" applyFont="1" applyFill="1" applyAlignment="1">
      <alignment horizontal="center" vertical="center"/>
    </xf>
    <xf numFmtId="0" fontId="6" fillId="9" borderId="58" xfId="0" applyFont="1" applyFill="1" applyBorder="1" applyAlignment="1">
      <alignment vertical="center"/>
    </xf>
    <xf numFmtId="168" fontId="6" fillId="9" borderId="0" xfId="5" applyNumberFormat="1" applyFont="1" applyFill="1" applyBorder="1" applyAlignment="1">
      <alignment horizontal="center" vertical="center"/>
    </xf>
    <xf numFmtId="0" fontId="6" fillId="9" borderId="58" xfId="0" quotePrefix="1" applyFont="1" applyFill="1" applyBorder="1" applyAlignment="1">
      <alignment vertical="center"/>
    </xf>
    <xf numFmtId="0" fontId="7" fillId="9" borderId="62" xfId="0" quotePrefix="1" applyFont="1" applyFill="1" applyBorder="1" applyAlignment="1">
      <alignment vertical="center"/>
    </xf>
    <xf numFmtId="168" fontId="7" fillId="9" borderId="47" xfId="5" applyNumberFormat="1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right"/>
    </xf>
    <xf numFmtId="0" fontId="7" fillId="0" borderId="72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2" fillId="0" borderId="0" xfId="0" applyFont="1"/>
    <xf numFmtId="0" fontId="6" fillId="0" borderId="58" xfId="0" quotePrefix="1" applyFont="1" applyBorder="1"/>
    <xf numFmtId="0" fontId="7" fillId="0" borderId="62" xfId="0" quotePrefix="1" applyFont="1" applyBorder="1"/>
    <xf numFmtId="168" fontId="5" fillId="0" borderId="0" xfId="5" applyNumberFormat="1" applyFont="1"/>
    <xf numFmtId="168" fontId="5" fillId="0" borderId="45" xfId="5" applyNumberFormat="1" applyFont="1" applyBorder="1"/>
    <xf numFmtId="0" fontId="5" fillId="0" borderId="0" xfId="0" applyFont="1" applyAlignment="1">
      <alignment horizontal="center"/>
    </xf>
    <xf numFmtId="168" fontId="5" fillId="0" borderId="28" xfId="5" applyNumberFormat="1" applyFont="1" applyBorder="1" applyAlignment="1">
      <alignment horizontal="center"/>
    </xf>
    <xf numFmtId="168" fontId="5" fillId="0" borderId="7" xfId="5" applyNumberFormat="1" applyFont="1" applyBorder="1"/>
    <xf numFmtId="168" fontId="5" fillId="0" borderId="0" xfId="0" applyNumberFormat="1" applyFont="1"/>
    <xf numFmtId="0" fontId="5" fillId="0" borderId="26" xfId="0" applyFont="1" applyBorder="1" applyAlignment="1">
      <alignment horizontal="center"/>
    </xf>
    <xf numFmtId="0" fontId="5" fillId="0" borderId="58" xfId="0" applyFont="1" applyBorder="1"/>
    <xf numFmtId="0" fontId="18" fillId="0" borderId="66" xfId="0" applyFont="1" applyBorder="1" applyAlignment="1">
      <alignment horizontal="left" vertical="center"/>
    </xf>
    <xf numFmtId="0" fontId="18" fillId="0" borderId="57" xfId="0" applyFont="1" applyBorder="1" applyAlignment="1">
      <alignment horizontal="right"/>
    </xf>
    <xf numFmtId="2" fontId="5" fillId="0" borderId="7" xfId="5" applyNumberFormat="1" applyFont="1" applyBorder="1" applyAlignment="1">
      <alignment horizontal="center"/>
    </xf>
    <xf numFmtId="2" fontId="5" fillId="0" borderId="45" xfId="5" applyNumberFormat="1" applyFont="1" applyBorder="1" applyAlignment="1">
      <alignment horizontal="center" vertical="center"/>
    </xf>
    <xf numFmtId="0" fontId="18" fillId="0" borderId="65" xfId="0" applyFont="1" applyBorder="1"/>
    <xf numFmtId="2" fontId="18" fillId="0" borderId="15" xfId="5" applyNumberFormat="1" applyFont="1" applyBorder="1" applyAlignment="1">
      <alignment horizontal="center"/>
    </xf>
    <xf numFmtId="2" fontId="18" fillId="0" borderId="17" xfId="5" applyNumberFormat="1" applyFont="1" applyBorder="1" applyAlignment="1">
      <alignment horizontal="center" vertical="center"/>
    </xf>
    <xf numFmtId="0" fontId="18" fillId="0" borderId="57" xfId="0" applyFont="1" applyBorder="1" applyAlignment="1">
      <alignment horizontal="left"/>
    </xf>
    <xf numFmtId="165" fontId="5" fillId="0" borderId="45" xfId="2" applyNumberFormat="1" applyFont="1" applyBorder="1" applyAlignment="1">
      <alignment horizontal="center" vertical="center"/>
    </xf>
    <xf numFmtId="0" fontId="5" fillId="0" borderId="65" xfId="0" applyFont="1" applyBorder="1"/>
    <xf numFmtId="0" fontId="18" fillId="0" borderId="64" xfId="0" applyFont="1" applyBorder="1" applyAlignment="1">
      <alignment horizontal="center" vertical="center"/>
    </xf>
    <xf numFmtId="168" fontId="18" fillId="0" borderId="35" xfId="5" applyNumberFormat="1" applyFont="1" applyFill="1" applyBorder="1" applyAlignment="1">
      <alignment horizontal="center"/>
    </xf>
    <xf numFmtId="0" fontId="17" fillId="0" borderId="1" xfId="0" applyFont="1" applyBorder="1" applyAlignment="1">
      <alignment vertical="center"/>
    </xf>
    <xf numFmtId="165" fontId="15" fillId="0" borderId="20" xfId="2" applyNumberFormat="1" applyFont="1" applyBorder="1" applyAlignment="1">
      <alignment horizontal="center" vertical="center"/>
    </xf>
    <xf numFmtId="165" fontId="15" fillId="0" borderId="40" xfId="2" applyNumberFormat="1" applyFont="1" applyBorder="1" applyAlignment="1">
      <alignment horizontal="center" vertical="center"/>
    </xf>
    <xf numFmtId="0" fontId="17" fillId="0" borderId="29" xfId="0" applyFont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45" xfId="0" applyFont="1" applyBorder="1" applyAlignment="1">
      <alignment horizontal="center"/>
    </xf>
    <xf numFmtId="1" fontId="5" fillId="0" borderId="45" xfId="2" applyNumberFormat="1" applyFont="1" applyBorder="1" applyAlignment="1">
      <alignment horizontal="center" vertical="center"/>
    </xf>
    <xf numFmtId="1" fontId="5" fillId="0" borderId="17" xfId="2" applyNumberFormat="1" applyFont="1" applyBorder="1" applyAlignment="1">
      <alignment horizontal="center" vertical="center"/>
    </xf>
    <xf numFmtId="9" fontId="5" fillId="4" borderId="0" xfId="0" applyNumberFormat="1" applyFont="1" applyFill="1"/>
    <xf numFmtId="0" fontId="5" fillId="0" borderId="13" xfId="0" applyFont="1" applyBorder="1" applyAlignment="1">
      <alignment horizontal="center"/>
    </xf>
    <xf numFmtId="0" fontId="7" fillId="0" borderId="58" xfId="0" quotePrefix="1" applyFont="1" applyBorder="1" applyAlignment="1">
      <alignment horizontal="right"/>
    </xf>
    <xf numFmtId="165" fontId="6" fillId="9" borderId="2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65" fontId="6" fillId="9" borderId="20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6" fillId="9" borderId="20" xfId="0" applyFont="1" applyFill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43" fontId="6" fillId="9" borderId="20" xfId="0" applyNumberFormat="1" applyFont="1" applyFill="1" applyBorder="1" applyAlignment="1">
      <alignment horizontal="right" vertical="center"/>
    </xf>
    <xf numFmtId="0" fontId="13" fillId="0" borderId="58" xfId="0" quotePrefix="1" applyFont="1" applyBorder="1"/>
    <xf numFmtId="165" fontId="13" fillId="0" borderId="0" xfId="2" applyNumberFormat="1" applyFont="1" applyBorder="1" applyAlignment="1">
      <alignment horizontal="center" vertical="center"/>
    </xf>
    <xf numFmtId="165" fontId="13" fillId="9" borderId="20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2" xfId="0" applyBorder="1"/>
    <xf numFmtId="0" fontId="0" fillId="0" borderId="22" xfId="0" applyBorder="1"/>
    <xf numFmtId="0" fontId="0" fillId="0" borderId="44" xfId="0" applyBorder="1"/>
    <xf numFmtId="0" fontId="0" fillId="0" borderId="45" xfId="0" applyBorder="1"/>
    <xf numFmtId="0" fontId="2" fillId="0" borderId="44" xfId="0" applyFont="1" applyBorder="1"/>
    <xf numFmtId="0" fontId="0" fillId="0" borderId="8" xfId="0" applyBorder="1"/>
    <xf numFmtId="43" fontId="0" fillId="0" borderId="13" xfId="2" applyFont="1" applyBorder="1"/>
    <xf numFmtId="0" fontId="0" fillId="0" borderId="13" xfId="0" applyBorder="1"/>
    <xf numFmtId="0" fontId="0" fillId="0" borderId="17" xfId="0" applyBorder="1"/>
    <xf numFmtId="1" fontId="6" fillId="0" borderId="0" xfId="0" applyNumberFormat="1" applyFont="1" applyAlignment="1">
      <alignment horizontal="right" vertical="center"/>
    </xf>
    <xf numFmtId="165" fontId="7" fillId="8" borderId="47" xfId="2" applyNumberFormat="1" applyFont="1" applyFill="1" applyBorder="1" applyAlignment="1">
      <alignment horizontal="center" vertical="center"/>
    </xf>
    <xf numFmtId="10" fontId="7" fillId="0" borderId="0" xfId="4" applyNumberFormat="1" applyFont="1"/>
    <xf numFmtId="168" fontId="0" fillId="0" borderId="0" xfId="0" applyNumberFormat="1"/>
    <xf numFmtId="0" fontId="0" fillId="0" borderId="7" xfId="0" applyBorder="1"/>
    <xf numFmtId="0" fontId="0" fillId="0" borderId="6" xfId="0" applyBorder="1"/>
    <xf numFmtId="168" fontId="6" fillId="0" borderId="0" xfId="0" applyNumberFormat="1" applyFont="1" applyAlignment="1">
      <alignment vertical="center"/>
    </xf>
    <xf numFmtId="168" fontId="7" fillId="0" borderId="47" xfId="5" applyNumberFormat="1" applyFont="1" applyFill="1" applyBorder="1" applyAlignment="1">
      <alignment horizontal="center" vertical="center"/>
    </xf>
    <xf numFmtId="170" fontId="0" fillId="0" borderId="0" xfId="5" applyNumberFormat="1" applyFont="1"/>
    <xf numFmtId="170" fontId="0" fillId="0" borderId="0" xfId="0" applyNumberFormat="1"/>
    <xf numFmtId="1" fontId="6" fillId="9" borderId="20" xfId="0" applyNumberFormat="1" applyFont="1" applyFill="1" applyBorder="1" applyAlignment="1">
      <alignment horizontal="right" vertical="center"/>
    </xf>
    <xf numFmtId="0" fontId="6" fillId="0" borderId="66" xfId="0" applyFont="1" applyBorder="1" applyAlignment="1">
      <alignment vertical="center"/>
    </xf>
    <xf numFmtId="0" fontId="8" fillId="0" borderId="58" xfId="0" applyFont="1" applyBorder="1" applyAlignment="1">
      <alignment horizontal="left" vertical="center"/>
    </xf>
    <xf numFmtId="168" fontId="6" fillId="9" borderId="19" xfId="5" applyNumberFormat="1" applyFont="1" applyFill="1" applyBorder="1" applyAlignment="1">
      <alignment horizontal="center" vertical="center"/>
    </xf>
    <xf numFmtId="0" fontId="7" fillId="0" borderId="59" xfId="0" quotePrefix="1" applyFont="1" applyBorder="1" applyAlignment="1">
      <alignment vertical="center"/>
    </xf>
    <xf numFmtId="168" fontId="7" fillId="0" borderId="11" xfId="5" applyNumberFormat="1" applyFont="1" applyFill="1" applyBorder="1" applyAlignment="1">
      <alignment horizontal="center" vertical="center"/>
    </xf>
    <xf numFmtId="168" fontId="7" fillId="9" borderId="61" xfId="5" applyNumberFormat="1" applyFont="1" applyFill="1" applyBorder="1" applyAlignment="1">
      <alignment horizontal="center" vertical="center"/>
    </xf>
    <xf numFmtId="0" fontId="6" fillId="0" borderId="62" xfId="0" quotePrefix="1" applyFont="1" applyBorder="1" applyAlignment="1">
      <alignment vertical="center"/>
    </xf>
    <xf numFmtId="164" fontId="6" fillId="0" borderId="47" xfId="5" applyFont="1" applyFill="1" applyBorder="1" applyAlignment="1">
      <alignment horizontal="center" vertical="center"/>
    </xf>
    <xf numFmtId="164" fontId="6" fillId="9" borderId="63" xfId="5" applyFont="1" applyFill="1" applyBorder="1" applyAlignment="1">
      <alignment horizontal="center" vertical="center"/>
    </xf>
    <xf numFmtId="0" fontId="6" fillId="0" borderId="66" xfId="0" quotePrefix="1" applyFont="1" applyBorder="1" applyAlignment="1">
      <alignment vertical="center"/>
    </xf>
    <xf numFmtId="168" fontId="6" fillId="0" borderId="12" xfId="5" applyNumberFormat="1" applyFont="1" applyFill="1" applyBorder="1" applyAlignment="1">
      <alignment horizontal="center" vertical="center"/>
    </xf>
    <xf numFmtId="168" fontId="0" fillId="13" borderId="0" xfId="0" applyNumberFormat="1" applyFill="1"/>
    <xf numFmtId="0" fontId="6" fillId="0" borderId="2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5" fontId="8" fillId="0" borderId="6" xfId="2" applyNumberFormat="1" applyFont="1" applyFill="1" applyBorder="1" applyAlignment="1">
      <alignment horizontal="right" vertical="center"/>
    </xf>
    <xf numFmtId="165" fontId="6" fillId="0" borderId="6" xfId="2" applyNumberFormat="1" applyFont="1" applyBorder="1" applyAlignment="1">
      <alignment horizontal="center" vertical="center"/>
    </xf>
    <xf numFmtId="168" fontId="6" fillId="0" borderId="6" xfId="5" applyNumberFormat="1" applyFont="1" applyFill="1" applyBorder="1" applyAlignment="1">
      <alignment horizontal="center" vertical="center"/>
    </xf>
    <xf numFmtId="168" fontId="7" fillId="0" borderId="73" xfId="5" applyNumberFormat="1" applyFont="1" applyFill="1" applyBorder="1" applyAlignment="1">
      <alignment horizontal="center" vertical="center"/>
    </xf>
    <xf numFmtId="164" fontId="6" fillId="0" borderId="75" xfId="5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168" fontId="6" fillId="9" borderId="76" xfId="5" applyNumberFormat="1" applyFont="1" applyFill="1" applyBorder="1" applyAlignment="1">
      <alignment horizontal="center" vertical="center"/>
    </xf>
    <xf numFmtId="168" fontId="7" fillId="9" borderId="60" xfId="5" applyNumberFormat="1" applyFont="1" applyFill="1" applyBorder="1" applyAlignment="1">
      <alignment horizontal="center" vertical="center"/>
    </xf>
    <xf numFmtId="168" fontId="6" fillId="0" borderId="74" xfId="5" applyNumberFormat="1" applyFont="1" applyFill="1" applyBorder="1" applyAlignment="1">
      <alignment horizontal="center" vertical="center"/>
    </xf>
    <xf numFmtId="164" fontId="0" fillId="0" borderId="0" xfId="5" applyFont="1"/>
    <xf numFmtId="9" fontId="6" fillId="0" borderId="0" xfId="0" applyNumberFormat="1" applyFont="1" applyAlignment="1">
      <alignment vertical="center"/>
    </xf>
    <xf numFmtId="0" fontId="7" fillId="9" borderId="64" xfId="0" applyFont="1" applyFill="1" applyBorder="1" applyAlignment="1">
      <alignment horizontal="center" vertical="center"/>
    </xf>
    <xf numFmtId="0" fontId="7" fillId="9" borderId="49" xfId="0" applyFont="1" applyFill="1" applyBorder="1" applyAlignment="1">
      <alignment horizontal="center" vertical="center"/>
    </xf>
    <xf numFmtId="0" fontId="7" fillId="9" borderId="42" xfId="0" applyFont="1" applyFill="1" applyBorder="1" applyAlignment="1">
      <alignment horizontal="center" vertical="center"/>
    </xf>
    <xf numFmtId="0" fontId="7" fillId="9" borderId="3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7" fillId="6" borderId="49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6" borderId="56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0" fontId="7" fillId="9" borderId="34" xfId="0" applyFont="1" applyFill="1" applyBorder="1" applyAlignment="1">
      <alignment horizontal="center" vertical="center"/>
    </xf>
    <xf numFmtId="0" fontId="7" fillId="9" borderId="56" xfId="0" applyFont="1" applyFill="1" applyBorder="1" applyAlignment="1">
      <alignment horizontal="center" vertical="center"/>
    </xf>
    <xf numFmtId="0" fontId="7" fillId="9" borderId="41" xfId="0" applyFont="1" applyFill="1" applyBorder="1" applyAlignment="1">
      <alignment horizontal="center" vertical="center"/>
    </xf>
    <xf numFmtId="0" fontId="7" fillId="8" borderId="34" xfId="0" applyFont="1" applyFill="1" applyBorder="1" applyAlignment="1">
      <alignment horizontal="center" vertical="center"/>
    </xf>
    <xf numFmtId="0" fontId="7" fillId="8" borderId="49" xfId="0" applyFont="1" applyFill="1" applyBorder="1" applyAlignment="1">
      <alignment horizontal="center" vertical="center"/>
    </xf>
    <xf numFmtId="0" fontId="7" fillId="8" borderId="35" xfId="0" applyFont="1" applyFill="1" applyBorder="1" applyAlignment="1">
      <alignment horizontal="center" vertical="center"/>
    </xf>
    <xf numFmtId="0" fontId="7" fillId="8" borderId="56" xfId="0" applyFont="1" applyFill="1" applyBorder="1" applyAlignment="1">
      <alignment horizontal="center" vertical="center"/>
    </xf>
    <xf numFmtId="0" fontId="7" fillId="8" borderId="41" xfId="0" applyFont="1" applyFill="1" applyBorder="1" applyAlignment="1">
      <alignment horizontal="center" vertical="center"/>
    </xf>
    <xf numFmtId="0" fontId="6" fillId="0" borderId="6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7" fillId="9" borderId="64" xfId="0" applyFont="1" applyFill="1" applyBorder="1" applyAlignment="1">
      <alignment horizontal="center"/>
    </xf>
    <xf numFmtId="0" fontId="7" fillId="9" borderId="49" xfId="0" applyFont="1" applyFill="1" applyBorder="1" applyAlignment="1">
      <alignment horizontal="center"/>
    </xf>
    <xf numFmtId="0" fontId="7" fillId="9" borderId="35" xfId="0" applyFont="1" applyFill="1" applyBorder="1" applyAlignment="1">
      <alignment horizontal="center"/>
    </xf>
    <xf numFmtId="0" fontId="7" fillId="9" borderId="34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8" borderId="34" xfId="0" applyFont="1" applyFill="1" applyBorder="1" applyAlignment="1">
      <alignment horizontal="center"/>
    </xf>
    <xf numFmtId="0" fontId="7" fillId="8" borderId="49" xfId="0" applyFont="1" applyFill="1" applyBorder="1" applyAlignment="1">
      <alignment horizontal="center"/>
    </xf>
    <xf numFmtId="0" fontId="7" fillId="8" borderId="35" xfId="0" applyFont="1" applyFill="1" applyBorder="1" applyAlignment="1">
      <alignment horizontal="center"/>
    </xf>
    <xf numFmtId="0" fontId="7" fillId="8" borderId="6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10" borderId="34" xfId="0" applyFont="1" applyFill="1" applyBorder="1" applyAlignment="1">
      <alignment horizontal="center" vertical="center"/>
    </xf>
    <xf numFmtId="0" fontId="7" fillId="10" borderId="49" xfId="0" applyFont="1" applyFill="1" applyBorder="1" applyAlignment="1">
      <alignment horizontal="center" vertical="center"/>
    </xf>
    <xf numFmtId="0" fontId="7" fillId="10" borderId="35" xfId="0" applyFont="1" applyFill="1" applyBorder="1" applyAlignment="1">
      <alignment horizontal="center" vertical="center"/>
    </xf>
    <xf numFmtId="0" fontId="18" fillId="0" borderId="66" xfId="0" applyFont="1" applyBorder="1" applyAlignment="1">
      <alignment horizontal="left" vertical="center"/>
    </xf>
    <xf numFmtId="0" fontId="18" fillId="0" borderId="67" xfId="0" applyFont="1" applyBorder="1" applyAlignment="1">
      <alignment horizontal="left" vertical="center"/>
    </xf>
    <xf numFmtId="168" fontId="18" fillId="12" borderId="64" xfId="5" applyNumberFormat="1" applyFont="1" applyFill="1" applyBorder="1" applyAlignment="1">
      <alignment horizontal="center"/>
    </xf>
    <xf numFmtId="168" fontId="18" fillId="12" borderId="35" xfId="5" applyNumberFormat="1" applyFont="1" applyFill="1" applyBorder="1" applyAlignment="1">
      <alignment horizontal="center"/>
    </xf>
    <xf numFmtId="0" fontId="15" fillId="8" borderId="64" xfId="0" applyFont="1" applyFill="1" applyBorder="1" applyAlignment="1">
      <alignment horizontal="center" vertical="center"/>
    </xf>
    <xf numFmtId="0" fontId="15" fillId="8" borderId="35" xfId="0" applyFont="1" applyFill="1" applyBorder="1" applyAlignment="1">
      <alignment horizontal="center" vertical="center"/>
    </xf>
    <xf numFmtId="0" fontId="17" fillId="11" borderId="66" xfId="0" applyFont="1" applyFill="1" applyBorder="1" applyAlignment="1">
      <alignment horizontal="left" vertical="center"/>
    </xf>
    <xf numFmtId="0" fontId="17" fillId="11" borderId="67" xfId="0" applyFont="1" applyFill="1" applyBorder="1" applyAlignment="1">
      <alignment horizontal="left" vertical="center"/>
    </xf>
    <xf numFmtId="0" fontId="15" fillId="8" borderId="69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5" fillId="8" borderId="22" xfId="0" applyFont="1" applyFill="1" applyBorder="1" applyAlignment="1">
      <alignment horizontal="center" vertical="center"/>
    </xf>
    <xf numFmtId="0" fontId="15" fillId="9" borderId="69" xfId="0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</cellXfs>
  <cellStyles count="8">
    <cellStyle name="Euro" xfId="1" xr:uid="{00000000-0005-0000-0000-000000000000}"/>
    <cellStyle name="Migliaia" xfId="2" builtinId="3"/>
    <cellStyle name="Migliaia (0)_01.2001" xfId="3" xr:uid="{00000000-0005-0000-0000-000001000000}"/>
    <cellStyle name="Normale" xfId="0" builtinId="0"/>
    <cellStyle name="Normale 5" xfId="7" xr:uid="{939FCEDB-6FBD-9D44-9B50-4D5B8889D210}"/>
    <cellStyle name="Percentuale" xfId="4" builtinId="5"/>
    <cellStyle name="Valuta" xfId="5" builtinId="4"/>
    <cellStyle name="Valuta (0)_01.2001" xfId="6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7C7"/>
      <color rgb="FFF7FF77"/>
      <color rgb="FFFFF4D7"/>
      <color rgb="FFDAABC5"/>
      <color rgb="FFFF6FFB"/>
      <color rgb="FF26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molla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QUANTITÀ!$A$8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QUANTITÀ!$B$8:$M$8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0-D147-9576-83675012660F}"/>
            </c:ext>
          </c:extLst>
        </c:ser>
        <c:ser>
          <c:idx val="1"/>
          <c:order val="1"/>
          <c:tx>
            <c:strRef>
              <c:f>QUANTITÀ!$A$9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QUANTITÀ!$B$9:$M$9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0-D147-9576-83675012660F}"/>
            </c:ext>
          </c:extLst>
        </c:ser>
        <c:ser>
          <c:idx val="2"/>
          <c:order val="2"/>
          <c:tx>
            <c:strRef>
              <c:f>QUANTITÀ!$A$10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QUANTITÀ!$B$10:$M$10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0-D147-9576-83675012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603803670438303E-2"/>
          <c:y val="0.23305048582357199"/>
          <c:w val="0.87518188751985404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POLIUR!$B$54:$M$54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62920"/>
        <c:axId val="111995048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POLIUR!$B$55:$M$55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533208"/>
        <c:axId val="112108776"/>
      </c:lineChart>
      <c:catAx>
        <c:axId val="678262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5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50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62920"/>
        <c:crosses val="autoZero"/>
        <c:crossBetween val="between"/>
      </c:valAx>
      <c:catAx>
        <c:axId val="677533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108776"/>
        <c:crosses val="autoZero"/>
        <c:auto val="0"/>
        <c:lblAlgn val="ctr"/>
        <c:lblOffset val="100"/>
        <c:noMultiLvlLbl val="0"/>
      </c:catAx>
      <c:valAx>
        <c:axId val="1121087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3320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7358691136254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662199020779E-2"/>
          <c:y val="0.23305048582357199"/>
          <c:w val="0.86211947128821398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POLIUR!$B$79:$M$79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646808"/>
        <c:axId val="11199882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POLIUR!$B$80:$M$80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13352"/>
        <c:axId val="112082328"/>
      </c:lineChart>
      <c:catAx>
        <c:axId val="677646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8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882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646808"/>
        <c:crosses val="autoZero"/>
        <c:crossBetween val="between"/>
      </c:valAx>
      <c:catAx>
        <c:axId val="112013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12082328"/>
        <c:crosses val="autoZero"/>
        <c:auto val="0"/>
        <c:lblAlgn val="ctr"/>
        <c:lblOffset val="100"/>
        <c:noMultiLvlLbl val="0"/>
      </c:catAx>
      <c:valAx>
        <c:axId val="112082328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01335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3164209461428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MATERASSI A SCHIUMA POLIURETANICA - TUTTI I CANALI</a:t>
            </a:r>
          </a:p>
        </c:rich>
      </c:tx>
      <c:layout>
        <c:manualLayout>
          <c:xMode val="edge"/>
          <c:yMode val="edge"/>
          <c:x val="0.31144789689075902"/>
          <c:y val="3.3994481613298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3379401393595E-2"/>
          <c:y val="0.18644038865885801"/>
          <c:w val="0.86462866732825105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POLIUR!$B$4:$M$4</c:f>
              <c:numCache>
                <c:formatCode>#,##0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118968"/>
        <c:axId val="67757354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POLIUR!$B$5:$M$5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499.99999999999994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499.99999999999994</c:v>
                </c:pt>
                <c:pt idx="6">
                  <c:v>499.99999999999994</c:v>
                </c:pt>
                <c:pt idx="7">
                  <c:v>499.99999999999994</c:v>
                </c:pt>
                <c:pt idx="8">
                  <c:v>499.99999999999994</c:v>
                </c:pt>
                <c:pt idx="9">
                  <c:v>500</c:v>
                </c:pt>
                <c:pt idx="10">
                  <c:v>500</c:v>
                </c:pt>
                <c:pt idx="11">
                  <c:v>499.99999999999994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39768"/>
        <c:axId val="678113032"/>
      </c:lineChart>
      <c:catAx>
        <c:axId val="67811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73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757354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18968"/>
        <c:crosses val="autoZero"/>
        <c:crossBetween val="between"/>
      </c:valAx>
      <c:catAx>
        <c:axId val="678139768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13032"/>
        <c:crosses val="autoZero"/>
        <c:auto val="0"/>
        <c:lblAlgn val="ctr"/>
        <c:lblOffset val="100"/>
        <c:noMultiLvlLbl val="0"/>
      </c:catAx>
      <c:valAx>
        <c:axId val="678113032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3976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427940770144497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4 v2'!$B$15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4 v2'!$C$6:$N$6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4 v2'!$C$15:$N$15</c:f>
              <c:numCache>
                <c:formatCode>_-* #,##0_-;\-* #,##0_-;_-* "-"??_-;_-@_-</c:formatCode>
                <c:ptCount val="12"/>
                <c:pt idx="0">
                  <c:v>53085.140425531914</c:v>
                </c:pt>
                <c:pt idx="1">
                  <c:v>60115.491160451427</c:v>
                </c:pt>
                <c:pt idx="2">
                  <c:v>67407.192253488931</c:v>
                </c:pt>
                <c:pt idx="3">
                  <c:v>61932.663829787234</c:v>
                </c:pt>
                <c:pt idx="4">
                  <c:v>61932.663829787227</c:v>
                </c:pt>
                <c:pt idx="5">
                  <c:v>64881.83829787228</c:v>
                </c:pt>
                <c:pt idx="6">
                  <c:v>57041.838297872338</c:v>
                </c:pt>
                <c:pt idx="7">
                  <c:v>35390.093617021274</c:v>
                </c:pt>
                <c:pt idx="8">
                  <c:v>61002.600772020145</c:v>
                </c:pt>
                <c:pt idx="9">
                  <c:v>53809.840677835746</c:v>
                </c:pt>
                <c:pt idx="10">
                  <c:v>61932.663829787227</c:v>
                </c:pt>
                <c:pt idx="11">
                  <c:v>27550.093617021277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D-2F47-95B4-2FFCEDA06999}"/>
            </c:ext>
          </c:extLst>
        </c:ser>
        <c:ser>
          <c:idx val="1"/>
          <c:order val="1"/>
          <c:tx>
            <c:strRef>
              <c:f>'Tab 4 v2'!$B$13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4 v2'!$C$13:$N$13</c:f>
              <c:numCache>
                <c:formatCode>_-* #,##0_-;\-* #,##0_-;_-* "-"??_-;_-@_-</c:formatCode>
                <c:ptCount val="12"/>
                <c:pt idx="0">
                  <c:v>52287.943518874388</c:v>
                </c:pt>
                <c:pt idx="1">
                  <c:v>58097.71502097154</c:v>
                </c:pt>
                <c:pt idx="2">
                  <c:v>66812.372274117282</c:v>
                </c:pt>
                <c:pt idx="3">
                  <c:v>61002.600772020131</c:v>
                </c:pt>
                <c:pt idx="4">
                  <c:v>61002.600772020131</c:v>
                </c:pt>
                <c:pt idx="5">
                  <c:v>63907.486523068706</c:v>
                </c:pt>
                <c:pt idx="6">
                  <c:v>63907.486523068706</c:v>
                </c:pt>
                <c:pt idx="7">
                  <c:v>34858.629012582933</c:v>
                </c:pt>
                <c:pt idx="8">
                  <c:v>63907.486523068706</c:v>
                </c:pt>
                <c:pt idx="9">
                  <c:v>61002.600772020131</c:v>
                </c:pt>
                <c:pt idx="10">
                  <c:v>61002.600772020131</c:v>
                </c:pt>
                <c:pt idx="11">
                  <c:v>34858.629012582933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D-2F47-95B4-2FFCEDA06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in schiuma</a:t>
            </a:r>
            <a:r>
              <a:rPr lang="it-IT" baseline="0"/>
              <a:t> poliuretanica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4 v2'!$B$15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4 v2'!$C$6:$N$6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4 v2'!$C$28:$N$28</c:f>
              <c:numCache>
                <c:formatCode>_-* #,##0_-;\-* #,##0_-;_-* "-"??_-;_-@_-</c:formatCode>
                <c:ptCount val="12"/>
                <c:pt idx="0">
                  <c:v>3608.3732687165466</c:v>
                </c:pt>
                <c:pt idx="1">
                  <c:v>3741.1687639396141</c:v>
                </c:pt>
                <c:pt idx="2">
                  <c:v>3919.3196574605463</c:v>
                </c:pt>
                <c:pt idx="3">
                  <c:v>3919.3196574605317</c:v>
                </c:pt>
                <c:pt idx="4">
                  <c:v>2503.4253543994564</c:v>
                </c:pt>
                <c:pt idx="5">
                  <c:v>4551.6595744680817</c:v>
                </c:pt>
                <c:pt idx="6">
                  <c:v>4001.6595744680844</c:v>
                </c:pt>
                <c:pt idx="7">
                  <c:v>2482.7234042553191</c:v>
                </c:pt>
                <c:pt idx="8">
                  <c:v>3008.4665511662315</c:v>
                </c:pt>
                <c:pt idx="9">
                  <c:v>4344.765957446808</c:v>
                </c:pt>
                <c:pt idx="10">
                  <c:v>4344.765957446808</c:v>
                </c:pt>
                <c:pt idx="11">
                  <c:v>1932.7234042553191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A-344A-AE24-D59B29B8710F}"/>
            </c:ext>
          </c:extLst>
        </c:ser>
        <c:ser>
          <c:idx val="1"/>
          <c:order val="1"/>
          <c:tx>
            <c:strRef>
              <c:f>'Tab 4 v2'!$B$26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4 v2'!$C$26:$N$26</c:f>
              <c:numCache>
                <c:formatCode>_-* #,##0_-;\-* #,##0_-;_-* "-"??_-;_-@_-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A-344A-AE24-D59B29B87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5'!$B$10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5'!$C$5:$N$5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5'!$C$10:$N$10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15028.872790112857</c:v>
                </c:pt>
                <c:pt idx="2">
                  <c:v>16851.798063372233</c:v>
                </c:pt>
                <c:pt idx="3">
                  <c:v>15483.165957446809</c:v>
                </c:pt>
                <c:pt idx="4">
                  <c:v>15483.165957446807</c:v>
                </c:pt>
                <c:pt idx="5">
                  <c:v>16220.45957446807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15250.650193005036</c:v>
                </c:pt>
                <c:pt idx="9">
                  <c:v>13452.460169458936</c:v>
                </c:pt>
                <c:pt idx="10">
                  <c:v>15483.165957446807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D-D54F-BC64-99A969F9C681}"/>
            </c:ext>
          </c:extLst>
        </c:ser>
        <c:ser>
          <c:idx val="1"/>
          <c:order val="1"/>
          <c:tx>
            <c:strRef>
              <c:f>'Tab. 5'!$B$17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5'!$C$17:$N$17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9D-D54F-BC64-99A969F9C681}"/>
            </c:ext>
          </c:extLst>
        </c:ser>
        <c:ser>
          <c:idx val="2"/>
          <c:order val="2"/>
          <c:tx>
            <c:strRef>
              <c:f>'Tab. 5'!$B$23</c:f>
              <c:strCache>
                <c:ptCount val="1"/>
                <c:pt idx="0">
                  <c:v>H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5'!$C$23:$N$23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9D-D54F-BC64-99A969F9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5'!$B$42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5'!$C$5:$N$5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5'!$C$42:$N$42</c:f>
              <c:numCache>
                <c:formatCode>_-* #,##0_-;\-* #,##0_-;_-* "-"??_-;_-@_-</c:formatCode>
                <c:ptCount val="12"/>
                <c:pt idx="0">
                  <c:v>1443.3493074866187</c:v>
                </c:pt>
                <c:pt idx="1">
                  <c:v>1496.4675055758457</c:v>
                </c:pt>
                <c:pt idx="2">
                  <c:v>1567.7278629842185</c:v>
                </c:pt>
                <c:pt idx="3">
                  <c:v>1567.7278629842128</c:v>
                </c:pt>
                <c:pt idx="4">
                  <c:v>1001.3701417597827</c:v>
                </c:pt>
                <c:pt idx="5">
                  <c:v>1820.6638297872328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1203.3866204664926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7-F543-8331-8AA9EBD47889}"/>
            </c:ext>
          </c:extLst>
        </c:ser>
        <c:ser>
          <c:idx val="1"/>
          <c:order val="1"/>
          <c:tx>
            <c:strRef>
              <c:f>'Tab. 5'!$B$49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5'!$C$49:$N$49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7-F543-8331-8AA9EBD47889}"/>
            </c:ext>
          </c:extLst>
        </c:ser>
        <c:ser>
          <c:idx val="2"/>
          <c:order val="2"/>
          <c:tx>
            <c:strRef>
              <c:f>'Tab. 5'!$B$55</c:f>
              <c:strCache>
                <c:ptCount val="1"/>
                <c:pt idx="0">
                  <c:v>H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5'!$C$55:$N$55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D7-F543-8331-8AA9EBD47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MACCHINA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6'!$B$10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6'!$C$5:$N$5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6'!$C$10:$N$10</c:f>
              <c:numCache>
                <c:formatCode>_-* #,##0_-;\-* #,##0_-;_-* "-"??_-;_-@_-</c:formatCode>
                <c:ptCount val="12"/>
                <c:pt idx="0">
                  <c:v>1150.1780425531915</c:v>
                </c:pt>
                <c:pt idx="1">
                  <c:v>1302.5023084764475</c:v>
                </c:pt>
                <c:pt idx="2">
                  <c:v>1460.4891654922603</c:v>
                </c:pt>
                <c:pt idx="3">
                  <c:v>1341.8743829787234</c:v>
                </c:pt>
                <c:pt idx="4">
                  <c:v>1341.8743829787234</c:v>
                </c:pt>
                <c:pt idx="5">
                  <c:v>1405.7731631205661</c:v>
                </c:pt>
                <c:pt idx="6">
                  <c:v>1235.9064964539007</c:v>
                </c:pt>
                <c:pt idx="7">
                  <c:v>766.7853617021276</c:v>
                </c:pt>
                <c:pt idx="8">
                  <c:v>1321.7230167271032</c:v>
                </c:pt>
                <c:pt idx="9">
                  <c:v>1165.879881353108</c:v>
                </c:pt>
                <c:pt idx="10">
                  <c:v>1341.8743829787234</c:v>
                </c:pt>
                <c:pt idx="11">
                  <c:v>596.91869503546104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B-8B43-922E-1657747A51CB}"/>
            </c:ext>
          </c:extLst>
        </c:ser>
        <c:ser>
          <c:idx val="1"/>
          <c:order val="1"/>
          <c:tx>
            <c:strRef>
              <c:f>'Tab. 6'!$B$18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6'!$C$18:$N$18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B-8B43-922E-1657747A51CB}"/>
            </c:ext>
          </c:extLst>
        </c:ser>
        <c:ser>
          <c:idx val="2"/>
          <c:order val="2"/>
          <c:tx>
            <c:strRef>
              <c:f>'Tab. 6'!$B$22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6'!$C$22:$N$22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B-8B43-922E-1657747A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MACCHINE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6'!$B$32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6'!$C$5:$N$5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6'!$C$32:$N$32</c:f>
              <c:numCache>
                <c:formatCode>_-* #,##0_-;\-* #,##0_-;_-* "-"??_-;_-@_-</c:formatCode>
                <c:ptCount val="12"/>
                <c:pt idx="0">
                  <c:v>132.30701985294004</c:v>
                </c:pt>
                <c:pt idx="1">
                  <c:v>137.17618801111919</c:v>
                </c:pt>
                <c:pt idx="2">
                  <c:v>143.70838744022004</c:v>
                </c:pt>
                <c:pt idx="3">
                  <c:v>143.7083874402195</c:v>
                </c:pt>
                <c:pt idx="4">
                  <c:v>91.792262994646734</c:v>
                </c:pt>
                <c:pt idx="5">
                  <c:v>166.894184397163</c:v>
                </c:pt>
                <c:pt idx="6">
                  <c:v>146.72751773049643</c:v>
                </c:pt>
                <c:pt idx="7">
                  <c:v>91.033191489361698</c:v>
                </c:pt>
                <c:pt idx="8">
                  <c:v>110.31044020942849</c:v>
                </c:pt>
                <c:pt idx="9">
                  <c:v>159.30808510638295</c:v>
                </c:pt>
                <c:pt idx="10">
                  <c:v>159.30808510638295</c:v>
                </c:pt>
                <c:pt idx="11">
                  <c:v>70.866524822695041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E-9946-99AC-D02DDA6F1176}"/>
            </c:ext>
          </c:extLst>
        </c:ser>
        <c:ser>
          <c:idx val="1"/>
          <c:order val="1"/>
          <c:tx>
            <c:strRef>
              <c:f>'Tab. 6'!$B$40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6'!$C$40:$N$40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E-9946-99AC-D02DDA6F1176}"/>
            </c:ext>
          </c:extLst>
        </c:ser>
        <c:ser>
          <c:idx val="2"/>
          <c:order val="2"/>
          <c:tx>
            <c:strRef>
              <c:f>'Tab. 6'!$B$44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6'!$C$44:$N$44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E-9946-99AC-D02DDA6F1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schiuma poliuretanica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QUANTITÀ!$A$15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QUANTITÀ!$B$15:$M$15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0-8E4A-8327-CD0C135C6C96}"/>
            </c:ext>
          </c:extLst>
        </c:ser>
        <c:ser>
          <c:idx val="1"/>
          <c:order val="1"/>
          <c:tx>
            <c:strRef>
              <c:f>QUANTITÀ!$A$16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QUANTITÀ!$B$16:$M$16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0-8E4A-8327-CD0C135C6C96}"/>
            </c:ext>
          </c:extLst>
        </c:ser>
        <c:ser>
          <c:idx val="2"/>
          <c:order val="2"/>
          <c:tx>
            <c:strRef>
              <c:f>QUANTITÀ!$A$17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QUANTITÀ!$B$17:$M$17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40-8E4A-8327-CD0C135C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Prezzo unitario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PREZZI!$B$5:$M$5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09-FD45-BA6F-D49A22F9724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PREZZI!$B$6:$M$6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309-FD45-BA6F-D49A22F9724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PREZZI!$B$7:$M$7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309-FD45-BA6F-D49A22F97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30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Materassi a schiuma poliuretanica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PREZZI!$B$12:$M$12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87E-0341-B106-7B2C9D94B70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PREZZI!$B$13:$M$13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87E-0341-B106-7B2C9D94B70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PREZZI!$B$14:$M$14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87E-0341-B106-7B2C9D94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45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</a:t>
            </a:r>
            <a:r>
              <a:rPr lang="it-IT" b="1" baseline="0"/>
              <a:t> - TRADIZIONALE</a:t>
            </a:r>
            <a:endParaRPr lang="it-IT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MOLLE!$B$29:$M$29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MOLLE!$B$30:$M$30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646616541353398E-2"/>
          <c:y val="0.18644038865885801"/>
          <c:w val="0.87218045112781895"/>
          <c:h val="0.597456700020431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MOLLE!$B$77:$M$77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18936"/>
        <c:axId val="678222648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MOLLE!$B$78:$M$78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226584"/>
        <c:axId val="678229800"/>
      </c:lineChart>
      <c:catAx>
        <c:axId val="678218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2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2226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18936"/>
        <c:crosses val="autoZero"/>
        <c:crossBetween val="between"/>
      </c:valAx>
      <c:catAx>
        <c:axId val="678226584"/>
        <c:scaling>
          <c:orientation val="minMax"/>
        </c:scaling>
        <c:delete val="1"/>
        <c:axPos val="b"/>
        <c:majorTickMark val="out"/>
        <c:minorTickMark val="none"/>
        <c:tickLblPos val="nextTo"/>
        <c:crossAx val="678229800"/>
        <c:crosses val="autoZero"/>
        <c:auto val="0"/>
        <c:lblAlgn val="ctr"/>
        <c:lblOffset val="100"/>
        <c:noMultiLvlLbl val="0"/>
      </c:catAx>
      <c:valAx>
        <c:axId val="678229800"/>
        <c:scaling>
          <c:orientation val="minMax"/>
        </c:scaling>
        <c:delete val="0"/>
        <c:axPos val="r"/>
        <c:numFmt formatCode="_-&quot;€&quot;\ * #,##0.00_-;\-&quot;€&quot;\ * #,##0.00_-;_-&quot;€&quot;\ * &quot;-&quot;??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6584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93984962406002"/>
          <c:y val="0.90677825393171796"/>
          <c:w val="0.24060150375939801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TUTTI I CANALI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MOLLE!$B$4:$M$4</c:f>
              <c:numCache>
                <c:formatCode>#,##0</c:formatCode>
                <c:ptCount val="12"/>
                <c:pt idx="0">
                  <c:v>52287.943518874396</c:v>
                </c:pt>
                <c:pt idx="1">
                  <c:v>58097.715020971547</c:v>
                </c:pt>
                <c:pt idx="2">
                  <c:v>66812.372274117282</c:v>
                </c:pt>
                <c:pt idx="3">
                  <c:v>61002.600772020123</c:v>
                </c:pt>
                <c:pt idx="4">
                  <c:v>61002.600772020123</c:v>
                </c:pt>
                <c:pt idx="5">
                  <c:v>63907.486523068699</c:v>
                </c:pt>
                <c:pt idx="6">
                  <c:v>63907.486523068699</c:v>
                </c:pt>
                <c:pt idx="7">
                  <c:v>34858.629012582925</c:v>
                </c:pt>
                <c:pt idx="8">
                  <c:v>63907.486523068699</c:v>
                </c:pt>
                <c:pt idx="9">
                  <c:v>61002.600772020123</c:v>
                </c:pt>
                <c:pt idx="10">
                  <c:v>61002.600772020123</c:v>
                </c:pt>
                <c:pt idx="11">
                  <c:v>34858.629012582925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2456"/>
        <c:axId val="111978840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MOLLE!$B$5:$M$5</c:f>
              <c:numCache>
                <c:formatCode>_-"€"\ * #,##0.00_-;\-"€"\ * #,##0.00_-;_-"€"\ * "-"??_-;_-@_-</c:formatCode>
                <c:ptCount val="12"/>
                <c:pt idx="0">
                  <c:v>179.99999999999997</c:v>
                </c:pt>
                <c:pt idx="1">
                  <c:v>180</c:v>
                </c:pt>
                <c:pt idx="2">
                  <c:v>179.99999999999997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84280"/>
        <c:axId val="677574840"/>
      </c:lineChart>
      <c:catAx>
        <c:axId val="67794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78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7884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2456"/>
        <c:crosses val="autoZero"/>
        <c:crossBetween val="between"/>
      </c:valAx>
      <c:catAx>
        <c:axId val="11198428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574840"/>
        <c:crosses val="autoZero"/>
        <c:auto val="0"/>
        <c:lblAlgn val="ctr"/>
        <c:lblOffset val="100"/>
        <c:noMultiLvlLbl val="0"/>
      </c:catAx>
      <c:valAx>
        <c:axId val="677574840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8428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MOLLE!$A$52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MOLLE!$B$52:$M$52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MOLLE!$A$53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MOLLE!$B$53:$M$53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TRADIZIONALE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129450479352E-2"/>
          <c:y val="0.18644038865885801"/>
          <c:w val="0.87772910168170903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POLIUR!$B$29:$M$29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76184"/>
        <c:axId val="112137592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POLIUR!$B$30:$M$30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706920"/>
        <c:axId val="677770712"/>
      </c:lineChart>
      <c:catAx>
        <c:axId val="67827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13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13759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76184"/>
        <c:crosses val="autoZero"/>
        <c:crossBetween val="between"/>
      </c:valAx>
      <c:catAx>
        <c:axId val="67770692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770712"/>
        <c:crosses val="autoZero"/>
        <c:auto val="0"/>
        <c:lblAlgn val="ctr"/>
        <c:lblOffset val="100"/>
        <c:noMultiLvlLbl val="0"/>
      </c:catAx>
      <c:valAx>
        <c:axId val="677770712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7069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9912596250292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1396999</xdr:colOff>
      <xdr:row>18</xdr:row>
      <xdr:rowOff>201082</xdr:rowOff>
    </xdr:from>
    <xdr:to>
      <xdr:col>12</xdr:col>
      <xdr:colOff>656165</xdr:colOff>
      <xdr:row>35</xdr:row>
      <xdr:rowOff>201083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4BBCAB-BA10-B24E-8C4A-9F2312C2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13</xdr:col>
      <xdr:colOff>10583</xdr:colOff>
      <xdr:row>55</xdr:row>
      <xdr:rowOff>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DCC353C-F926-0743-9B47-765CCAF09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584201</xdr:colOff>
      <xdr:row>15</xdr:row>
      <xdr:rowOff>8466</xdr:rowOff>
    </xdr:from>
    <xdr:to>
      <xdr:col>11</xdr:col>
      <xdr:colOff>171450</xdr:colOff>
      <xdr:row>35</xdr:row>
      <xdr:rowOff>40217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A17FD0-07E0-4A44-A07C-9DB1691EB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594785</xdr:colOff>
      <xdr:row>37</xdr:row>
      <xdr:rowOff>103717</xdr:rowOff>
    </xdr:from>
    <xdr:to>
      <xdr:col>11</xdr:col>
      <xdr:colOff>182034</xdr:colOff>
      <xdr:row>57</xdr:row>
      <xdr:rowOff>135467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C7BC051-D175-8C4D-9324-25696DD4E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3125" name="Chart 1">
          <a:extLst>
            <a:ext uri="{FF2B5EF4-FFF2-40B4-BE49-F238E27FC236}">
              <a16:creationId xmlns:a16="http://schemas.microsoft.com/office/drawing/2014/main" id="{00000000-0008-0000-0200-00003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1723571</xdr:colOff>
      <xdr:row>80</xdr:row>
      <xdr:rowOff>108857</xdr:rowOff>
    </xdr:from>
    <xdr:to>
      <xdr:col>11</xdr:col>
      <xdr:colOff>444500</xdr:colOff>
      <xdr:row>97</xdr:row>
      <xdr:rowOff>61686</xdr:rowOff>
    </xdr:to>
    <xdr:graphicFrame macro="">
      <xdr:nvGraphicFramePr>
        <xdr:cNvPr id="3126" name="Chart 3">
          <a:extLst>
            <a:ext uri="{FF2B5EF4-FFF2-40B4-BE49-F238E27FC236}">
              <a16:creationId xmlns:a16="http://schemas.microsoft.com/office/drawing/2014/main" id="{00000000-0008-0000-0200-00003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3127" name="Chart 4">
          <a:extLst>
            <a:ext uri="{FF2B5EF4-FFF2-40B4-BE49-F238E27FC236}">
              <a16:creationId xmlns:a16="http://schemas.microsoft.com/office/drawing/2014/main" id="{00000000-0008-0000-0200-000037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55</xdr:row>
      <xdr:rowOff>12700</xdr:rowOff>
    </xdr:from>
    <xdr:to>
      <xdr:col>11</xdr:col>
      <xdr:colOff>444500</xdr:colOff>
      <xdr:row>71</xdr:row>
      <xdr:rowOff>165100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09AC95E-40E7-FC47-836C-14C735FDD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4165" name="Chart 1">
          <a:extLst>
            <a:ext uri="{FF2B5EF4-FFF2-40B4-BE49-F238E27FC236}">
              <a16:creationId xmlns:a16="http://schemas.microsoft.com/office/drawing/2014/main" id="{00000000-0008-0000-03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57</xdr:row>
      <xdr:rowOff>0</xdr:rowOff>
    </xdr:from>
    <xdr:to>
      <xdr:col>11</xdr:col>
      <xdr:colOff>444500</xdr:colOff>
      <xdr:row>73</xdr:row>
      <xdr:rowOff>152400</xdr:rowOff>
    </xdr:to>
    <xdr:graphicFrame macro="">
      <xdr:nvGraphicFramePr>
        <xdr:cNvPr id="4166" name="Chart 2">
          <a:extLst>
            <a:ext uri="{FF2B5EF4-FFF2-40B4-BE49-F238E27FC236}">
              <a16:creationId xmlns:a16="http://schemas.microsoft.com/office/drawing/2014/main" id="{00000000-0008-0000-0300-00004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11</xdr:col>
      <xdr:colOff>444500</xdr:colOff>
      <xdr:row>98</xdr:row>
      <xdr:rowOff>152400</xdr:rowOff>
    </xdr:to>
    <xdr:graphicFrame macro="">
      <xdr:nvGraphicFramePr>
        <xdr:cNvPr id="4167" name="Chart 3">
          <a:extLst>
            <a:ext uri="{FF2B5EF4-FFF2-40B4-BE49-F238E27FC236}">
              <a16:creationId xmlns:a16="http://schemas.microsoft.com/office/drawing/2014/main" id="{00000000-0008-0000-0300-00004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4168" name="Chart 4">
          <a:extLst>
            <a:ext uri="{FF2B5EF4-FFF2-40B4-BE49-F238E27FC236}">
              <a16:creationId xmlns:a16="http://schemas.microsoft.com/office/drawing/2014/main" id="{00000000-0008-0000-0300-00004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249768</xdr:colOff>
      <xdr:row>29</xdr:row>
      <xdr:rowOff>42332</xdr:rowOff>
    </xdr:from>
    <xdr:to>
      <xdr:col>6</xdr:col>
      <xdr:colOff>690034</xdr:colOff>
      <xdr:row>41</xdr:row>
      <xdr:rowOff>143932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385B65C-52E4-AD49-A6DA-4BFCFC44E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872067</xdr:colOff>
      <xdr:row>29</xdr:row>
      <xdr:rowOff>16933</xdr:rowOff>
    </xdr:from>
    <xdr:to>
      <xdr:col>11</xdr:col>
      <xdr:colOff>355601</xdr:colOff>
      <xdr:row>41</xdr:row>
      <xdr:rowOff>118533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EE0561B-44C5-6A40-8375-F5573AD3F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17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6BFD9BE-68EE-BC48-9EC9-B49064435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40</xdr:row>
      <xdr:rowOff>27215</xdr:rowOff>
    </xdr:from>
    <xdr:to>
      <xdr:col>20</xdr:col>
      <xdr:colOff>703036</xdr:colOff>
      <xdr:row>51</xdr:row>
      <xdr:rowOff>128815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7BD5092-2B6A-574E-AD22-9C63F852B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18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141BECF-66AF-4149-923D-18EC69E4C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30</xdr:row>
      <xdr:rowOff>27215</xdr:rowOff>
    </xdr:from>
    <xdr:to>
      <xdr:col>20</xdr:col>
      <xdr:colOff>703036</xdr:colOff>
      <xdr:row>42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2BAC33B-3242-0D45-9820-B37F36F56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BDE3-4417-CC40-A021-0C33AB397D14}">
  <sheetPr codeName="Foglio1">
    <pageSetUpPr fitToPage="1"/>
  </sheetPr>
  <dimension ref="A2:G55"/>
  <sheetViews>
    <sheetView topLeftCell="A36" zoomScale="200" zoomScaleNormal="200" workbookViewId="0">
      <selection activeCell="C48" sqref="C48"/>
    </sheetView>
  </sheetViews>
  <sheetFormatPr baseColWidth="10" defaultRowHeight="16" x14ac:dyDescent="0.15"/>
  <cols>
    <col min="1" max="1" width="38.1640625" style="74" customWidth="1"/>
    <col min="2" max="2" width="12.33203125" style="74" customWidth="1"/>
    <col min="3" max="3" width="14.83203125" style="74" customWidth="1"/>
    <col min="4" max="4" width="13.33203125" style="74" customWidth="1"/>
    <col min="5" max="5" width="13.5" style="74" customWidth="1"/>
    <col min="6" max="6" width="2.6640625" style="74" customWidth="1"/>
    <col min="7" max="7" width="13.33203125" style="74" customWidth="1"/>
    <col min="8" max="8" width="12.33203125" style="74" bestFit="1" customWidth="1"/>
    <col min="9" max="12" width="10.83203125" style="74"/>
    <col min="13" max="13" width="12.33203125" style="74" bestFit="1" customWidth="1"/>
    <col min="14" max="16384" width="10.83203125" style="74"/>
  </cols>
  <sheetData>
    <row r="2" spans="1:5" x14ac:dyDescent="0.15">
      <c r="A2" s="74" t="s">
        <v>115</v>
      </c>
    </row>
    <row r="4" spans="1:5" x14ac:dyDescent="0.15">
      <c r="A4" s="108" t="s">
        <v>50</v>
      </c>
    </row>
    <row r="6" spans="1:5" x14ac:dyDescent="0.15">
      <c r="A6" s="108" t="s">
        <v>51</v>
      </c>
    </row>
    <row r="8" spans="1:5" x14ac:dyDescent="0.15">
      <c r="A8" s="409"/>
      <c r="B8" s="406" t="s">
        <v>39</v>
      </c>
      <c r="C8" s="407"/>
      <c r="D8" s="408"/>
    </row>
    <row r="9" spans="1:5" x14ac:dyDescent="0.15">
      <c r="A9" s="410"/>
      <c r="B9" s="102" t="s">
        <v>55</v>
      </c>
      <c r="C9" s="97" t="s">
        <v>56</v>
      </c>
      <c r="D9" s="95" t="s">
        <v>57</v>
      </c>
    </row>
    <row r="10" spans="1:5" x14ac:dyDescent="0.15">
      <c r="A10" s="84" t="s">
        <v>52</v>
      </c>
      <c r="B10" s="99">
        <v>0.01</v>
      </c>
      <c r="C10" s="99">
        <v>-0.02</v>
      </c>
      <c r="D10" s="103">
        <v>0.05</v>
      </c>
    </row>
    <row r="11" spans="1:5" x14ac:dyDescent="0.15">
      <c r="A11" s="85" t="s">
        <v>53</v>
      </c>
      <c r="B11" s="99">
        <v>0.02</v>
      </c>
      <c r="C11" s="99">
        <v>-0.04</v>
      </c>
      <c r="D11" s="103">
        <v>0.08</v>
      </c>
    </row>
    <row r="12" spans="1:5" x14ac:dyDescent="0.15">
      <c r="A12" s="86" t="s">
        <v>54</v>
      </c>
      <c r="B12" s="106">
        <v>0.01</v>
      </c>
      <c r="C12" s="101">
        <v>-0.02</v>
      </c>
      <c r="D12" s="104">
        <v>0.03</v>
      </c>
    </row>
    <row r="14" spans="1:5" x14ac:dyDescent="0.15">
      <c r="A14" s="108" t="s">
        <v>58</v>
      </c>
    </row>
    <row r="16" spans="1:5" x14ac:dyDescent="0.15">
      <c r="B16" s="413" t="s">
        <v>59</v>
      </c>
      <c r="C16" s="414"/>
      <c r="D16" s="414"/>
      <c r="E16" s="415"/>
    </row>
    <row r="17" spans="1:7" x14ac:dyDescent="0.15">
      <c r="B17" s="406" t="s">
        <v>39</v>
      </c>
      <c r="C17" s="407"/>
      <c r="D17" s="408"/>
      <c r="E17" s="411" t="s">
        <v>3</v>
      </c>
    </row>
    <row r="18" spans="1:7" x14ac:dyDescent="0.15">
      <c r="B18" s="102" t="s">
        <v>55</v>
      </c>
      <c r="C18" s="97" t="s">
        <v>56</v>
      </c>
      <c r="D18" s="95" t="s">
        <v>57</v>
      </c>
      <c r="E18" s="412"/>
      <c r="G18" s="96" t="s">
        <v>71</v>
      </c>
    </row>
    <row r="19" spans="1:7" x14ac:dyDescent="0.15">
      <c r="B19" s="84"/>
      <c r="C19" s="84"/>
      <c r="D19" s="84"/>
      <c r="E19" s="84"/>
      <c r="G19" s="85"/>
    </row>
    <row r="20" spans="1:7" x14ac:dyDescent="0.15">
      <c r="A20" s="83" t="s">
        <v>40</v>
      </c>
      <c r="B20" s="91">
        <f>+B24/B26</f>
        <v>128140000</v>
      </c>
      <c r="C20" s="91">
        <f>$E20*C21</f>
        <v>123000000</v>
      </c>
      <c r="D20" s="91">
        <f>$E20*D21</f>
        <v>77900000</v>
      </c>
      <c r="E20" s="92">
        <v>410000000</v>
      </c>
      <c r="G20" s="107">
        <f>+E20-B20-C20-D20</f>
        <v>80960000</v>
      </c>
    </row>
    <row r="21" spans="1:7" x14ac:dyDescent="0.15">
      <c r="B21" s="110">
        <f>B20/E20</f>
        <v>0.31253658536585366</v>
      </c>
      <c r="C21" s="90">
        <v>0.3</v>
      </c>
      <c r="D21" s="90">
        <v>0.19</v>
      </c>
      <c r="E21" s="120"/>
      <c r="F21" s="100"/>
      <c r="G21" s="98">
        <f>G20/E20</f>
        <v>0.19746341463414635</v>
      </c>
    </row>
    <row r="22" spans="1:7" x14ac:dyDescent="0.15">
      <c r="A22" s="74" t="s">
        <v>41</v>
      </c>
      <c r="B22" s="113">
        <v>22111</v>
      </c>
      <c r="C22" s="117">
        <f>C20/180</f>
        <v>683333.33333333337</v>
      </c>
      <c r="D22" s="117">
        <f>ROUND(D28/D30,0)</f>
        <v>3158</v>
      </c>
      <c r="E22" s="85"/>
    </row>
    <row r="23" spans="1:7" x14ac:dyDescent="0.15">
      <c r="B23" s="85"/>
      <c r="C23" s="85"/>
      <c r="D23" s="85"/>
      <c r="E23" s="85"/>
    </row>
    <row r="24" spans="1:7" x14ac:dyDescent="0.15">
      <c r="A24" s="83" t="s">
        <v>43</v>
      </c>
      <c r="B24" s="91">
        <f>+B25*E24</f>
        <v>38442000</v>
      </c>
      <c r="C24" s="91">
        <f>C25*E24</f>
        <v>79446800</v>
      </c>
      <c r="D24" s="91">
        <f>+E24-C24-B24</f>
        <v>10251200</v>
      </c>
      <c r="E24" s="94">
        <v>128140000</v>
      </c>
    </row>
    <row r="25" spans="1:7" x14ac:dyDescent="0.15">
      <c r="A25" s="74" t="s">
        <v>60</v>
      </c>
      <c r="B25" s="90">
        <v>0.3</v>
      </c>
      <c r="C25" s="90">
        <v>0.62</v>
      </c>
      <c r="D25" s="110">
        <f>+D24/E24</f>
        <v>0.08</v>
      </c>
      <c r="E25" s="110">
        <f>+E24/E24</f>
        <v>1</v>
      </c>
    </row>
    <row r="26" spans="1:7" x14ac:dyDescent="0.15">
      <c r="A26" s="74" t="s">
        <v>42</v>
      </c>
      <c r="B26" s="90">
        <v>0.3</v>
      </c>
      <c r="C26" s="110">
        <f>C24/C20</f>
        <v>0.64590894308943092</v>
      </c>
      <c r="D26" s="93">
        <f>D24/D20</f>
        <v>0.13159435173299103</v>
      </c>
      <c r="E26" s="93">
        <f>E24/E20</f>
        <v>0.31253658536585366</v>
      </c>
    </row>
    <row r="27" spans="1:7" x14ac:dyDescent="0.15">
      <c r="B27" s="110"/>
      <c r="C27" s="110"/>
      <c r="D27" s="85"/>
      <c r="E27" s="93"/>
    </row>
    <row r="28" spans="1:7" x14ac:dyDescent="0.15">
      <c r="A28" s="74" t="s">
        <v>44</v>
      </c>
      <c r="B28" s="114">
        <v>6200</v>
      </c>
      <c r="C28" s="118">
        <f>C24/C40</f>
        <v>441371.11111111112</v>
      </c>
      <c r="D28" s="113">
        <v>600</v>
      </c>
      <c r="E28" s="93"/>
    </row>
    <row r="29" spans="1:7" x14ac:dyDescent="0.15">
      <c r="A29" s="74" t="s">
        <v>45</v>
      </c>
      <c r="B29" s="115">
        <f>+B24/B28</f>
        <v>6200.322580645161</v>
      </c>
      <c r="C29" s="115">
        <f t="shared" ref="C29:D29" si="0">+C24/C28</f>
        <v>180</v>
      </c>
      <c r="D29" s="115">
        <f t="shared" si="0"/>
        <v>17085.333333333332</v>
      </c>
      <c r="E29" s="93"/>
    </row>
    <row r="30" spans="1:7" x14ac:dyDescent="0.15">
      <c r="A30" s="74" t="s">
        <v>46</v>
      </c>
      <c r="B30" s="110">
        <f>B28/B22</f>
        <v>0.28040341911265887</v>
      </c>
      <c r="C30" s="110">
        <f>C28/C22</f>
        <v>0.64590894308943092</v>
      </c>
      <c r="D30" s="119">
        <v>0.19</v>
      </c>
      <c r="E30" s="93"/>
    </row>
    <row r="31" spans="1:7" x14ac:dyDescent="0.15">
      <c r="B31" s="110"/>
      <c r="C31" s="110"/>
      <c r="D31" s="110"/>
      <c r="E31" s="93"/>
    </row>
    <row r="32" spans="1:7" x14ac:dyDescent="0.15">
      <c r="A32" s="74" t="s">
        <v>73</v>
      </c>
      <c r="B32" s="110"/>
      <c r="C32" s="110"/>
      <c r="D32" s="110"/>
      <c r="E32" s="93"/>
    </row>
    <row r="33" spans="1:5" x14ac:dyDescent="0.15">
      <c r="A33" s="83" t="s">
        <v>49</v>
      </c>
      <c r="B33" s="161">
        <v>180</v>
      </c>
      <c r="C33" s="161">
        <v>180</v>
      </c>
      <c r="D33" s="161">
        <v>180</v>
      </c>
      <c r="E33" s="93"/>
    </row>
    <row r="34" spans="1:5" x14ac:dyDescent="0.15">
      <c r="A34" s="83" t="s">
        <v>48</v>
      </c>
      <c r="B34" s="161">
        <v>500</v>
      </c>
      <c r="C34" s="161">
        <v>500</v>
      </c>
      <c r="D34" s="161">
        <v>500</v>
      </c>
      <c r="E34" s="93"/>
    </row>
    <row r="35" spans="1:5" x14ac:dyDescent="0.15">
      <c r="B35" s="85"/>
      <c r="C35" s="85"/>
      <c r="D35" s="85"/>
      <c r="E35" s="85"/>
    </row>
    <row r="36" spans="1:5" x14ac:dyDescent="0.15">
      <c r="A36" s="74" t="s">
        <v>62</v>
      </c>
      <c r="B36" s="85"/>
      <c r="C36" s="85"/>
      <c r="D36" s="85"/>
      <c r="E36" s="85"/>
    </row>
    <row r="37" spans="1:5" x14ac:dyDescent="0.15">
      <c r="A37" s="83" t="s">
        <v>49</v>
      </c>
      <c r="B37" s="89">
        <v>0.71</v>
      </c>
      <c r="C37" s="89">
        <v>1</v>
      </c>
      <c r="D37" s="89">
        <v>0.09</v>
      </c>
      <c r="E37" s="89">
        <v>0.84</v>
      </c>
    </row>
    <row r="38" spans="1:5" x14ac:dyDescent="0.15">
      <c r="A38" s="83" t="s">
        <v>48</v>
      </c>
      <c r="B38" s="89">
        <f>1-B37</f>
        <v>0.29000000000000004</v>
      </c>
      <c r="C38" s="89">
        <v>0</v>
      </c>
      <c r="D38" s="89">
        <v>0.91</v>
      </c>
      <c r="E38" s="89">
        <f>1-E37</f>
        <v>0.16000000000000003</v>
      </c>
    </row>
    <row r="39" spans="1:5" x14ac:dyDescent="0.15">
      <c r="B39" s="110"/>
      <c r="C39" s="110"/>
      <c r="D39" s="110"/>
      <c r="E39" s="93"/>
    </row>
    <row r="40" spans="1:5" x14ac:dyDescent="0.15">
      <c r="A40" s="74" t="s">
        <v>74</v>
      </c>
      <c r="B40" s="115">
        <f>B33*B37+B34*B38</f>
        <v>272.8</v>
      </c>
      <c r="C40" s="115">
        <f t="shared" ref="C40:D40" si="1">C33*C37+C34*C38</f>
        <v>180</v>
      </c>
      <c r="D40" s="115">
        <f t="shared" si="1"/>
        <v>471.2</v>
      </c>
      <c r="E40" s="93"/>
    </row>
    <row r="41" spans="1:5" x14ac:dyDescent="0.15">
      <c r="B41" s="85"/>
      <c r="C41" s="85"/>
      <c r="D41" s="85"/>
      <c r="E41" s="85"/>
    </row>
    <row r="42" spans="1:5" x14ac:dyDescent="0.15">
      <c r="A42" s="74" t="s">
        <v>63</v>
      </c>
      <c r="B42" s="85"/>
      <c r="C42" s="85"/>
      <c r="D42" s="85"/>
      <c r="E42" s="85"/>
    </row>
    <row r="43" spans="1:5" x14ac:dyDescent="0.15">
      <c r="A43" s="83" t="s">
        <v>49</v>
      </c>
      <c r="B43" s="91">
        <f t="shared" ref="B43:E44" si="2">B37*B$24</f>
        <v>27293820</v>
      </c>
      <c r="C43" s="91">
        <f t="shared" si="2"/>
        <v>79446800</v>
      </c>
      <c r="D43" s="91">
        <f t="shared" si="2"/>
        <v>922608</v>
      </c>
      <c r="E43" s="91">
        <f t="shared" si="2"/>
        <v>107637600</v>
      </c>
    </row>
    <row r="44" spans="1:5" x14ac:dyDescent="0.15">
      <c r="A44" s="83" t="s">
        <v>48</v>
      </c>
      <c r="B44" s="91">
        <f t="shared" si="2"/>
        <v>11148180.000000002</v>
      </c>
      <c r="C44" s="91">
        <f t="shared" si="2"/>
        <v>0</v>
      </c>
      <c r="D44" s="91">
        <f t="shared" si="2"/>
        <v>9328592</v>
      </c>
      <c r="E44" s="91">
        <f t="shared" si="2"/>
        <v>20502400.000000004</v>
      </c>
    </row>
    <row r="45" spans="1:5" x14ac:dyDescent="0.15">
      <c r="B45" s="85"/>
      <c r="C45" s="85"/>
      <c r="D45" s="85"/>
      <c r="E45" s="85"/>
    </row>
    <row r="46" spans="1:5" x14ac:dyDescent="0.15">
      <c r="A46" s="74" t="s">
        <v>69</v>
      </c>
      <c r="B46" s="89">
        <v>0.01</v>
      </c>
      <c r="C46" s="89">
        <v>0</v>
      </c>
      <c r="D46" s="89">
        <v>0.1</v>
      </c>
      <c r="E46" s="85"/>
    </row>
    <row r="47" spans="1:5" x14ac:dyDescent="0.15">
      <c r="A47" s="74" t="s">
        <v>61</v>
      </c>
      <c r="B47" s="87">
        <v>90</v>
      </c>
      <c r="C47" s="87">
        <v>30</v>
      </c>
      <c r="D47" s="87">
        <v>150</v>
      </c>
      <c r="E47" s="85"/>
    </row>
    <row r="48" spans="1:5" x14ac:dyDescent="0.15">
      <c r="A48" s="74" t="s">
        <v>70</v>
      </c>
      <c r="B48" s="89">
        <v>0.12</v>
      </c>
      <c r="C48" s="85"/>
      <c r="D48" s="89">
        <v>0.06</v>
      </c>
      <c r="E48" s="85"/>
    </row>
    <row r="49" spans="1:5" x14ac:dyDescent="0.15">
      <c r="B49" s="85"/>
      <c r="C49" s="85"/>
      <c r="D49" s="85"/>
      <c r="E49" s="85"/>
    </row>
    <row r="50" spans="1:5" x14ac:dyDescent="0.15">
      <c r="B50" s="85"/>
      <c r="C50" s="85"/>
      <c r="D50" s="85"/>
      <c r="E50" s="85"/>
    </row>
    <row r="51" spans="1:5" x14ac:dyDescent="0.15">
      <c r="A51" s="74" t="s">
        <v>64</v>
      </c>
      <c r="B51" s="85"/>
      <c r="C51" s="85"/>
      <c r="D51" s="85"/>
      <c r="E51" s="85"/>
    </row>
    <row r="52" spans="1:5" x14ac:dyDescent="0.15">
      <c r="A52" s="74" t="s">
        <v>65</v>
      </c>
      <c r="B52" s="87">
        <v>50</v>
      </c>
      <c r="C52" s="87">
        <v>0</v>
      </c>
      <c r="D52" s="87">
        <v>7</v>
      </c>
      <c r="E52" s="85"/>
    </row>
    <row r="53" spans="1:5" x14ac:dyDescent="0.15">
      <c r="A53" s="74" t="s">
        <v>66</v>
      </c>
      <c r="B53" s="87">
        <v>40</v>
      </c>
      <c r="C53" s="87">
        <v>0</v>
      </c>
      <c r="D53" s="87">
        <v>2</v>
      </c>
      <c r="E53" s="85"/>
    </row>
    <row r="54" spans="1:5" x14ac:dyDescent="0.15">
      <c r="A54" s="74" t="s">
        <v>67</v>
      </c>
      <c r="B54" s="87">
        <v>25</v>
      </c>
      <c r="C54" s="87">
        <v>0</v>
      </c>
      <c r="D54" s="87">
        <v>3</v>
      </c>
      <c r="E54" s="85"/>
    </row>
    <row r="55" spans="1:5" x14ac:dyDescent="0.15">
      <c r="A55" s="105" t="s">
        <v>68</v>
      </c>
      <c r="B55" s="116">
        <f>SUM(B52:B54)</f>
        <v>115</v>
      </c>
      <c r="C55" s="116">
        <f t="shared" ref="C55:D55" si="3">SUM(C52:C54)</f>
        <v>0</v>
      </c>
      <c r="D55" s="116">
        <f t="shared" si="3"/>
        <v>12</v>
      </c>
      <c r="E55" s="86"/>
    </row>
  </sheetData>
  <mergeCells count="5">
    <mergeCell ref="B8:D8"/>
    <mergeCell ref="A8:A9"/>
    <mergeCell ref="B17:D17"/>
    <mergeCell ref="E17:E18"/>
    <mergeCell ref="B16:E16"/>
  </mergeCells>
  <pageMargins left="0.25" right="0.25" top="0.75" bottom="0.75" header="0.3" footer="0.3"/>
  <pageSetup paperSize="9" scale="83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7364-288E-2E43-B7CA-0E47D9936551}">
  <sheetPr codeName="Foglio21">
    <tabColor theme="0" tint="-0.499984740745262"/>
  </sheetPr>
  <dimension ref="B2:D17"/>
  <sheetViews>
    <sheetView showGridLines="0" zoomScale="190" zoomScaleNormal="19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313" bestFit="1" customWidth="1"/>
    <col min="4" max="16384" width="10.83203125" style="2"/>
  </cols>
  <sheetData>
    <row r="2" spans="2:4" x14ac:dyDescent="0.2">
      <c r="B2" s="2" t="s">
        <v>229</v>
      </c>
    </row>
    <row r="3" spans="2:4" ht="15" thickBot="1" x14ac:dyDescent="0.25"/>
    <row r="4" spans="2:4" x14ac:dyDescent="0.2">
      <c r="B4" s="466"/>
      <c r="C4" s="468" t="s">
        <v>85</v>
      </c>
      <c r="D4" s="469"/>
    </row>
    <row r="5" spans="2:4" x14ac:dyDescent="0.2">
      <c r="B5" s="467"/>
      <c r="C5" s="316" t="s">
        <v>163</v>
      </c>
      <c r="D5" s="319" t="s">
        <v>164</v>
      </c>
    </row>
    <row r="6" spans="2:4" x14ac:dyDescent="0.2">
      <c r="B6" s="322" t="s">
        <v>78</v>
      </c>
      <c r="C6" s="317"/>
      <c r="D6" s="314"/>
    </row>
    <row r="7" spans="2:4" x14ac:dyDescent="0.2">
      <c r="B7" s="320" t="s">
        <v>166</v>
      </c>
      <c r="C7" s="323">
        <v>5</v>
      </c>
      <c r="D7" s="324">
        <v>1</v>
      </c>
    </row>
    <row r="8" spans="2:4" x14ac:dyDescent="0.2">
      <c r="B8" s="320" t="s">
        <v>165</v>
      </c>
      <c r="C8" s="323">
        <v>2</v>
      </c>
      <c r="D8" s="324">
        <v>0.3</v>
      </c>
    </row>
    <row r="9" spans="2:4" x14ac:dyDescent="0.2">
      <c r="B9" s="320" t="s">
        <v>167</v>
      </c>
      <c r="C9" s="323">
        <v>8</v>
      </c>
      <c r="D9" s="324"/>
    </row>
    <row r="10" spans="2:4" ht="15" thickBot="1" x14ac:dyDescent="0.25">
      <c r="B10" s="325" t="s">
        <v>3</v>
      </c>
      <c r="C10" s="326">
        <f>SUM(C7:C9)</f>
        <v>15</v>
      </c>
      <c r="D10" s="327">
        <f>SUM(D7:D9)</f>
        <v>1.3</v>
      </c>
    </row>
    <row r="11" spans="2:4" x14ac:dyDescent="0.2">
      <c r="B11" s="322" t="s">
        <v>79</v>
      </c>
      <c r="C11" s="317"/>
      <c r="D11" s="314"/>
    </row>
    <row r="12" spans="2:4" x14ac:dyDescent="0.2">
      <c r="B12" s="320" t="s">
        <v>166</v>
      </c>
      <c r="C12" s="323">
        <v>5</v>
      </c>
      <c r="D12" s="324">
        <v>1</v>
      </c>
    </row>
    <row r="13" spans="2:4" x14ac:dyDescent="0.2">
      <c r="B13" s="320" t="s">
        <v>165</v>
      </c>
      <c r="C13" s="323">
        <v>2</v>
      </c>
      <c r="D13" s="324">
        <v>0.3</v>
      </c>
    </row>
    <row r="14" spans="2:4" x14ac:dyDescent="0.2">
      <c r="B14" s="320" t="s">
        <v>167</v>
      </c>
      <c r="C14" s="323">
        <v>2</v>
      </c>
      <c r="D14" s="324">
        <v>0.3</v>
      </c>
    </row>
    <row r="15" spans="2:4" x14ac:dyDescent="0.2">
      <c r="B15" s="320" t="s">
        <v>168</v>
      </c>
      <c r="C15" s="323">
        <v>5</v>
      </c>
      <c r="D15" s="324">
        <v>0.3</v>
      </c>
    </row>
    <row r="16" spans="2:4" x14ac:dyDescent="0.2">
      <c r="B16" s="320" t="s">
        <v>169</v>
      </c>
      <c r="C16" s="323">
        <v>10</v>
      </c>
      <c r="D16" s="324">
        <v>0.3</v>
      </c>
    </row>
    <row r="17" spans="2:4" ht="15" thickBot="1" x14ac:dyDescent="0.25">
      <c r="B17" s="325" t="s">
        <v>3</v>
      </c>
      <c r="C17" s="326">
        <f>SUM(C12:C16)</f>
        <v>24</v>
      </c>
      <c r="D17" s="327">
        <f>SUM(D12:D16)</f>
        <v>2.2000000000000002</v>
      </c>
    </row>
  </sheetData>
  <mergeCells count="2">
    <mergeCell ref="B4:B5"/>
    <mergeCell ref="C4:D4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BA6B-14E1-3946-B36C-AB75A0841039}">
  <sheetPr codeName="Foglio24">
    <tabColor theme="0" tint="-0.499984740745262"/>
  </sheetPr>
  <dimension ref="B2:F11"/>
  <sheetViews>
    <sheetView showGridLines="0" zoomScale="190" zoomScaleNormal="19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2" customWidth="1"/>
    <col min="4" max="4" width="12.6640625" style="2" customWidth="1"/>
    <col min="5" max="16384" width="10.83203125" style="2"/>
  </cols>
  <sheetData>
    <row r="2" spans="2:6" x14ac:dyDescent="0.2">
      <c r="B2" s="2" t="s">
        <v>231</v>
      </c>
    </row>
    <row r="3" spans="2:6" ht="15" thickBot="1" x14ac:dyDescent="0.25"/>
    <row r="4" spans="2:6" x14ac:dyDescent="0.2">
      <c r="B4" s="321"/>
      <c r="C4" s="331" t="s">
        <v>170</v>
      </c>
      <c r="D4" s="332" t="s">
        <v>171</v>
      </c>
    </row>
    <row r="5" spans="2:6" x14ac:dyDescent="0.2">
      <c r="B5" s="328" t="s">
        <v>177</v>
      </c>
      <c r="C5" s="339" t="e">
        <f>COUNTIF(#REF!,'All. 2'!C4)</f>
        <v>#REF!</v>
      </c>
      <c r="D5" s="340" t="e">
        <f>COUNTIF(#REF!,'All. 2'!D4)</f>
        <v>#REF!</v>
      </c>
    </row>
    <row r="6" spans="2:6" x14ac:dyDescent="0.2">
      <c r="B6" s="320"/>
      <c r="D6" s="329"/>
    </row>
    <row r="7" spans="2:6" x14ac:dyDescent="0.2">
      <c r="B7" s="320" t="s">
        <v>178</v>
      </c>
      <c r="C7" s="315" t="e">
        <f>+#REF!-#REF!</f>
        <v>#REF!</v>
      </c>
      <c r="D7" s="341" t="e">
        <f>+C7</f>
        <v>#REF!</v>
      </c>
    </row>
    <row r="8" spans="2:6" x14ac:dyDescent="0.2">
      <c r="B8" s="320" t="s">
        <v>179</v>
      </c>
      <c r="C8" s="315">
        <v>-5</v>
      </c>
      <c r="D8" s="341">
        <v>-5</v>
      </c>
    </row>
    <row r="9" spans="2:6" x14ac:dyDescent="0.2">
      <c r="B9" s="320" t="s">
        <v>180</v>
      </c>
      <c r="C9" s="315" t="e">
        <f>ROUND(-$F$9*C7,0)</f>
        <v>#REF!</v>
      </c>
      <c r="D9" s="341" t="e">
        <f>ROUND(-$F$9*D7,0)</f>
        <v>#REF!</v>
      </c>
      <c r="F9" s="343">
        <f>14/235</f>
        <v>5.9574468085106386E-2</v>
      </c>
    </row>
    <row r="10" spans="2:6" x14ac:dyDescent="0.2">
      <c r="B10" s="320" t="s">
        <v>181</v>
      </c>
      <c r="C10" s="315">
        <v>8</v>
      </c>
      <c r="D10" s="341">
        <v>8</v>
      </c>
    </row>
    <row r="11" spans="2:6" ht="15" thickBot="1" x14ac:dyDescent="0.25">
      <c r="B11" s="330" t="s">
        <v>182</v>
      </c>
      <c r="C11" s="344">
        <v>0</v>
      </c>
      <c r="D11" s="34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431B0-06F8-DA46-9658-DA25266014C9}">
  <sheetPr codeName="Foglio22">
    <tabColor theme="0" tint="-0.499984740745262"/>
  </sheetPr>
  <dimension ref="B2:D12"/>
  <sheetViews>
    <sheetView showGridLines="0" zoomScale="190" zoomScaleNormal="19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313" bestFit="1" customWidth="1"/>
    <col min="4" max="16384" width="10.83203125" style="2"/>
  </cols>
  <sheetData>
    <row r="2" spans="2:4" x14ac:dyDescent="0.2">
      <c r="B2" s="2" t="s">
        <v>232</v>
      </c>
    </row>
    <row r="3" spans="2:4" ht="15" thickBot="1" x14ac:dyDescent="0.25"/>
    <row r="4" spans="2:4" x14ac:dyDescent="0.2">
      <c r="B4" s="466"/>
      <c r="C4" s="468" t="s">
        <v>85</v>
      </c>
      <c r="D4" s="469"/>
    </row>
    <row r="5" spans="2:4" x14ac:dyDescent="0.2">
      <c r="B5" s="467"/>
      <c r="C5" s="316" t="s">
        <v>170</v>
      </c>
      <c r="D5" s="319" t="s">
        <v>171</v>
      </c>
    </row>
    <row r="6" spans="2:4" x14ac:dyDescent="0.2">
      <c r="B6" s="328" t="s">
        <v>172</v>
      </c>
      <c r="C6" s="317"/>
      <c r="D6" s="314"/>
    </row>
    <row r="7" spans="2:4" x14ac:dyDescent="0.2">
      <c r="B7" s="320" t="s">
        <v>173</v>
      </c>
      <c r="C7" s="323">
        <v>3</v>
      </c>
      <c r="D7" s="324">
        <v>1</v>
      </c>
    </row>
    <row r="8" spans="2:4" x14ac:dyDescent="0.2">
      <c r="B8" s="320" t="s">
        <v>174</v>
      </c>
      <c r="C8" s="323">
        <v>235</v>
      </c>
      <c r="D8" s="324">
        <v>235</v>
      </c>
    </row>
    <row r="9" spans="2:4" x14ac:dyDescent="0.2">
      <c r="B9" s="320" t="s">
        <v>175</v>
      </c>
      <c r="C9" s="323">
        <v>12</v>
      </c>
      <c r="D9" s="324">
        <v>12</v>
      </c>
    </row>
    <row r="10" spans="2:4" x14ac:dyDescent="0.2">
      <c r="B10" s="320" t="s">
        <v>8</v>
      </c>
      <c r="C10" s="323">
        <v>3</v>
      </c>
      <c r="D10" s="324">
        <v>2</v>
      </c>
    </row>
    <row r="11" spans="2:4" x14ac:dyDescent="0.2">
      <c r="B11" s="320" t="s">
        <v>176</v>
      </c>
      <c r="C11" s="323">
        <v>8</v>
      </c>
      <c r="D11" s="324">
        <v>8</v>
      </c>
    </row>
    <row r="12" spans="2:4" ht="15" thickBot="1" x14ac:dyDescent="0.25">
      <c r="B12" s="325"/>
      <c r="C12" s="326"/>
      <c r="D12" s="327"/>
    </row>
  </sheetData>
  <mergeCells count="2">
    <mergeCell ref="B4:B5"/>
    <mergeCell ref="C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40467-1501-C04A-A463-3AA48BC6BAFF}">
  <sheetPr codeName="Foglio25"/>
  <dimension ref="B2:Q80"/>
  <sheetViews>
    <sheetView zoomScale="140" zoomScaleNormal="140" workbookViewId="0">
      <selection activeCell="B3" sqref="B3"/>
    </sheetView>
  </sheetViews>
  <sheetFormatPr baseColWidth="10" defaultRowHeight="13" x14ac:dyDescent="0.15"/>
  <cols>
    <col min="2" max="2" width="22.6640625" customWidth="1"/>
    <col min="3" max="3" width="12" bestFit="1" customWidth="1"/>
  </cols>
  <sheetData>
    <row r="2" spans="2:15" x14ac:dyDescent="0.15">
      <c r="B2" s="310" t="s">
        <v>233</v>
      </c>
    </row>
    <row r="3" spans="2:15" ht="14" thickBot="1" x14ac:dyDescent="0.2"/>
    <row r="4" spans="2:15" ht="16" x14ac:dyDescent="0.15">
      <c r="B4" s="222"/>
      <c r="C4" s="402" t="s">
        <v>85</v>
      </c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5"/>
    </row>
    <row r="5" spans="2:15" ht="16" x14ac:dyDescent="0.15">
      <c r="B5" s="135"/>
      <c r="C5" s="229" t="s">
        <v>100</v>
      </c>
      <c r="D5" s="229" t="s">
        <v>101</v>
      </c>
      <c r="E5" s="229" t="s">
        <v>102</v>
      </c>
      <c r="F5" s="229" t="s">
        <v>103</v>
      </c>
      <c r="G5" s="229" t="s">
        <v>104</v>
      </c>
      <c r="H5" s="229" t="s">
        <v>105</v>
      </c>
      <c r="I5" s="229" t="s">
        <v>106</v>
      </c>
      <c r="J5" s="229" t="s">
        <v>107</v>
      </c>
      <c r="K5" s="229" t="s">
        <v>108</v>
      </c>
      <c r="L5" s="229" t="s">
        <v>109</v>
      </c>
      <c r="M5" s="229" t="s">
        <v>110</v>
      </c>
      <c r="N5" s="229" t="s">
        <v>111</v>
      </c>
      <c r="O5" s="234" t="s">
        <v>68</v>
      </c>
    </row>
    <row r="6" spans="2:15" ht="16" x14ac:dyDescent="0.2">
      <c r="B6" s="19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30"/>
    </row>
    <row r="7" spans="2:15" ht="16" x14ac:dyDescent="0.2">
      <c r="B7" s="345" t="s">
        <v>183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230"/>
    </row>
    <row r="8" spans="2:15" ht="16" x14ac:dyDescent="0.2">
      <c r="B8" s="311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230"/>
    </row>
    <row r="9" spans="2:15" ht="16" x14ac:dyDescent="0.2">
      <c r="B9" s="311" t="s">
        <v>184</v>
      </c>
      <c r="C9" s="224">
        <f>'Tab 4 v2'!C15</f>
        <v>53085.140425531914</v>
      </c>
      <c r="D9" s="224">
        <f>'Tab 4 v2'!D15</f>
        <v>60115.491160451427</v>
      </c>
      <c r="E9" s="224">
        <f>'Tab 4 v2'!E15</f>
        <v>67407.192253488931</v>
      </c>
      <c r="F9" s="224">
        <f>'Tab 4 v2'!F15</f>
        <v>61932.663829787234</v>
      </c>
      <c r="G9" s="224">
        <f>'Tab 4 v2'!G15</f>
        <v>61932.663829787227</v>
      </c>
      <c r="H9" s="224">
        <f>'Tab 4 v2'!H15</f>
        <v>64881.83829787228</v>
      </c>
      <c r="I9" s="224">
        <f>'Tab 4 v2'!I15</f>
        <v>57041.838297872338</v>
      </c>
      <c r="J9" s="224">
        <f>'Tab 4 v2'!J15</f>
        <v>35390.093617021274</v>
      </c>
      <c r="K9" s="224">
        <f>'Tab 4 v2'!K15</f>
        <v>61002.600772020145</v>
      </c>
      <c r="L9" s="224">
        <f>'Tab 4 v2'!L15</f>
        <v>53809.840677835746</v>
      </c>
      <c r="M9" s="224">
        <f>'Tab 4 v2'!M15</f>
        <v>61932.663829787227</v>
      </c>
      <c r="N9" s="224">
        <f>'Tab 4 v2'!N15</f>
        <v>27550.093617021277</v>
      </c>
      <c r="O9" s="346">
        <f>SUM(C9:N9)</f>
        <v>666082.12060847704</v>
      </c>
    </row>
    <row r="10" spans="2:15" ht="16" x14ac:dyDescent="0.2">
      <c r="B10" s="311" t="s">
        <v>185</v>
      </c>
      <c r="C10" s="224">
        <f>'All. 1'!$C$10/60*C9</f>
        <v>13271.285106382978</v>
      </c>
      <c r="D10" s="224">
        <f>'All. 1'!$C$10/60*D9</f>
        <v>15028.872790112857</v>
      </c>
      <c r="E10" s="224">
        <f>'All. 1'!$C$10/60*E9</f>
        <v>16851.798063372233</v>
      </c>
      <c r="F10" s="224">
        <f>'All. 1'!$C$10/60*F9</f>
        <v>15483.165957446809</v>
      </c>
      <c r="G10" s="224">
        <f>'All. 1'!$C$10/60*G9</f>
        <v>15483.165957446807</v>
      </c>
      <c r="H10" s="224">
        <f>'All. 1'!$C$10/60*H9</f>
        <v>16220.45957446807</v>
      </c>
      <c r="I10" s="224">
        <f>'All. 1'!$C$10/60*I9</f>
        <v>14260.459574468085</v>
      </c>
      <c r="J10" s="224">
        <f>'All. 1'!$C$10/60*J9</f>
        <v>8847.5234042553184</v>
      </c>
      <c r="K10" s="224">
        <f>'All. 1'!$C$10/60*K9</f>
        <v>15250.650193005036</v>
      </c>
      <c r="L10" s="224">
        <f>'All. 1'!$C$10/60*L9</f>
        <v>13452.460169458936</v>
      </c>
      <c r="M10" s="224">
        <f>'All. 1'!$C$10/60*M9</f>
        <v>15483.165957446807</v>
      </c>
      <c r="N10" s="224">
        <f>'All. 1'!$C$10/60*N9</f>
        <v>6887.5234042553193</v>
      </c>
      <c r="O10" s="346">
        <f>SUM(C10:N10)</f>
        <v>166520.53015211926</v>
      </c>
    </row>
    <row r="11" spans="2:15" ht="16" x14ac:dyDescent="0.2">
      <c r="B11" s="311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230"/>
    </row>
    <row r="12" spans="2:15" ht="16" x14ac:dyDescent="0.2">
      <c r="B12" s="311" t="s">
        <v>186</v>
      </c>
      <c r="C12" s="366" t="e">
        <f>#REF!-#REF!</f>
        <v>#REF!</v>
      </c>
      <c r="D12" s="366" t="e">
        <f>#REF!-#REF!</f>
        <v>#REF!</v>
      </c>
      <c r="E12" s="366" t="e">
        <f>#REF!-#REF!</f>
        <v>#REF!</v>
      </c>
      <c r="F12" s="366" t="e">
        <f>#REF!-#REF!</f>
        <v>#REF!</v>
      </c>
      <c r="G12" s="366" t="e">
        <f>#REF!-#REF!</f>
        <v>#REF!</v>
      </c>
      <c r="H12" s="366" t="e">
        <f>#REF!-#REF!</f>
        <v>#REF!</v>
      </c>
      <c r="I12" s="366" t="e">
        <f>#REF!-#REF!</f>
        <v>#REF!</v>
      </c>
      <c r="J12" s="366" t="e">
        <f>#REF!-#REF!</f>
        <v>#REF!</v>
      </c>
      <c r="K12" s="366" t="e">
        <f>#REF!-#REF!</f>
        <v>#REF!</v>
      </c>
      <c r="L12" s="366" t="e">
        <f>#REF!-#REF!</f>
        <v>#REF!</v>
      </c>
      <c r="M12" s="366" t="e">
        <f>#REF!-#REF!</f>
        <v>#REF!</v>
      </c>
      <c r="N12" s="366" t="e">
        <f>#REF!-#REF!</f>
        <v>#REF!</v>
      </c>
      <c r="O12" s="376" t="e">
        <f>SUM(C12:N12)</f>
        <v>#REF!</v>
      </c>
    </row>
    <row r="13" spans="2:15" ht="16" x14ac:dyDescent="0.2">
      <c r="B13" s="311" t="s">
        <v>4</v>
      </c>
      <c r="C13" s="349" t="e">
        <f>-#REF!</f>
        <v>#REF!</v>
      </c>
      <c r="D13" s="349" t="e">
        <f>-#REF!</f>
        <v>#REF!</v>
      </c>
      <c r="E13" s="349" t="e">
        <f>-#REF!</f>
        <v>#REF!</v>
      </c>
      <c r="F13" s="349" t="e">
        <f>-#REF!</f>
        <v>#REF!</v>
      </c>
      <c r="G13" s="349" t="e">
        <f>-#REF!</f>
        <v>#REF!</v>
      </c>
      <c r="H13" s="349" t="e">
        <f>-#REF!</f>
        <v>#REF!</v>
      </c>
      <c r="I13" s="349" t="e">
        <f>-#REF!</f>
        <v>#REF!</v>
      </c>
      <c r="J13" s="349" t="e">
        <f>-#REF!</f>
        <v>#REF!</v>
      </c>
      <c r="K13" s="349" t="e">
        <f>-#REF!</f>
        <v>#REF!</v>
      </c>
      <c r="L13" s="349" t="e">
        <f>-#REF!</f>
        <v>#REF!</v>
      </c>
      <c r="M13" s="349" t="e">
        <f>-#REF!</f>
        <v>#REF!</v>
      </c>
      <c r="N13" s="349" t="e">
        <f>-#REF!</f>
        <v>#REF!</v>
      </c>
      <c r="O13" s="376" t="e">
        <f t="shared" ref="O13:O14" si="0">SUM(C13:N13)</f>
        <v>#REF!</v>
      </c>
    </row>
    <row r="14" spans="2:15" ht="16" x14ac:dyDescent="0.2">
      <c r="B14" s="311" t="s">
        <v>5</v>
      </c>
      <c r="C14" s="347" t="e">
        <f>-#REF!</f>
        <v>#REF!</v>
      </c>
      <c r="D14" s="347" t="e">
        <f>-#REF!</f>
        <v>#REF!</v>
      </c>
      <c r="E14" s="347" t="e">
        <f>-#REF!</f>
        <v>#REF!</v>
      </c>
      <c r="F14" s="347" t="e">
        <f>-#REF!</f>
        <v>#REF!</v>
      </c>
      <c r="G14" s="347" t="e">
        <f>-#REF!</f>
        <v>#REF!</v>
      </c>
      <c r="H14" s="347" t="e">
        <f>-#REF!</f>
        <v>#REF!</v>
      </c>
      <c r="I14" s="347" t="e">
        <f>-#REF!</f>
        <v>#REF!</v>
      </c>
      <c r="J14" s="347" t="e">
        <f>-#REF!</f>
        <v>#REF!</v>
      </c>
      <c r="K14" s="347" t="e">
        <f>-#REF!</f>
        <v>#REF!</v>
      </c>
      <c r="L14" s="347" t="e">
        <f>-#REF!</f>
        <v>#REF!</v>
      </c>
      <c r="M14" s="347" t="e">
        <f>-#REF!</f>
        <v>#REF!</v>
      </c>
      <c r="N14" s="347" t="e">
        <f>-#REF!</f>
        <v>#REF!</v>
      </c>
      <c r="O14" s="376" t="e">
        <f t="shared" si="0"/>
        <v>#REF!</v>
      </c>
    </row>
    <row r="15" spans="2:15" ht="16" x14ac:dyDescent="0.2">
      <c r="B15" s="311" t="s">
        <v>6</v>
      </c>
      <c r="C15" s="347">
        <f>'All. 2'!$C$10</f>
        <v>8</v>
      </c>
      <c r="D15" s="347">
        <f>'All. 2'!$C$10</f>
        <v>8</v>
      </c>
      <c r="E15" s="347">
        <f>'All. 2'!$C$10</f>
        <v>8</v>
      </c>
      <c r="F15" s="347">
        <f>'All. 2'!$C$10</f>
        <v>8</v>
      </c>
      <c r="G15" s="347">
        <f>'All. 2'!$C$10</f>
        <v>8</v>
      </c>
      <c r="H15" s="347">
        <f>'All. 2'!$C$10</f>
        <v>8</v>
      </c>
      <c r="I15" s="347">
        <f>'All. 2'!$C$10</f>
        <v>8</v>
      </c>
      <c r="J15" s="347">
        <f>'All. 2'!$C$10</f>
        <v>8</v>
      </c>
      <c r="K15" s="347">
        <f>'All. 2'!$C$10</f>
        <v>8</v>
      </c>
      <c r="L15" s="347">
        <f>'All. 2'!$C$10</f>
        <v>8</v>
      </c>
      <c r="M15" s="347">
        <f>'All. 2'!$C$10</f>
        <v>8</v>
      </c>
      <c r="N15" s="347">
        <f>'All. 2'!$C$10</f>
        <v>8</v>
      </c>
      <c r="O15" s="350"/>
    </row>
    <row r="16" spans="2:15" ht="16" x14ac:dyDescent="0.2">
      <c r="B16" s="311" t="s">
        <v>7</v>
      </c>
      <c r="C16" s="347" t="e">
        <f>'All. 2'!$C$5</f>
        <v>#REF!</v>
      </c>
      <c r="D16" s="347" t="e">
        <f>'All. 2'!$C$5</f>
        <v>#REF!</v>
      </c>
      <c r="E16" s="347" t="e">
        <f>'All. 2'!$C$5</f>
        <v>#REF!</v>
      </c>
      <c r="F16" s="347" t="e">
        <f>'All. 2'!$C$5</f>
        <v>#REF!</v>
      </c>
      <c r="G16" s="347" t="e">
        <f>'All. 2'!$C$5</f>
        <v>#REF!</v>
      </c>
      <c r="H16" s="347" t="e">
        <f>'All. 2'!$C$5</f>
        <v>#REF!</v>
      </c>
      <c r="I16" s="347" t="e">
        <f>'All. 2'!$C$5</f>
        <v>#REF!</v>
      </c>
      <c r="J16" s="347" t="e">
        <f>'All. 2'!$C$5</f>
        <v>#REF!</v>
      </c>
      <c r="K16" s="347" t="e">
        <f>'All. 2'!$C$5</f>
        <v>#REF!</v>
      </c>
      <c r="L16" s="347" t="e">
        <f>'All. 2'!$C$5</f>
        <v>#REF!</v>
      </c>
      <c r="M16" s="347" t="e">
        <f>'All. 2'!$C$5</f>
        <v>#REF!</v>
      </c>
      <c r="N16" s="347" t="e">
        <f>'All. 2'!$C$5</f>
        <v>#REF!</v>
      </c>
      <c r="O16" s="350"/>
    </row>
    <row r="17" spans="2:17" ht="17" thickBot="1" x14ac:dyDescent="0.25">
      <c r="B17" s="311" t="s">
        <v>187</v>
      </c>
      <c r="C17" s="224" t="e">
        <f>(C12+C13+C14)*C15*C16</f>
        <v>#REF!</v>
      </c>
      <c r="D17" s="224" t="e">
        <f>(D12+D13+D14)*D15*D16</f>
        <v>#REF!</v>
      </c>
      <c r="E17" s="224" t="e">
        <f t="shared" ref="E17:N17" si="1">(E12+E13+E14)*E15*E16</f>
        <v>#REF!</v>
      </c>
      <c r="F17" s="224" t="e">
        <f t="shared" si="1"/>
        <v>#REF!</v>
      </c>
      <c r="G17" s="224" t="e">
        <f t="shared" si="1"/>
        <v>#REF!</v>
      </c>
      <c r="H17" s="224" t="e">
        <f t="shared" si="1"/>
        <v>#REF!</v>
      </c>
      <c r="I17" s="224" t="e">
        <f t="shared" si="1"/>
        <v>#REF!</v>
      </c>
      <c r="J17" s="224" t="e">
        <f t="shared" si="1"/>
        <v>#REF!</v>
      </c>
      <c r="K17" s="224" t="e">
        <f t="shared" si="1"/>
        <v>#REF!</v>
      </c>
      <c r="L17" s="224" t="e">
        <f t="shared" si="1"/>
        <v>#REF!</v>
      </c>
      <c r="M17" s="224" t="e">
        <f t="shared" si="1"/>
        <v>#REF!</v>
      </c>
      <c r="N17" s="224" t="e">
        <f t="shared" si="1"/>
        <v>#REF!</v>
      </c>
      <c r="O17" s="346" t="e">
        <f>SUM(C17:N17)</f>
        <v>#REF!</v>
      </c>
    </row>
    <row r="18" spans="2:17" ht="17" thickBot="1" x14ac:dyDescent="0.25">
      <c r="B18" s="312" t="s">
        <v>188</v>
      </c>
      <c r="C18" s="228" t="e">
        <f>C17-C10</f>
        <v>#REF!</v>
      </c>
      <c r="D18" s="228" t="e">
        <f t="shared" ref="D18:O18" si="2">D17-D10</f>
        <v>#REF!</v>
      </c>
      <c r="E18" s="228" t="e">
        <f t="shared" si="2"/>
        <v>#REF!</v>
      </c>
      <c r="F18" s="228" t="e">
        <f t="shared" si="2"/>
        <v>#REF!</v>
      </c>
      <c r="G18" s="228" t="e">
        <f t="shared" si="2"/>
        <v>#REF!</v>
      </c>
      <c r="H18" s="228" t="e">
        <f t="shared" si="2"/>
        <v>#REF!</v>
      </c>
      <c r="I18" s="228" t="e">
        <f t="shared" si="2"/>
        <v>#REF!</v>
      </c>
      <c r="J18" s="228" t="e">
        <f t="shared" si="2"/>
        <v>#REF!</v>
      </c>
      <c r="K18" s="228" t="e">
        <f t="shared" si="2"/>
        <v>#REF!</v>
      </c>
      <c r="L18" s="228" t="e">
        <f t="shared" si="2"/>
        <v>#REF!</v>
      </c>
      <c r="M18" s="228" t="e">
        <f t="shared" si="2"/>
        <v>#REF!</v>
      </c>
      <c r="N18" s="228" t="e">
        <f t="shared" si="2"/>
        <v>#REF!</v>
      </c>
      <c r="O18" s="238" t="e">
        <f t="shared" si="2"/>
        <v>#REF!</v>
      </c>
      <c r="P18" s="1"/>
    </row>
    <row r="19" spans="2:17" ht="16" x14ac:dyDescent="0.2">
      <c r="B19" s="311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230"/>
    </row>
    <row r="20" spans="2:17" ht="16" x14ac:dyDescent="0.2">
      <c r="B20" s="311" t="s">
        <v>193</v>
      </c>
      <c r="C20" s="297" t="e">
        <f>C17/('All. 1'!$C$10/60)</f>
        <v>#REF!</v>
      </c>
      <c r="D20" s="297" t="e">
        <f>D17/('All. 1'!$C$10/60)</f>
        <v>#REF!</v>
      </c>
      <c r="E20" s="297" t="e">
        <f>E17/('All. 1'!$C$10/60)</f>
        <v>#REF!</v>
      </c>
      <c r="F20" s="297" t="e">
        <f>F17/('All. 1'!$C$10/60)</f>
        <v>#REF!</v>
      </c>
      <c r="G20" s="297" t="e">
        <f>G17/('All. 1'!$C$10/60)</f>
        <v>#REF!</v>
      </c>
      <c r="H20" s="297" t="e">
        <f>H17/('All. 1'!$C$10/60)</f>
        <v>#REF!</v>
      </c>
      <c r="I20" s="297" t="e">
        <f>I17/('All. 1'!$C$10/60)</f>
        <v>#REF!</v>
      </c>
      <c r="J20" s="297" t="e">
        <f>J17/('All. 1'!$C$10/60)</f>
        <v>#REF!</v>
      </c>
      <c r="K20" s="297" t="e">
        <f>K17/('All. 1'!$C$10/60)</f>
        <v>#REF!</v>
      </c>
      <c r="L20" s="297" t="e">
        <f>L17/('All. 1'!$C$10/60)</f>
        <v>#REF!</v>
      </c>
      <c r="M20" s="297" t="e">
        <f>M17/('All. 1'!$C$10/60)</f>
        <v>#REF!</v>
      </c>
      <c r="N20" s="297" t="e">
        <f>N17/('All. 1'!$C$10/60)</f>
        <v>#REF!</v>
      </c>
      <c r="O20" s="230"/>
    </row>
    <row r="21" spans="2:17" ht="16" x14ac:dyDescent="0.2">
      <c r="B21" s="311"/>
      <c r="C21" s="224" t="e">
        <f>MIN(SUM(C9:$N9)-SUM(D21:$N21),C20)</f>
        <v>#REF!</v>
      </c>
      <c r="D21" s="224" t="e">
        <f>MIN(SUM(D9:$N9)-SUM(E21:$N21),D20)</f>
        <v>#REF!</v>
      </c>
      <c r="E21" s="224" t="e">
        <f>MIN(SUM(E9:$N9)-SUM(F21:$N21),E20)</f>
        <v>#REF!</v>
      </c>
      <c r="F21" s="224" t="e">
        <f>MIN(SUM(F9:$N9)-SUM(G21:$N21),F20)</f>
        <v>#REF!</v>
      </c>
      <c r="G21" s="224" t="e">
        <f>MIN(SUM(G9:$N9)-SUM(H21:$N21),G20)</f>
        <v>#REF!</v>
      </c>
      <c r="H21" s="224" t="e">
        <f>MIN(SUM(H9:$N9)-SUM(I21:$N21),H20)</f>
        <v>#REF!</v>
      </c>
      <c r="I21" s="224" t="e">
        <f>MIN(SUM(I9:$N9)-SUM(J21:$N21),I20)</f>
        <v>#REF!</v>
      </c>
      <c r="J21" s="224" t="e">
        <f>MIN(SUM(J9:$N9)-SUM(K21:$N21),J20)</f>
        <v>#REF!</v>
      </c>
      <c r="K21" s="224" t="e">
        <f>MIN(SUM(K9:$N9)-SUM(L21:$N21),K20)</f>
        <v>#REF!</v>
      </c>
      <c r="L21" s="224" t="e">
        <f>MIN(SUM(L9:$N9)-SUM(M21:$N21),L20)</f>
        <v>#REF!</v>
      </c>
      <c r="M21" s="224" t="e">
        <f>MIN(SUM(M9:$N9)-SUM(N21:$N21),M20)</f>
        <v>#REF!</v>
      </c>
      <c r="N21" s="224" t="e">
        <f>+N20</f>
        <v>#REF!</v>
      </c>
      <c r="O21" s="346" t="e">
        <f>SUM(C21:N21)</f>
        <v>#REF!</v>
      </c>
    </row>
    <row r="22" spans="2:17" ht="16" x14ac:dyDescent="0.2">
      <c r="B22" s="353" t="s">
        <v>189</v>
      </c>
      <c r="C22" s="354" t="e">
        <f t="shared" ref="C22:N22" si="3">+C21+C37</f>
        <v>#REF!</v>
      </c>
      <c r="D22" s="354" t="e">
        <f t="shared" si="3"/>
        <v>#REF!</v>
      </c>
      <c r="E22" s="354" t="e">
        <f t="shared" si="3"/>
        <v>#REF!</v>
      </c>
      <c r="F22" s="354" t="e">
        <f t="shared" si="3"/>
        <v>#REF!</v>
      </c>
      <c r="G22" s="354" t="e">
        <f t="shared" si="3"/>
        <v>#REF!</v>
      </c>
      <c r="H22" s="354" t="e">
        <f t="shared" si="3"/>
        <v>#REF!</v>
      </c>
      <c r="I22" s="354" t="e">
        <f t="shared" si="3"/>
        <v>#REF!</v>
      </c>
      <c r="J22" s="354" t="e">
        <f t="shared" si="3"/>
        <v>#REF!</v>
      </c>
      <c r="K22" s="354" t="e">
        <f t="shared" si="3"/>
        <v>#REF!</v>
      </c>
      <c r="L22" s="354" t="e">
        <f t="shared" si="3"/>
        <v>#REF!</v>
      </c>
      <c r="M22" s="354" t="e">
        <f t="shared" si="3"/>
        <v>#REF!</v>
      </c>
      <c r="N22" s="354" t="e">
        <f t="shared" si="3"/>
        <v>#REF!</v>
      </c>
      <c r="O22" s="355" t="e">
        <f>SUM(C22:N22)</f>
        <v>#REF!</v>
      </c>
      <c r="Q22" s="1"/>
    </row>
    <row r="23" spans="2:17" ht="16" x14ac:dyDescent="0.2">
      <c r="B23" s="311" t="s">
        <v>196</v>
      </c>
      <c r="C23" s="224" t="e">
        <f>'All. 1'!$C$10/60*C22</f>
        <v>#REF!</v>
      </c>
      <c r="D23" s="224" t="e">
        <f>'All. 1'!$C$10/60*D22</f>
        <v>#REF!</v>
      </c>
      <c r="E23" s="224" t="e">
        <f>'All. 1'!$C$10/60*E22</f>
        <v>#REF!</v>
      </c>
      <c r="F23" s="224" t="e">
        <f>'All. 1'!$C$10/60*F22</f>
        <v>#REF!</v>
      </c>
      <c r="G23" s="224" t="e">
        <f>'All. 1'!$C$10/60*G22</f>
        <v>#REF!</v>
      </c>
      <c r="H23" s="224" t="e">
        <f>'All. 1'!$C$10/60*H22</f>
        <v>#REF!</v>
      </c>
      <c r="I23" s="224" t="e">
        <f>'All. 1'!$C$10/60*I22</f>
        <v>#REF!</v>
      </c>
      <c r="J23" s="224" t="e">
        <f>'All. 1'!$C$10/60*J22</f>
        <v>#REF!</v>
      </c>
      <c r="K23" s="224" t="e">
        <f>'All. 1'!$C$10/60*K22</f>
        <v>#REF!</v>
      </c>
      <c r="L23" s="224" t="e">
        <f>'All. 1'!$C$10/60*L22</f>
        <v>#REF!</v>
      </c>
      <c r="M23" s="224" t="e">
        <f>'All. 1'!$C$10/60*M22</f>
        <v>#REF!</v>
      </c>
      <c r="N23" s="224" t="e">
        <f>'All. 1'!$C$10/60*N22</f>
        <v>#REF!</v>
      </c>
      <c r="O23" s="346" t="e">
        <f>SUM(C23:N23)</f>
        <v>#REF!</v>
      </c>
    </row>
    <row r="24" spans="2:17" ht="16" x14ac:dyDescent="0.2">
      <c r="B24" s="311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230"/>
    </row>
    <row r="25" spans="2:17" ht="16" x14ac:dyDescent="0.2">
      <c r="B25" s="311" t="s">
        <v>190</v>
      </c>
      <c r="C25" s="351" t="e">
        <f>C17</f>
        <v>#REF!</v>
      </c>
      <c r="D25" s="351" t="e">
        <f t="shared" ref="D25:N25" si="4">D17</f>
        <v>#REF!</v>
      </c>
      <c r="E25" s="351" t="e">
        <f t="shared" si="4"/>
        <v>#REF!</v>
      </c>
      <c r="F25" s="351" t="e">
        <f t="shared" si="4"/>
        <v>#REF!</v>
      </c>
      <c r="G25" s="351" t="e">
        <f t="shared" si="4"/>
        <v>#REF!</v>
      </c>
      <c r="H25" s="351" t="e">
        <f t="shared" si="4"/>
        <v>#REF!</v>
      </c>
      <c r="I25" s="351" t="e">
        <f t="shared" si="4"/>
        <v>#REF!</v>
      </c>
      <c r="J25" s="351" t="e">
        <f t="shared" si="4"/>
        <v>#REF!</v>
      </c>
      <c r="K25" s="351" t="e">
        <f t="shared" si="4"/>
        <v>#REF!</v>
      </c>
      <c r="L25" s="351" t="e">
        <f t="shared" si="4"/>
        <v>#REF!</v>
      </c>
      <c r="M25" s="351" t="e">
        <f t="shared" si="4"/>
        <v>#REF!</v>
      </c>
      <c r="N25" s="351" t="e">
        <f t="shared" si="4"/>
        <v>#REF!</v>
      </c>
      <c r="O25" s="348" t="e">
        <f>SUM(C25:N25)</f>
        <v>#REF!</v>
      </c>
    </row>
    <row r="26" spans="2:17" ht="16" x14ac:dyDescent="0.2">
      <c r="B26" s="311" t="s">
        <v>191</v>
      </c>
      <c r="C26" s="351"/>
      <c r="D26" s="351" t="e">
        <f>+D23-D25</f>
        <v>#REF!</v>
      </c>
      <c r="E26" s="347"/>
      <c r="F26" s="347"/>
      <c r="G26" s="347"/>
      <c r="H26" s="347"/>
      <c r="I26" s="347"/>
      <c r="J26" s="347"/>
      <c r="K26" s="347"/>
      <c r="L26" s="347"/>
      <c r="M26" s="347"/>
      <c r="N26" s="347"/>
      <c r="O26" s="348" t="e">
        <f>SUM(C26:N26)</f>
        <v>#REF!</v>
      </c>
    </row>
    <row r="27" spans="2:17" ht="17" thickBot="1" x14ac:dyDescent="0.25">
      <c r="B27" s="311" t="s">
        <v>192</v>
      </c>
      <c r="C27" s="351" t="e">
        <f>C25+C26</f>
        <v>#REF!</v>
      </c>
      <c r="D27" s="351" t="e">
        <f t="shared" ref="D27:N27" si="5">D25+D26</f>
        <v>#REF!</v>
      </c>
      <c r="E27" s="351" t="e">
        <f t="shared" si="5"/>
        <v>#REF!</v>
      </c>
      <c r="F27" s="351" t="e">
        <f t="shared" si="5"/>
        <v>#REF!</v>
      </c>
      <c r="G27" s="351" t="e">
        <f t="shared" si="5"/>
        <v>#REF!</v>
      </c>
      <c r="H27" s="351" t="e">
        <f t="shared" si="5"/>
        <v>#REF!</v>
      </c>
      <c r="I27" s="351" t="e">
        <f t="shared" si="5"/>
        <v>#REF!</v>
      </c>
      <c r="J27" s="351" t="e">
        <f t="shared" si="5"/>
        <v>#REF!</v>
      </c>
      <c r="K27" s="351" t="e">
        <f t="shared" si="5"/>
        <v>#REF!</v>
      </c>
      <c r="L27" s="351" t="e">
        <f t="shared" si="5"/>
        <v>#REF!</v>
      </c>
      <c r="M27" s="351" t="e">
        <f t="shared" si="5"/>
        <v>#REF!</v>
      </c>
      <c r="N27" s="351" t="e">
        <f t="shared" si="5"/>
        <v>#REF!</v>
      </c>
      <c r="O27" s="348" t="e">
        <f>SUM(C27:N27)</f>
        <v>#REF!</v>
      </c>
    </row>
    <row r="28" spans="2:17" ht="17" thickBot="1" x14ac:dyDescent="0.25">
      <c r="B28" s="312" t="s">
        <v>188</v>
      </c>
      <c r="C28" s="228" t="e">
        <f>C27-C23</f>
        <v>#REF!</v>
      </c>
      <c r="D28" s="228" t="e">
        <f t="shared" ref="D28:N28" si="6">D27-D23</f>
        <v>#REF!</v>
      </c>
      <c r="E28" s="228" t="e">
        <f t="shared" si="6"/>
        <v>#REF!</v>
      </c>
      <c r="F28" s="228" t="e">
        <f t="shared" si="6"/>
        <v>#REF!</v>
      </c>
      <c r="G28" s="228" t="e">
        <f t="shared" si="6"/>
        <v>#REF!</v>
      </c>
      <c r="H28" s="228" t="e">
        <f t="shared" si="6"/>
        <v>#REF!</v>
      </c>
      <c r="I28" s="228" t="e">
        <f t="shared" si="6"/>
        <v>#REF!</v>
      </c>
      <c r="J28" s="228" t="e">
        <f t="shared" si="6"/>
        <v>#REF!</v>
      </c>
      <c r="K28" s="228" t="e">
        <f t="shared" si="6"/>
        <v>#REF!</v>
      </c>
      <c r="L28" s="228" t="e">
        <f t="shared" si="6"/>
        <v>#REF!</v>
      </c>
      <c r="M28" s="228" t="e">
        <f t="shared" si="6"/>
        <v>#REF!</v>
      </c>
      <c r="N28" s="228" t="e">
        <f t="shared" si="6"/>
        <v>#REF!</v>
      </c>
      <c r="O28" s="238" t="e">
        <f>SUM(C28:N28)</f>
        <v>#REF!</v>
      </c>
    </row>
    <row r="29" spans="2:17" x14ac:dyDescent="0.15">
      <c r="B29" s="356"/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58"/>
    </row>
    <row r="30" spans="2:17" x14ac:dyDescent="0.15">
      <c r="B30" s="359"/>
      <c r="O30" s="360"/>
    </row>
    <row r="31" spans="2:17" x14ac:dyDescent="0.15">
      <c r="B31" s="359"/>
      <c r="O31" s="360"/>
    </row>
    <row r="32" spans="2:17" x14ac:dyDescent="0.15">
      <c r="B32" s="359"/>
      <c r="O32" s="360"/>
    </row>
    <row r="33" spans="2:15" x14ac:dyDescent="0.15">
      <c r="B33" s="361" t="s">
        <v>194</v>
      </c>
      <c r="C33" s="1">
        <f>+C9</f>
        <v>53085.140425531914</v>
      </c>
      <c r="D33" s="1">
        <f t="shared" ref="D33:N33" si="7">+D9+C33</f>
        <v>113200.63158598334</v>
      </c>
      <c r="E33" s="1">
        <f t="shared" si="7"/>
        <v>180607.82383947226</v>
      </c>
      <c r="F33" s="1">
        <f t="shared" si="7"/>
        <v>242540.48766925948</v>
      </c>
      <c r="G33" s="1">
        <f t="shared" si="7"/>
        <v>304473.15149904671</v>
      </c>
      <c r="H33" s="1">
        <f t="shared" si="7"/>
        <v>369354.98979691899</v>
      </c>
      <c r="I33" s="1">
        <f t="shared" si="7"/>
        <v>426396.82809479133</v>
      </c>
      <c r="J33" s="1">
        <f t="shared" si="7"/>
        <v>461786.92171181261</v>
      </c>
      <c r="K33" s="1">
        <f t="shared" si="7"/>
        <v>522789.52248383278</v>
      </c>
      <c r="L33" s="1">
        <f t="shared" si="7"/>
        <v>576599.36316166853</v>
      </c>
      <c r="M33" s="1">
        <f t="shared" si="7"/>
        <v>638532.02699145582</v>
      </c>
      <c r="N33" s="1">
        <f t="shared" si="7"/>
        <v>666082.12060847704</v>
      </c>
      <c r="O33" s="360"/>
    </row>
    <row r="34" spans="2:15" x14ac:dyDescent="0.15">
      <c r="B34" s="361" t="s">
        <v>195</v>
      </c>
      <c r="C34" s="1" t="e">
        <f>+C21</f>
        <v>#REF!</v>
      </c>
      <c r="D34" s="1" t="e">
        <f t="shared" ref="D34:N34" si="8">+C34+D21</f>
        <v>#REF!</v>
      </c>
      <c r="E34" s="1" t="e">
        <f t="shared" si="8"/>
        <v>#REF!</v>
      </c>
      <c r="F34" s="1" t="e">
        <f t="shared" si="8"/>
        <v>#REF!</v>
      </c>
      <c r="G34" s="1" t="e">
        <f t="shared" si="8"/>
        <v>#REF!</v>
      </c>
      <c r="H34" s="1" t="e">
        <f t="shared" si="8"/>
        <v>#REF!</v>
      </c>
      <c r="I34" s="1" t="e">
        <f t="shared" si="8"/>
        <v>#REF!</v>
      </c>
      <c r="J34" s="1" t="e">
        <f t="shared" si="8"/>
        <v>#REF!</v>
      </c>
      <c r="K34" s="1" t="e">
        <f t="shared" si="8"/>
        <v>#REF!</v>
      </c>
      <c r="L34" s="1" t="e">
        <f t="shared" si="8"/>
        <v>#REF!</v>
      </c>
      <c r="M34" s="1" t="e">
        <f t="shared" si="8"/>
        <v>#REF!</v>
      </c>
      <c r="N34" s="1" t="e">
        <f t="shared" si="8"/>
        <v>#REF!</v>
      </c>
      <c r="O34" s="360"/>
    </row>
    <row r="35" spans="2:15" x14ac:dyDescent="0.15">
      <c r="B35" s="359"/>
      <c r="C35" s="1" t="e">
        <f>+C22</f>
        <v>#REF!</v>
      </c>
      <c r="D35" s="1" t="e">
        <f>+D22+C22</f>
        <v>#REF!</v>
      </c>
      <c r="E35" s="1" t="e">
        <f t="shared" ref="E35:N35" si="9">+E22+D35</f>
        <v>#REF!</v>
      </c>
      <c r="F35" s="1" t="e">
        <f t="shared" si="9"/>
        <v>#REF!</v>
      </c>
      <c r="G35" s="1" t="e">
        <f t="shared" si="9"/>
        <v>#REF!</v>
      </c>
      <c r="H35" s="1" t="e">
        <f t="shared" si="9"/>
        <v>#REF!</v>
      </c>
      <c r="I35" s="1" t="e">
        <f t="shared" si="9"/>
        <v>#REF!</v>
      </c>
      <c r="J35" s="1" t="e">
        <f t="shared" si="9"/>
        <v>#REF!</v>
      </c>
      <c r="K35" s="1" t="e">
        <f t="shared" si="9"/>
        <v>#REF!</v>
      </c>
      <c r="L35" s="1" t="e">
        <f t="shared" si="9"/>
        <v>#REF!</v>
      </c>
      <c r="M35" s="1" t="e">
        <f t="shared" si="9"/>
        <v>#REF!</v>
      </c>
      <c r="N35" s="1" t="e">
        <f t="shared" si="9"/>
        <v>#REF!</v>
      </c>
      <c r="O35" s="360"/>
    </row>
    <row r="36" spans="2:15" x14ac:dyDescent="0.15">
      <c r="B36" s="359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360"/>
    </row>
    <row r="37" spans="2:15" ht="14" thickBot="1" x14ac:dyDescent="0.2">
      <c r="B37" s="362"/>
      <c r="C37" s="363" t="e">
        <f>+IF(C34&lt;C33,C33-C34,0)</f>
        <v>#REF!</v>
      </c>
      <c r="D37" s="363" t="e">
        <f>+IF(D34&lt;D33,D33-D34,0)</f>
        <v>#REF!</v>
      </c>
      <c r="E37" s="363"/>
      <c r="F37" s="364"/>
      <c r="G37" s="364"/>
      <c r="H37" s="364"/>
      <c r="I37" s="364"/>
      <c r="J37" s="364"/>
      <c r="K37" s="364"/>
      <c r="L37" s="364"/>
      <c r="M37" s="364"/>
      <c r="N37" s="364"/>
      <c r="O37" s="365"/>
    </row>
    <row r="38" spans="2:15" ht="16" x14ac:dyDescent="0.2">
      <c r="B38" s="19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230"/>
    </row>
    <row r="39" spans="2:15" ht="16" x14ac:dyDescent="0.2">
      <c r="B39" s="345" t="s">
        <v>79</v>
      </c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230"/>
    </row>
    <row r="40" spans="2:15" ht="16" x14ac:dyDescent="0.2">
      <c r="B40" s="311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230"/>
    </row>
    <row r="41" spans="2:15" ht="16" x14ac:dyDescent="0.2">
      <c r="B41" s="311" t="s">
        <v>184</v>
      </c>
      <c r="C41" s="224">
        <f>'Tab 4 v2'!C28</f>
        <v>3608.3732687165466</v>
      </c>
      <c r="D41" s="224">
        <f>'Tab 4 v2'!D28</f>
        <v>3741.1687639396141</v>
      </c>
      <c r="E41" s="224">
        <f>'Tab 4 v2'!E28</f>
        <v>3919.3196574605463</v>
      </c>
      <c r="F41" s="224">
        <f>'Tab 4 v2'!F28</f>
        <v>3919.3196574605317</v>
      </c>
      <c r="G41" s="224">
        <f>'Tab 4 v2'!G28</f>
        <v>2503.4253543994564</v>
      </c>
      <c r="H41" s="224">
        <f>'Tab 4 v2'!H28</f>
        <v>4551.6595744680817</v>
      </c>
      <c r="I41" s="224">
        <f>'Tab 4 v2'!I28</f>
        <v>4001.6595744680844</v>
      </c>
      <c r="J41" s="224">
        <f>'Tab 4 v2'!J28</f>
        <v>2482.7234042553191</v>
      </c>
      <c r="K41" s="224">
        <f>'Tab 4 v2'!K28</f>
        <v>3008.4665511662315</v>
      </c>
      <c r="L41" s="224">
        <f>'Tab 4 v2'!L28</f>
        <v>4344.765957446808</v>
      </c>
      <c r="M41" s="224">
        <f>'Tab 4 v2'!M28</f>
        <v>4344.765957446808</v>
      </c>
      <c r="N41" s="224">
        <f>'Tab 4 v2'!N28</f>
        <v>1932.7234042553191</v>
      </c>
      <c r="O41" s="346">
        <f>SUM(C41:N41)</f>
        <v>42358.37112548334</v>
      </c>
    </row>
    <row r="42" spans="2:15" ht="16" x14ac:dyDescent="0.2">
      <c r="B42" s="311" t="s">
        <v>185</v>
      </c>
      <c r="C42" s="224">
        <f>'All. 1'!$C$17/60*C41</f>
        <v>1443.3493074866187</v>
      </c>
      <c r="D42" s="224">
        <f>'All. 1'!$C$17/60*D41</f>
        <v>1496.4675055758457</v>
      </c>
      <c r="E42" s="224">
        <f>'All. 1'!$C$17/60*E41</f>
        <v>1567.7278629842185</v>
      </c>
      <c r="F42" s="224">
        <f>'All. 1'!$C$17/60*F41</f>
        <v>1567.7278629842128</v>
      </c>
      <c r="G42" s="224">
        <f>'All. 1'!$C$17/60*G41</f>
        <v>1001.3701417597827</v>
      </c>
      <c r="H42" s="224">
        <f>'All. 1'!$C$17/60*H41</f>
        <v>1820.6638297872328</v>
      </c>
      <c r="I42" s="224">
        <f>'All. 1'!$C$17/60*I41</f>
        <v>1600.6638297872339</v>
      </c>
      <c r="J42" s="224">
        <f>'All. 1'!$C$17/60*J41</f>
        <v>993.08936170212769</v>
      </c>
      <c r="K42" s="224">
        <f>'All. 1'!$C$17/60*K41</f>
        <v>1203.3866204664926</v>
      </c>
      <c r="L42" s="224">
        <f>'All. 1'!$C$17/60*L41</f>
        <v>1737.9063829787233</v>
      </c>
      <c r="M42" s="224">
        <f>'All. 1'!$C$17/60*M41</f>
        <v>1737.9063829787233</v>
      </c>
      <c r="N42" s="224">
        <f>'All. 1'!$C$17/60*N41</f>
        <v>773.08936170212769</v>
      </c>
      <c r="O42" s="346">
        <f>SUM(C42:N42)</f>
        <v>16943.348450193338</v>
      </c>
    </row>
    <row r="43" spans="2:15" ht="16" x14ac:dyDescent="0.2">
      <c r="B43" s="311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230"/>
    </row>
    <row r="44" spans="2:15" ht="16" x14ac:dyDescent="0.2">
      <c r="B44" s="311" t="s">
        <v>186</v>
      </c>
      <c r="C44" s="366" t="e">
        <f>+#REF!-#REF!</f>
        <v>#REF!</v>
      </c>
      <c r="D44" s="366" t="e">
        <f>+#REF!-#REF!</f>
        <v>#REF!</v>
      </c>
      <c r="E44" s="366" t="e">
        <f>+#REF!-#REF!</f>
        <v>#REF!</v>
      </c>
      <c r="F44" s="366" t="e">
        <f>+#REF!-#REF!</f>
        <v>#REF!</v>
      </c>
      <c r="G44" s="366" t="e">
        <f>+#REF!-#REF!</f>
        <v>#REF!</v>
      </c>
      <c r="H44" s="366" t="e">
        <f>+#REF!-#REF!</f>
        <v>#REF!</v>
      </c>
      <c r="I44" s="366" t="e">
        <f>+#REF!-#REF!</f>
        <v>#REF!</v>
      </c>
      <c r="J44" s="366" t="e">
        <f>+#REF!-#REF!</f>
        <v>#REF!</v>
      </c>
      <c r="K44" s="366" t="e">
        <f>+#REF!-#REF!</f>
        <v>#REF!</v>
      </c>
      <c r="L44" s="366" t="e">
        <f>+#REF!-#REF!</f>
        <v>#REF!</v>
      </c>
      <c r="M44" s="366" t="e">
        <f>+#REF!-#REF!</f>
        <v>#REF!</v>
      </c>
      <c r="N44" s="366" t="e">
        <f>+#REF!-#REF!</f>
        <v>#REF!</v>
      </c>
      <c r="O44" s="376" t="e">
        <f>SUM(C44:N44)</f>
        <v>#REF!</v>
      </c>
    </row>
    <row r="45" spans="2:15" ht="16" x14ac:dyDescent="0.2">
      <c r="B45" s="311" t="s">
        <v>4</v>
      </c>
      <c r="C45" s="349" t="e">
        <f>-#REF!</f>
        <v>#REF!</v>
      </c>
      <c r="D45" s="349" t="e">
        <f>-#REF!</f>
        <v>#REF!</v>
      </c>
      <c r="E45" s="349" t="e">
        <f>-#REF!</f>
        <v>#REF!</v>
      </c>
      <c r="F45" s="349" t="e">
        <f>-#REF!</f>
        <v>#REF!</v>
      </c>
      <c r="G45" s="349" t="e">
        <f>-#REF!</f>
        <v>#REF!</v>
      </c>
      <c r="H45" s="349" t="e">
        <f>-#REF!</f>
        <v>#REF!</v>
      </c>
      <c r="I45" s="349" t="e">
        <f>-#REF!</f>
        <v>#REF!</v>
      </c>
      <c r="J45" s="349" t="e">
        <f>-#REF!</f>
        <v>#REF!</v>
      </c>
      <c r="K45" s="349" t="e">
        <f>-#REF!</f>
        <v>#REF!</v>
      </c>
      <c r="L45" s="349" t="e">
        <f>-#REF!</f>
        <v>#REF!</v>
      </c>
      <c r="M45" s="349" t="e">
        <f>-#REF!</f>
        <v>#REF!</v>
      </c>
      <c r="N45" s="349" t="e">
        <f>-#REF!</f>
        <v>#REF!</v>
      </c>
      <c r="O45" s="376" t="e">
        <f t="shared" ref="O45:O46" si="10">SUM(C45:N45)</f>
        <v>#REF!</v>
      </c>
    </row>
    <row r="46" spans="2:15" ht="16" x14ac:dyDescent="0.2">
      <c r="B46" s="311" t="s">
        <v>5</v>
      </c>
      <c r="C46" s="347" t="e">
        <f>-#REF!</f>
        <v>#REF!</v>
      </c>
      <c r="D46" s="347" t="e">
        <f>-#REF!</f>
        <v>#REF!</v>
      </c>
      <c r="E46" s="347" t="e">
        <f>-#REF!</f>
        <v>#REF!</v>
      </c>
      <c r="F46" s="347" t="e">
        <f>-#REF!</f>
        <v>#REF!</v>
      </c>
      <c r="G46" s="347" t="e">
        <f>-#REF!</f>
        <v>#REF!</v>
      </c>
      <c r="H46" s="347" t="e">
        <f>-#REF!</f>
        <v>#REF!</v>
      </c>
      <c r="I46" s="347" t="e">
        <f>-#REF!</f>
        <v>#REF!</v>
      </c>
      <c r="J46" s="347" t="e">
        <f>-#REF!</f>
        <v>#REF!</v>
      </c>
      <c r="K46" s="347" t="e">
        <f>-#REF!</f>
        <v>#REF!</v>
      </c>
      <c r="L46" s="347" t="e">
        <f>-#REF!</f>
        <v>#REF!</v>
      </c>
      <c r="M46" s="347" t="e">
        <f>-#REF!</f>
        <v>#REF!</v>
      </c>
      <c r="N46" s="347" t="e">
        <f>-#REF!</f>
        <v>#REF!</v>
      </c>
      <c r="O46" s="376" t="e">
        <f t="shared" si="10"/>
        <v>#REF!</v>
      </c>
    </row>
    <row r="47" spans="2:15" ht="16" x14ac:dyDescent="0.2">
      <c r="B47" s="311" t="s">
        <v>6</v>
      </c>
      <c r="C47" s="366">
        <f>'All. 2'!$D$10</f>
        <v>8</v>
      </c>
      <c r="D47" s="366">
        <f>'All. 2'!$D$10</f>
        <v>8</v>
      </c>
      <c r="E47" s="366">
        <f>'All. 2'!$D$10</f>
        <v>8</v>
      </c>
      <c r="F47" s="366">
        <f>'All. 2'!$D$10</f>
        <v>8</v>
      </c>
      <c r="G47" s="366">
        <f>'All. 2'!$D$10</f>
        <v>8</v>
      </c>
      <c r="H47" s="366">
        <f>'All. 2'!$D$10</f>
        <v>8</v>
      </c>
      <c r="I47" s="366">
        <f>'All. 2'!$D$10</f>
        <v>8</v>
      </c>
      <c r="J47" s="366">
        <f>'All. 2'!$D$10</f>
        <v>8</v>
      </c>
      <c r="K47" s="366">
        <f>'All. 2'!$D$10</f>
        <v>8</v>
      </c>
      <c r="L47" s="366">
        <f>'All. 2'!$D$10</f>
        <v>8</v>
      </c>
      <c r="M47" s="366">
        <f>'All. 2'!$D$10</f>
        <v>8</v>
      </c>
      <c r="N47" s="366">
        <f>'All. 2'!$D$10</f>
        <v>8</v>
      </c>
      <c r="O47" s="350"/>
    </row>
    <row r="48" spans="2:15" ht="16" x14ac:dyDescent="0.2">
      <c r="B48" s="311" t="s">
        <v>7</v>
      </c>
      <c r="C48" s="347" t="e">
        <f>'All. 2'!$D$5</f>
        <v>#REF!</v>
      </c>
      <c r="D48" s="347" t="e">
        <f>'All. 2'!$D$5</f>
        <v>#REF!</v>
      </c>
      <c r="E48" s="347" t="e">
        <f>'All. 2'!$D$5</f>
        <v>#REF!</v>
      </c>
      <c r="F48" s="347" t="e">
        <f>'All. 2'!$D$5</f>
        <v>#REF!</v>
      </c>
      <c r="G48" s="347" t="e">
        <f>'All. 2'!$D$5</f>
        <v>#REF!</v>
      </c>
      <c r="H48" s="347" t="e">
        <f>'All. 2'!$D$5</f>
        <v>#REF!</v>
      </c>
      <c r="I48" s="347" t="e">
        <f>'All. 2'!$D$5</f>
        <v>#REF!</v>
      </c>
      <c r="J48" s="347" t="e">
        <f>'All. 2'!$D$5</f>
        <v>#REF!</v>
      </c>
      <c r="K48" s="347" t="e">
        <f>'All. 2'!$D$5</f>
        <v>#REF!</v>
      </c>
      <c r="L48" s="347" t="e">
        <f>'All. 2'!$D$5</f>
        <v>#REF!</v>
      </c>
      <c r="M48" s="347" t="e">
        <f>'All. 2'!$D$5</f>
        <v>#REF!</v>
      </c>
      <c r="N48" s="347" t="e">
        <f>'All. 2'!$D$5</f>
        <v>#REF!</v>
      </c>
      <c r="O48" s="350"/>
    </row>
    <row r="49" spans="2:15" ht="17" thickBot="1" x14ac:dyDescent="0.25">
      <c r="B49" s="311" t="s">
        <v>187</v>
      </c>
      <c r="C49" s="224" t="e">
        <f>(C44+C45+C46)*C47*C48</f>
        <v>#REF!</v>
      </c>
      <c r="D49" s="224" t="e">
        <f t="shared" ref="D49:N49" si="11">(D44+D45+D46)*D47*D48</f>
        <v>#REF!</v>
      </c>
      <c r="E49" s="224" t="e">
        <f t="shared" si="11"/>
        <v>#REF!</v>
      </c>
      <c r="F49" s="224" t="e">
        <f t="shared" si="11"/>
        <v>#REF!</v>
      </c>
      <c r="G49" s="224" t="e">
        <f t="shared" si="11"/>
        <v>#REF!</v>
      </c>
      <c r="H49" s="224" t="e">
        <f t="shared" si="11"/>
        <v>#REF!</v>
      </c>
      <c r="I49" s="224" t="e">
        <f t="shared" si="11"/>
        <v>#REF!</v>
      </c>
      <c r="J49" s="224" t="e">
        <f t="shared" si="11"/>
        <v>#REF!</v>
      </c>
      <c r="K49" s="224" t="e">
        <f t="shared" si="11"/>
        <v>#REF!</v>
      </c>
      <c r="L49" s="224" t="e">
        <f t="shared" si="11"/>
        <v>#REF!</v>
      </c>
      <c r="M49" s="224" t="e">
        <f t="shared" si="11"/>
        <v>#REF!</v>
      </c>
      <c r="N49" s="224" t="e">
        <f t="shared" si="11"/>
        <v>#REF!</v>
      </c>
      <c r="O49" s="346" t="e">
        <f>SUM(C49:N49)</f>
        <v>#REF!</v>
      </c>
    </row>
    <row r="50" spans="2:15" ht="17" thickBot="1" x14ac:dyDescent="0.25">
      <c r="B50" s="312" t="s">
        <v>188</v>
      </c>
      <c r="C50" s="228" t="e">
        <f t="shared" ref="C50:O50" si="12">C49-C42</f>
        <v>#REF!</v>
      </c>
      <c r="D50" s="228" t="e">
        <f t="shared" si="12"/>
        <v>#REF!</v>
      </c>
      <c r="E50" s="228" t="e">
        <f t="shared" si="12"/>
        <v>#REF!</v>
      </c>
      <c r="F50" s="228" t="e">
        <f t="shared" si="12"/>
        <v>#REF!</v>
      </c>
      <c r="G50" s="228" t="e">
        <f t="shared" si="12"/>
        <v>#REF!</v>
      </c>
      <c r="H50" s="228" t="e">
        <f t="shared" si="12"/>
        <v>#REF!</v>
      </c>
      <c r="I50" s="228" t="e">
        <f t="shared" si="12"/>
        <v>#REF!</v>
      </c>
      <c r="J50" s="228" t="e">
        <f t="shared" si="12"/>
        <v>#REF!</v>
      </c>
      <c r="K50" s="228" t="e">
        <f t="shared" si="12"/>
        <v>#REF!</v>
      </c>
      <c r="L50" s="228" t="e">
        <f t="shared" si="12"/>
        <v>#REF!</v>
      </c>
      <c r="M50" s="228" t="e">
        <f t="shared" si="12"/>
        <v>#REF!</v>
      </c>
      <c r="N50" s="228" t="e">
        <f t="shared" si="12"/>
        <v>#REF!</v>
      </c>
      <c r="O50" s="238" t="e">
        <f t="shared" si="12"/>
        <v>#REF!</v>
      </c>
    </row>
    <row r="51" spans="2:15" ht="16" x14ac:dyDescent="0.2">
      <c r="B51" s="311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230"/>
    </row>
    <row r="52" spans="2:15" ht="16" x14ac:dyDescent="0.2">
      <c r="B52" s="311" t="s">
        <v>193</v>
      </c>
      <c r="C52" s="297" t="e">
        <f>C49/('All. 1'!$C$17/60)</f>
        <v>#REF!</v>
      </c>
      <c r="D52" s="297" t="e">
        <f>D49/('All. 1'!$C$17/60)</f>
        <v>#REF!</v>
      </c>
      <c r="E52" s="297" t="e">
        <f>E49/('All. 1'!$C$17/60)</f>
        <v>#REF!</v>
      </c>
      <c r="F52" s="297" t="e">
        <f>F49/('All. 1'!$C$17/60)</f>
        <v>#REF!</v>
      </c>
      <c r="G52" s="297" t="e">
        <f>G49/('All. 1'!$C$17/60)</f>
        <v>#REF!</v>
      </c>
      <c r="H52" s="297" t="e">
        <f>H49/('All. 1'!$C$17/60)</f>
        <v>#REF!</v>
      </c>
      <c r="I52" s="297" t="e">
        <f>I49/('All. 1'!$C$17/60)</f>
        <v>#REF!</v>
      </c>
      <c r="J52" s="297" t="e">
        <f>J49/('All. 1'!$C$17/60)</f>
        <v>#REF!</v>
      </c>
      <c r="K52" s="297" t="e">
        <f>K49/('All. 1'!$C$17/60)</f>
        <v>#REF!</v>
      </c>
      <c r="L52" s="297" t="e">
        <f>L49/('All. 1'!$C$17/60)</f>
        <v>#REF!</v>
      </c>
      <c r="M52" s="297" t="e">
        <f>M49/('All. 1'!$C$17/60)</f>
        <v>#REF!</v>
      </c>
      <c r="N52" s="297" t="e">
        <f>N49/('All. 1'!$C$17/60)</f>
        <v>#REF!</v>
      </c>
      <c r="O52" s="230"/>
    </row>
    <row r="53" spans="2:15" ht="16" hidden="1" x14ac:dyDescent="0.2">
      <c r="B53" s="311"/>
      <c r="C53" s="224" t="e">
        <f>MIN(SUM(C41:$N41)-SUM(D53:$N53),C52)</f>
        <v>#REF!</v>
      </c>
      <c r="D53" s="224" t="e">
        <f>MIN(SUM(D41:$N41)-SUM(E53:$N53),D52)</f>
        <v>#REF!</v>
      </c>
      <c r="E53" s="224" t="e">
        <f>MIN(SUM(E41:$N41)-SUM(F53:$N53),E52)</f>
        <v>#REF!</v>
      </c>
      <c r="F53" s="224" t="e">
        <f>MIN(SUM(F41:$N41)-SUM(G53:$N53),F52)</f>
        <v>#REF!</v>
      </c>
      <c r="G53" s="224" t="e">
        <f>MIN(SUM(G41:$N41)-SUM(H53:$N53),G52)</f>
        <v>#REF!</v>
      </c>
      <c r="H53" s="224" t="e">
        <f>MIN(SUM(H41:$N41)-SUM(I53:$N53),H52)</f>
        <v>#REF!</v>
      </c>
      <c r="I53" s="224" t="e">
        <f>MIN(SUM(I41:$N41)-SUM(J53:$N53),I52)</f>
        <v>#REF!</v>
      </c>
      <c r="J53" s="224" t="e">
        <f>MIN(SUM(J41:$N41)-SUM(K53:$N53),J52)</f>
        <v>#REF!</v>
      </c>
      <c r="K53" s="224" t="e">
        <f>MIN(SUM(K41:$N41)-SUM(L53:$N53),K52)</f>
        <v>#REF!</v>
      </c>
      <c r="L53" s="224" t="e">
        <f>MIN(SUM(L41:$N41)-SUM(M53:$N53),L52)</f>
        <v>#REF!</v>
      </c>
      <c r="M53" s="224" t="e">
        <f>MIN(SUM(M41:$N41)-SUM(N53:$N53),M52)</f>
        <v>#REF!</v>
      </c>
      <c r="N53" s="224" t="e">
        <f>+N52</f>
        <v>#REF!</v>
      </c>
      <c r="O53" s="346" t="e">
        <f>SUM(C53:N53)</f>
        <v>#REF!</v>
      </c>
    </row>
    <row r="54" spans="2:15" ht="16" x14ac:dyDescent="0.2">
      <c r="B54" s="353" t="s">
        <v>189</v>
      </c>
      <c r="C54" s="354" t="e">
        <f>+C53+C67</f>
        <v>#REF!</v>
      </c>
      <c r="D54" s="354" t="e">
        <f>+D53+D67</f>
        <v>#REF!</v>
      </c>
      <c r="E54" s="354" t="e">
        <f t="shared" ref="E54" si="13">+E53+E67</f>
        <v>#REF!</v>
      </c>
      <c r="F54" s="354" t="e">
        <f t="shared" ref="F54" si="14">+F53+F67</f>
        <v>#REF!</v>
      </c>
      <c r="G54" s="354" t="e">
        <f t="shared" ref="G54" si="15">+G53+G67</f>
        <v>#REF!</v>
      </c>
      <c r="H54" s="354" t="e">
        <f t="shared" ref="H54" si="16">+H53+H67</f>
        <v>#REF!</v>
      </c>
      <c r="I54" s="354" t="e">
        <f t="shared" ref="I54" si="17">+I53+I67</f>
        <v>#REF!</v>
      </c>
      <c r="J54" s="354" t="e">
        <f t="shared" ref="J54" si="18">+J53+J67</f>
        <v>#REF!</v>
      </c>
      <c r="K54" s="354" t="e">
        <f t="shared" ref="K54" si="19">+K53+K67</f>
        <v>#REF!</v>
      </c>
      <c r="L54" s="354" t="e">
        <f t="shared" ref="L54" si="20">+L53+L67</f>
        <v>#REF!</v>
      </c>
      <c r="M54" s="354" t="e">
        <f t="shared" ref="M54" si="21">+M53+M67</f>
        <v>#REF!</v>
      </c>
      <c r="N54" s="354" t="e">
        <f t="shared" ref="N54" si="22">+N53+N67</f>
        <v>#REF!</v>
      </c>
      <c r="O54" s="355" t="e">
        <f>SUM(C54:N54)</f>
        <v>#REF!</v>
      </c>
    </row>
    <row r="55" spans="2:15" ht="16" x14ac:dyDescent="0.2">
      <c r="B55" s="311" t="s">
        <v>196</v>
      </c>
      <c r="C55" s="224" t="e">
        <f>'All. 1'!$C$17/60*C54</f>
        <v>#REF!</v>
      </c>
      <c r="D55" s="224" t="e">
        <f>'All. 1'!$C$17/60*D54</f>
        <v>#REF!</v>
      </c>
      <c r="E55" s="224" t="e">
        <f>'All. 1'!$C$17/60*E54</f>
        <v>#REF!</v>
      </c>
      <c r="F55" s="224" t="e">
        <f>'All. 1'!$C$17/60*F54</f>
        <v>#REF!</v>
      </c>
      <c r="G55" s="224" t="e">
        <f>'All. 1'!$C$17/60*G54</f>
        <v>#REF!</v>
      </c>
      <c r="H55" s="224" t="e">
        <f>'All. 1'!$C$17/60*H54</f>
        <v>#REF!</v>
      </c>
      <c r="I55" s="224" t="e">
        <f>'All. 1'!$C$17/60*I54</f>
        <v>#REF!</v>
      </c>
      <c r="J55" s="224" t="e">
        <f>'All. 1'!$C$17/60*J54</f>
        <v>#REF!</v>
      </c>
      <c r="K55" s="224" t="e">
        <f>'All. 1'!$C$17/60*K54</f>
        <v>#REF!</v>
      </c>
      <c r="L55" s="224" t="e">
        <f>'All. 1'!$C$17/60*L54</f>
        <v>#REF!</v>
      </c>
      <c r="M55" s="224" t="e">
        <f>'All. 1'!$C$17/60*M54</f>
        <v>#REF!</v>
      </c>
      <c r="N55" s="224" t="e">
        <f>'All. 1'!$C$17/60*N54</f>
        <v>#REF!</v>
      </c>
      <c r="O55" s="346" t="e">
        <f>SUM(C55:N55)</f>
        <v>#REF!</v>
      </c>
    </row>
    <row r="56" spans="2:15" ht="16" x14ac:dyDescent="0.2">
      <c r="B56" s="311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230"/>
    </row>
    <row r="57" spans="2:15" ht="16" x14ac:dyDescent="0.2">
      <c r="B57" s="311" t="s">
        <v>190</v>
      </c>
      <c r="C57" s="351" t="e">
        <f>C49</f>
        <v>#REF!</v>
      </c>
      <c r="D57" s="351" t="e">
        <f t="shared" ref="D57:N57" si="23">D49</f>
        <v>#REF!</v>
      </c>
      <c r="E57" s="351" t="e">
        <f t="shared" si="23"/>
        <v>#REF!</v>
      </c>
      <c r="F57" s="351" t="e">
        <f t="shared" si="23"/>
        <v>#REF!</v>
      </c>
      <c r="G57" s="351" t="e">
        <f t="shared" si="23"/>
        <v>#REF!</v>
      </c>
      <c r="H57" s="351" t="e">
        <f t="shared" si="23"/>
        <v>#REF!</v>
      </c>
      <c r="I57" s="351" t="e">
        <f t="shared" si="23"/>
        <v>#REF!</v>
      </c>
      <c r="J57" s="351" t="e">
        <f t="shared" si="23"/>
        <v>#REF!</v>
      </c>
      <c r="K57" s="351" t="e">
        <f t="shared" si="23"/>
        <v>#REF!</v>
      </c>
      <c r="L57" s="351" t="e">
        <f t="shared" si="23"/>
        <v>#REF!</v>
      </c>
      <c r="M57" s="351" t="e">
        <f t="shared" si="23"/>
        <v>#REF!</v>
      </c>
      <c r="N57" s="351" t="e">
        <f t="shared" si="23"/>
        <v>#REF!</v>
      </c>
      <c r="O57" s="348" t="e">
        <f>SUM(C57:N57)</f>
        <v>#REF!</v>
      </c>
    </row>
    <row r="58" spans="2:15" ht="16" x14ac:dyDescent="0.2">
      <c r="B58" s="311" t="s">
        <v>191</v>
      </c>
      <c r="C58" s="351"/>
      <c r="D58" s="351"/>
      <c r="E58" s="347"/>
      <c r="F58" s="347"/>
      <c r="G58" s="347"/>
      <c r="H58" s="347"/>
      <c r="I58" s="347"/>
      <c r="J58" s="347"/>
      <c r="K58" s="347"/>
      <c r="L58" s="347"/>
      <c r="M58" s="347"/>
      <c r="N58" s="347"/>
      <c r="O58" s="348">
        <f>SUM(C58:N58)</f>
        <v>0</v>
      </c>
    </row>
    <row r="59" spans="2:15" ht="17" thickBot="1" x14ac:dyDescent="0.25">
      <c r="B59" s="311" t="s">
        <v>192</v>
      </c>
      <c r="C59" s="351" t="e">
        <f>C57+C58</f>
        <v>#REF!</v>
      </c>
      <c r="D59" s="351" t="e">
        <f t="shared" ref="D59" si="24">D57+D58</f>
        <v>#REF!</v>
      </c>
      <c r="E59" s="351" t="e">
        <f t="shared" ref="E59" si="25">E57+E58</f>
        <v>#REF!</v>
      </c>
      <c r="F59" s="351" t="e">
        <f t="shared" ref="F59" si="26">F57+F58</f>
        <v>#REF!</v>
      </c>
      <c r="G59" s="351" t="e">
        <f t="shared" ref="G59" si="27">G57+G58</f>
        <v>#REF!</v>
      </c>
      <c r="H59" s="351" t="e">
        <f t="shared" ref="H59" si="28">H57+H58</f>
        <v>#REF!</v>
      </c>
      <c r="I59" s="351" t="e">
        <f t="shared" ref="I59" si="29">I57+I58</f>
        <v>#REF!</v>
      </c>
      <c r="J59" s="351" t="e">
        <f t="shared" ref="J59" si="30">J57+J58</f>
        <v>#REF!</v>
      </c>
      <c r="K59" s="351" t="e">
        <f t="shared" ref="K59" si="31">K57+K58</f>
        <v>#REF!</v>
      </c>
      <c r="L59" s="351" t="e">
        <f t="shared" ref="L59" si="32">L57+L58</f>
        <v>#REF!</v>
      </c>
      <c r="M59" s="351" t="e">
        <f t="shared" ref="M59" si="33">M57+M58</f>
        <v>#REF!</v>
      </c>
      <c r="N59" s="351" t="e">
        <f t="shared" ref="N59" si="34">N57+N58</f>
        <v>#REF!</v>
      </c>
      <c r="O59" s="348" t="e">
        <f>SUM(C59:N59)</f>
        <v>#REF!</v>
      </c>
    </row>
    <row r="60" spans="2:15" ht="17" thickBot="1" x14ac:dyDescent="0.25">
      <c r="B60" s="312" t="s">
        <v>188</v>
      </c>
      <c r="C60" s="228" t="e">
        <f>C59-C55</f>
        <v>#REF!</v>
      </c>
      <c r="D60" s="228" t="e">
        <f t="shared" ref="D60" si="35">D59-D55</f>
        <v>#REF!</v>
      </c>
      <c r="E60" s="228" t="e">
        <f t="shared" ref="E60" si="36">E59-E55</f>
        <v>#REF!</v>
      </c>
      <c r="F60" s="228" t="e">
        <f t="shared" ref="F60" si="37">F59-F55</f>
        <v>#REF!</v>
      </c>
      <c r="G60" s="228" t="e">
        <f t="shared" ref="G60" si="38">G59-G55</f>
        <v>#REF!</v>
      </c>
      <c r="H60" s="228" t="e">
        <f t="shared" ref="H60" si="39">H59-H55</f>
        <v>#REF!</v>
      </c>
      <c r="I60" s="228" t="e">
        <f t="shared" ref="I60" si="40">I59-I55</f>
        <v>#REF!</v>
      </c>
      <c r="J60" s="228" t="e">
        <f t="shared" ref="J60" si="41">J59-J55</f>
        <v>#REF!</v>
      </c>
      <c r="K60" s="228" t="e">
        <f t="shared" ref="K60" si="42">K59-K55</f>
        <v>#REF!</v>
      </c>
      <c r="L60" s="228" t="e">
        <f t="shared" ref="L60" si="43">L59-L55</f>
        <v>#REF!</v>
      </c>
      <c r="M60" s="228" t="e">
        <f t="shared" ref="M60" si="44">M59-M55</f>
        <v>#REF!</v>
      </c>
      <c r="N60" s="228" t="e">
        <f t="shared" ref="N60" si="45">N59-N55</f>
        <v>#REF!</v>
      </c>
      <c r="O60" s="238" t="e">
        <f>SUM(C60:N60)</f>
        <v>#REF!</v>
      </c>
    </row>
    <row r="61" spans="2:15" hidden="1" x14ac:dyDescent="0.15">
      <c r="B61" s="356"/>
      <c r="C61" s="357"/>
      <c r="D61" s="357"/>
      <c r="E61" s="357"/>
      <c r="F61" s="357"/>
      <c r="G61" s="357"/>
      <c r="H61" s="357"/>
      <c r="I61" s="357"/>
      <c r="J61" s="357"/>
      <c r="K61" s="357"/>
      <c r="L61" s="357"/>
      <c r="M61" s="357"/>
      <c r="N61" s="357"/>
      <c r="O61" s="358"/>
    </row>
    <row r="62" spans="2:15" hidden="1" x14ac:dyDescent="0.15">
      <c r="B62" s="359"/>
      <c r="O62" s="360"/>
    </row>
    <row r="63" spans="2:15" hidden="1" x14ac:dyDescent="0.15">
      <c r="B63" s="361" t="s">
        <v>194</v>
      </c>
      <c r="C63" s="1">
        <f>+C41</f>
        <v>3608.3732687165466</v>
      </c>
      <c r="D63" s="1">
        <f t="shared" ref="D63:N63" si="46">+D41+C63</f>
        <v>7349.5420326561607</v>
      </c>
      <c r="E63" s="1">
        <f t="shared" si="46"/>
        <v>11268.861690116708</v>
      </c>
      <c r="F63" s="1">
        <f t="shared" si="46"/>
        <v>15188.18134757724</v>
      </c>
      <c r="G63" s="1">
        <f t="shared" si="46"/>
        <v>17691.606701976696</v>
      </c>
      <c r="H63" s="1">
        <f t="shared" si="46"/>
        <v>22243.266276444778</v>
      </c>
      <c r="I63" s="1">
        <f t="shared" si="46"/>
        <v>26244.925850912863</v>
      </c>
      <c r="J63" s="1">
        <f t="shared" si="46"/>
        <v>28727.64925516818</v>
      </c>
      <c r="K63" s="1">
        <f t="shared" si="46"/>
        <v>31736.115806334412</v>
      </c>
      <c r="L63" s="1">
        <f t="shared" si="46"/>
        <v>36080.881763781217</v>
      </c>
      <c r="M63" s="1">
        <f t="shared" si="46"/>
        <v>40425.647721228022</v>
      </c>
      <c r="N63" s="1">
        <f t="shared" si="46"/>
        <v>42358.37112548334</v>
      </c>
      <c r="O63" s="360"/>
    </row>
    <row r="64" spans="2:15" hidden="1" x14ac:dyDescent="0.15">
      <c r="B64" s="361" t="s">
        <v>195</v>
      </c>
      <c r="C64" s="1" t="e">
        <f>+C53</f>
        <v>#REF!</v>
      </c>
      <c r="D64" s="1" t="e">
        <f t="shared" ref="D64:N64" si="47">+C64+D53</f>
        <v>#REF!</v>
      </c>
      <c r="E64" s="1" t="e">
        <f t="shared" si="47"/>
        <v>#REF!</v>
      </c>
      <c r="F64" s="1" t="e">
        <f t="shared" si="47"/>
        <v>#REF!</v>
      </c>
      <c r="G64" s="1" t="e">
        <f t="shared" si="47"/>
        <v>#REF!</v>
      </c>
      <c r="H64" s="1" t="e">
        <f t="shared" si="47"/>
        <v>#REF!</v>
      </c>
      <c r="I64" s="1" t="e">
        <f t="shared" si="47"/>
        <v>#REF!</v>
      </c>
      <c r="J64" s="1" t="e">
        <f t="shared" si="47"/>
        <v>#REF!</v>
      </c>
      <c r="K64" s="1" t="e">
        <f t="shared" si="47"/>
        <v>#REF!</v>
      </c>
      <c r="L64" s="1" t="e">
        <f t="shared" si="47"/>
        <v>#REF!</v>
      </c>
      <c r="M64" s="1" t="e">
        <f t="shared" si="47"/>
        <v>#REF!</v>
      </c>
      <c r="N64" s="1" t="e">
        <f t="shared" si="47"/>
        <v>#REF!</v>
      </c>
      <c r="O64" s="360"/>
    </row>
    <row r="65" spans="2:15" hidden="1" x14ac:dyDescent="0.15">
      <c r="B65" s="359"/>
      <c r="C65" s="1" t="e">
        <f>+C54</f>
        <v>#REF!</v>
      </c>
      <c r="D65" s="1" t="e">
        <f>+D54+C54</f>
        <v>#REF!</v>
      </c>
      <c r="E65" s="1" t="e">
        <f>+E54+D65</f>
        <v>#REF!</v>
      </c>
      <c r="F65" s="1" t="e">
        <f t="shared" ref="F65:N65" si="48">+F54+E65</f>
        <v>#REF!</v>
      </c>
      <c r="G65" s="1" t="e">
        <f t="shared" si="48"/>
        <v>#REF!</v>
      </c>
      <c r="H65" s="1" t="e">
        <f t="shared" si="48"/>
        <v>#REF!</v>
      </c>
      <c r="I65" s="1" t="e">
        <f t="shared" si="48"/>
        <v>#REF!</v>
      </c>
      <c r="J65" s="1" t="e">
        <f t="shared" si="48"/>
        <v>#REF!</v>
      </c>
      <c r="K65" s="1" t="e">
        <f t="shared" si="48"/>
        <v>#REF!</v>
      </c>
      <c r="L65" s="1" t="e">
        <f t="shared" si="48"/>
        <v>#REF!</v>
      </c>
      <c r="M65" s="1" t="e">
        <f t="shared" si="48"/>
        <v>#REF!</v>
      </c>
      <c r="N65" s="1" t="e">
        <f t="shared" si="48"/>
        <v>#REF!</v>
      </c>
      <c r="O65" s="360"/>
    </row>
    <row r="66" spans="2:15" hidden="1" x14ac:dyDescent="0.15">
      <c r="B66" s="35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360"/>
    </row>
    <row r="67" spans="2:15" ht="14" hidden="1" thickBot="1" x14ac:dyDescent="0.2">
      <c r="B67" s="362"/>
      <c r="C67" s="363" t="e">
        <f>+IF(C64&lt;C63,C63-C64,0)</f>
        <v>#REF!</v>
      </c>
      <c r="D67" s="363" t="e">
        <f>+IF(D64&lt;D63,D63-D64,0)</f>
        <v>#REF!</v>
      </c>
      <c r="E67" s="364"/>
      <c r="F67" s="364"/>
      <c r="G67" s="364"/>
      <c r="H67" s="364"/>
      <c r="I67" s="364"/>
      <c r="J67" s="364"/>
      <c r="K67" s="364"/>
      <c r="L67" s="364"/>
      <c r="M67" s="364"/>
      <c r="N67" s="364"/>
      <c r="O67" s="365"/>
    </row>
    <row r="71" spans="2:15" x14ac:dyDescent="0.1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5" x14ac:dyDescent="0.15">
      <c r="C72" s="400"/>
      <c r="D72" s="400"/>
      <c r="E72" s="400"/>
      <c r="F72" s="400"/>
      <c r="G72" s="400"/>
      <c r="H72" s="400"/>
      <c r="I72" s="400"/>
      <c r="J72" s="400"/>
      <c r="K72" s="400"/>
      <c r="L72" s="400"/>
      <c r="M72" s="400"/>
      <c r="N72" s="400"/>
    </row>
    <row r="73" spans="2:15" x14ac:dyDescent="0.15">
      <c r="C73" s="400"/>
      <c r="D73" s="400"/>
      <c r="E73" s="400"/>
      <c r="F73" s="400"/>
      <c r="G73" s="400"/>
      <c r="H73" s="400"/>
      <c r="I73" s="400"/>
      <c r="J73" s="400"/>
      <c r="K73" s="400"/>
      <c r="L73" s="400"/>
      <c r="M73" s="400"/>
      <c r="N73" s="400"/>
    </row>
    <row r="75" spans="2:15" x14ac:dyDescent="0.15">
      <c r="C75" s="374" t="e">
        <f>+C27*#REF!</f>
        <v>#REF!</v>
      </c>
      <c r="D75" s="374" t="e">
        <f>+D27*#REF!</f>
        <v>#REF!</v>
      </c>
      <c r="E75" s="374" t="e">
        <f>+E27*#REF!</f>
        <v>#REF!</v>
      </c>
      <c r="F75" s="374" t="e">
        <f>+F27*#REF!</f>
        <v>#REF!</v>
      </c>
      <c r="G75" s="374" t="e">
        <f>+G27*#REF!</f>
        <v>#REF!</v>
      </c>
      <c r="H75" s="374" t="e">
        <f>+H27*#REF!</f>
        <v>#REF!</v>
      </c>
      <c r="I75" s="374" t="e">
        <f>+I27*#REF!</f>
        <v>#REF!</v>
      </c>
      <c r="J75" s="374" t="e">
        <f>+J27*#REF!</f>
        <v>#REF!</v>
      </c>
      <c r="K75" s="374" t="e">
        <f>+K27*#REF!</f>
        <v>#REF!</v>
      </c>
      <c r="L75" s="374" t="e">
        <f>+L27*#REF!</f>
        <v>#REF!</v>
      </c>
      <c r="M75" s="374" t="e">
        <f>+M27*#REF!</f>
        <v>#REF!</v>
      </c>
      <c r="N75" s="374" t="e">
        <f>+N27*#REF!</f>
        <v>#REF!</v>
      </c>
    </row>
    <row r="76" spans="2:15" x14ac:dyDescent="0.15">
      <c r="C76" s="374" t="e">
        <f>+C59*#REF!</f>
        <v>#REF!</v>
      </c>
      <c r="D76" s="374" t="e">
        <f>+D59*#REF!</f>
        <v>#REF!</v>
      </c>
      <c r="E76" s="374" t="e">
        <f>+E59*#REF!</f>
        <v>#REF!</v>
      </c>
      <c r="F76" s="374" t="e">
        <f>+F59*#REF!</f>
        <v>#REF!</v>
      </c>
      <c r="G76" s="374" t="e">
        <f>+G59*#REF!</f>
        <v>#REF!</v>
      </c>
      <c r="H76" s="374" t="e">
        <f>+H59*#REF!</f>
        <v>#REF!</v>
      </c>
      <c r="I76" s="374" t="e">
        <f>+I59*#REF!</f>
        <v>#REF!</v>
      </c>
      <c r="J76" s="374" t="e">
        <f>+J59*#REF!</f>
        <v>#REF!</v>
      </c>
      <c r="K76" s="374" t="e">
        <f>+K59*#REF!</f>
        <v>#REF!</v>
      </c>
      <c r="L76" s="374" t="e">
        <f>+L59*#REF!</f>
        <v>#REF!</v>
      </c>
      <c r="M76" s="374" t="e">
        <f>+M59*#REF!</f>
        <v>#REF!</v>
      </c>
      <c r="N76" s="374" t="e">
        <f>+N59*#REF!</f>
        <v>#REF!</v>
      </c>
    </row>
    <row r="77" spans="2:15" x14ac:dyDescent="0.15">
      <c r="C77" s="374" t="e">
        <f>SUM(C75:C76)</f>
        <v>#REF!</v>
      </c>
      <c r="D77" s="374" t="e">
        <f t="shared" ref="D77:N77" si="49">SUM(D75:D76)</f>
        <v>#REF!</v>
      </c>
      <c r="E77" s="374" t="e">
        <f t="shared" si="49"/>
        <v>#REF!</v>
      </c>
      <c r="F77" s="374" t="e">
        <f t="shared" si="49"/>
        <v>#REF!</v>
      </c>
      <c r="G77" s="374" t="e">
        <f t="shared" si="49"/>
        <v>#REF!</v>
      </c>
      <c r="H77" s="374" t="e">
        <f t="shared" si="49"/>
        <v>#REF!</v>
      </c>
      <c r="I77" s="374" t="e">
        <f t="shared" si="49"/>
        <v>#REF!</v>
      </c>
      <c r="J77" s="374" t="e">
        <f t="shared" si="49"/>
        <v>#REF!</v>
      </c>
      <c r="K77" s="374" t="e">
        <f t="shared" si="49"/>
        <v>#REF!</v>
      </c>
      <c r="L77" s="374" t="e">
        <f t="shared" si="49"/>
        <v>#REF!</v>
      </c>
      <c r="M77" s="374" t="e">
        <f t="shared" si="49"/>
        <v>#REF!</v>
      </c>
      <c r="N77" s="374" t="e">
        <f t="shared" si="49"/>
        <v>#REF!</v>
      </c>
    </row>
    <row r="78" spans="2:15" x14ac:dyDescent="0.15">
      <c r="C78" s="374"/>
      <c r="D78" s="374"/>
      <c r="E78" s="374"/>
      <c r="F78" s="374"/>
      <c r="G78" s="374"/>
      <c r="H78" s="374"/>
      <c r="I78" s="374"/>
      <c r="J78" s="374"/>
      <c r="K78" s="374"/>
      <c r="L78" s="374"/>
      <c r="M78" s="374"/>
      <c r="N78" s="374"/>
    </row>
    <row r="79" spans="2:15" x14ac:dyDescent="0.15">
      <c r="C79" s="374" t="e">
        <f>+C77-#REF!</f>
        <v>#REF!</v>
      </c>
      <c r="D79" s="374" t="e">
        <f>+D77-#REF!</f>
        <v>#REF!</v>
      </c>
      <c r="E79" s="374" t="e">
        <f>+E77-#REF!</f>
        <v>#REF!</v>
      </c>
      <c r="F79" s="374" t="e">
        <f>+F77-#REF!</f>
        <v>#REF!</v>
      </c>
      <c r="G79" s="374" t="e">
        <f>+G77-#REF!</f>
        <v>#REF!</v>
      </c>
      <c r="H79" s="374" t="e">
        <f>+H77-#REF!</f>
        <v>#REF!</v>
      </c>
      <c r="I79" s="374" t="e">
        <f>+I77-#REF!</f>
        <v>#REF!</v>
      </c>
      <c r="J79" s="374" t="e">
        <f>+J77-#REF!</f>
        <v>#REF!</v>
      </c>
      <c r="K79" s="374" t="e">
        <f>+K77-#REF!</f>
        <v>#REF!</v>
      </c>
      <c r="L79" s="374" t="e">
        <f>+L77-#REF!</f>
        <v>#REF!</v>
      </c>
      <c r="M79" s="374" t="e">
        <f>+M77-#REF!</f>
        <v>#REF!</v>
      </c>
      <c r="N79" s="374" t="e">
        <f>+N77-#REF!</f>
        <v>#REF!</v>
      </c>
    </row>
    <row r="80" spans="2:15" x14ac:dyDescent="0.15">
      <c r="C80" s="375"/>
      <c r="D80" s="375"/>
      <c r="E80" s="375"/>
      <c r="F80" s="375"/>
      <c r="G80" s="375"/>
      <c r="H80" s="375"/>
      <c r="I80" s="375"/>
      <c r="J80" s="375"/>
      <c r="K80" s="375"/>
      <c r="L80" s="375"/>
      <c r="M80" s="375"/>
      <c r="N80" s="375"/>
    </row>
  </sheetData>
  <mergeCells count="1">
    <mergeCell ref="C4:O4"/>
  </mergeCells>
  <conditionalFormatting sqref="C18:N18 C28:N28">
    <cfRule type="cellIs" dxfId="3" priority="2" operator="lessThan">
      <formula>0</formula>
    </cfRule>
  </conditionalFormatting>
  <conditionalFormatting sqref="C50:N50 C60:N60">
    <cfRule type="cellIs" dxfId="2" priority="1" operator="lessThan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FB7F-93DB-DC46-AD21-82BEA8978503}">
  <sheetPr codeName="Foglio26"/>
  <dimension ref="B2:Q59"/>
  <sheetViews>
    <sheetView zoomScale="140" zoomScaleNormal="140" workbookViewId="0">
      <selection activeCell="B3" sqref="B3"/>
    </sheetView>
  </sheetViews>
  <sheetFormatPr baseColWidth="10" defaultRowHeight="13" x14ac:dyDescent="0.15"/>
  <cols>
    <col min="2" max="2" width="22.6640625" customWidth="1"/>
  </cols>
  <sheetData>
    <row r="2" spans="2:15" x14ac:dyDescent="0.15">
      <c r="B2" s="310" t="s">
        <v>234</v>
      </c>
    </row>
    <row r="3" spans="2:15" ht="14" thickBot="1" x14ac:dyDescent="0.2"/>
    <row r="4" spans="2:15" ht="16" x14ac:dyDescent="0.15">
      <c r="B4" s="222"/>
      <c r="C4" s="402" t="s">
        <v>85</v>
      </c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5"/>
    </row>
    <row r="5" spans="2:15" ht="16" x14ac:dyDescent="0.15">
      <c r="B5" s="135"/>
      <c r="C5" s="229" t="s">
        <v>100</v>
      </c>
      <c r="D5" s="229" t="s">
        <v>101</v>
      </c>
      <c r="E5" s="229" t="s">
        <v>102</v>
      </c>
      <c r="F5" s="229" t="s">
        <v>103</v>
      </c>
      <c r="G5" s="229" t="s">
        <v>104</v>
      </c>
      <c r="H5" s="229" t="s">
        <v>105</v>
      </c>
      <c r="I5" s="229" t="s">
        <v>106</v>
      </c>
      <c r="J5" s="229" t="s">
        <v>107</v>
      </c>
      <c r="K5" s="229" t="s">
        <v>108</v>
      </c>
      <c r="L5" s="229" t="s">
        <v>109</v>
      </c>
      <c r="M5" s="229" t="s">
        <v>110</v>
      </c>
      <c r="N5" s="229" t="s">
        <v>111</v>
      </c>
      <c r="O5" s="234" t="s">
        <v>68</v>
      </c>
    </row>
    <row r="6" spans="2:15" ht="16" x14ac:dyDescent="0.2">
      <c r="B6" s="19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30"/>
    </row>
    <row r="7" spans="2:15" ht="16" x14ac:dyDescent="0.2">
      <c r="B7" s="345" t="s">
        <v>183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230"/>
    </row>
    <row r="8" spans="2:15" ht="16" x14ac:dyDescent="0.2">
      <c r="B8" s="311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230"/>
    </row>
    <row r="9" spans="2:15" ht="16" x14ac:dyDescent="0.2">
      <c r="B9" s="311" t="s">
        <v>184</v>
      </c>
      <c r="C9" s="224">
        <f>'Tab 4 v2'!C15</f>
        <v>53085.140425531914</v>
      </c>
      <c r="D9" s="224">
        <f>'Tab 4 v2'!D15</f>
        <v>60115.491160451427</v>
      </c>
      <c r="E9" s="224">
        <f>'Tab 4 v2'!E15</f>
        <v>67407.192253488931</v>
      </c>
      <c r="F9" s="224">
        <f>'Tab 4 v2'!F15</f>
        <v>61932.663829787234</v>
      </c>
      <c r="G9" s="224">
        <f>'Tab 4 v2'!G15</f>
        <v>61932.663829787227</v>
      </c>
      <c r="H9" s="224">
        <f>'Tab 4 v2'!H15</f>
        <v>64881.83829787228</v>
      </c>
      <c r="I9" s="224">
        <f>'Tab 4 v2'!I15</f>
        <v>57041.838297872338</v>
      </c>
      <c r="J9" s="224">
        <f>'Tab 4 v2'!J15</f>
        <v>35390.093617021274</v>
      </c>
      <c r="K9" s="224">
        <f>'Tab 4 v2'!K15</f>
        <v>61002.600772020145</v>
      </c>
      <c r="L9" s="224">
        <f>'Tab 4 v2'!L15</f>
        <v>53809.840677835746</v>
      </c>
      <c r="M9" s="224">
        <f>'Tab 4 v2'!M15</f>
        <v>61932.663829787227</v>
      </c>
      <c r="N9" s="224">
        <f>'Tab 4 v2'!N15</f>
        <v>27550.093617021277</v>
      </c>
      <c r="O9" s="346">
        <f>SUM(C9:N9)</f>
        <v>666082.12060847704</v>
      </c>
    </row>
    <row r="10" spans="2:15" ht="16" x14ac:dyDescent="0.2">
      <c r="B10" s="311" t="s">
        <v>197</v>
      </c>
      <c r="C10" s="224">
        <f>'All. 1'!$D$10/60*C9</f>
        <v>1150.1780425531915</v>
      </c>
      <c r="D10" s="224">
        <f>'All. 1'!$D$10/60*D9</f>
        <v>1302.5023084764475</v>
      </c>
      <c r="E10" s="224">
        <f>'All. 1'!$D$10/60*E9</f>
        <v>1460.4891654922603</v>
      </c>
      <c r="F10" s="224">
        <f>'All. 1'!$D$10/60*F9</f>
        <v>1341.8743829787234</v>
      </c>
      <c r="G10" s="224">
        <f>'All. 1'!$D$10/60*G9</f>
        <v>1341.8743829787234</v>
      </c>
      <c r="H10" s="224">
        <f>'All. 1'!$D$10/60*H9</f>
        <v>1405.7731631205661</v>
      </c>
      <c r="I10" s="224">
        <f>'All. 1'!$D$10/60*I9</f>
        <v>1235.9064964539007</v>
      </c>
      <c r="J10" s="224">
        <f>'All. 1'!$D$10/60*J9</f>
        <v>766.7853617021276</v>
      </c>
      <c r="K10" s="224">
        <f>'All. 1'!$D$10/60*K9</f>
        <v>1321.7230167271032</v>
      </c>
      <c r="L10" s="224">
        <f>'All. 1'!$D$10/60*L9</f>
        <v>1165.879881353108</v>
      </c>
      <c r="M10" s="224">
        <f>'All. 1'!$D$10/60*M9</f>
        <v>1341.8743829787234</v>
      </c>
      <c r="N10" s="224">
        <f>'All. 1'!$D$10/60*N9</f>
        <v>596.91869503546104</v>
      </c>
      <c r="O10" s="346">
        <f>SUM(C10:N10)</f>
        <v>14431.779279850338</v>
      </c>
    </row>
    <row r="11" spans="2:15" ht="16" x14ac:dyDescent="0.2">
      <c r="B11" s="311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230"/>
    </row>
    <row r="12" spans="2:15" ht="16" x14ac:dyDescent="0.2">
      <c r="B12" s="311" t="s">
        <v>198</v>
      </c>
      <c r="C12" s="366" t="e">
        <f>+#REF!-#REF!</f>
        <v>#REF!</v>
      </c>
      <c r="D12" s="366" t="e">
        <f>+#REF!-#REF!</f>
        <v>#REF!</v>
      </c>
      <c r="E12" s="366" t="e">
        <f>+#REF!-#REF!</f>
        <v>#REF!</v>
      </c>
      <c r="F12" s="366" t="e">
        <f>+#REF!-#REF!</f>
        <v>#REF!</v>
      </c>
      <c r="G12" s="366" t="e">
        <f>+#REF!-#REF!</f>
        <v>#REF!</v>
      </c>
      <c r="H12" s="366" t="e">
        <f>+#REF!-#REF!</f>
        <v>#REF!</v>
      </c>
      <c r="I12" s="366" t="e">
        <f>+#REF!-#REF!</f>
        <v>#REF!</v>
      </c>
      <c r="J12" s="366" t="e">
        <f>+#REF!-#REF!</f>
        <v>#REF!</v>
      </c>
      <c r="K12" s="366" t="e">
        <f>+#REF!-#REF!</f>
        <v>#REF!</v>
      </c>
      <c r="L12" s="366" t="e">
        <f>+#REF!-#REF!</f>
        <v>#REF!</v>
      </c>
      <c r="M12" s="366" t="e">
        <f>+#REF!-#REF!</f>
        <v>#REF!</v>
      </c>
      <c r="N12" s="366" t="e">
        <f>+#REF!-#REF!</f>
        <v>#REF!</v>
      </c>
      <c r="O12" s="348" t="e">
        <f>SUM(C12:N12)</f>
        <v>#REF!</v>
      </c>
    </row>
    <row r="13" spans="2:15" ht="16" x14ac:dyDescent="0.2">
      <c r="B13" s="311" t="s">
        <v>199</v>
      </c>
      <c r="C13" s="366">
        <f>-'All. 3'!$C$9/12</f>
        <v>-1</v>
      </c>
      <c r="D13" s="366">
        <f>-'All. 3'!$C$9/12</f>
        <v>-1</v>
      </c>
      <c r="E13" s="366">
        <f>-'All. 3'!$C$9/12</f>
        <v>-1</v>
      </c>
      <c r="F13" s="366">
        <f>-'All. 3'!$C$9/12</f>
        <v>-1</v>
      </c>
      <c r="G13" s="366">
        <f>-'All. 3'!$C$9/12</f>
        <v>-1</v>
      </c>
      <c r="H13" s="366">
        <f>-'All. 3'!$C$9/12</f>
        <v>-1</v>
      </c>
      <c r="I13" s="366">
        <f>-'All. 3'!$C$9/12</f>
        <v>-1</v>
      </c>
      <c r="J13" s="366">
        <f>-'All. 3'!$C$9/12</f>
        <v>-1</v>
      </c>
      <c r="K13" s="366">
        <f>-'All. 3'!$C$9/12</f>
        <v>-1</v>
      </c>
      <c r="L13" s="366">
        <f>-'All. 3'!$C$9/12</f>
        <v>-1</v>
      </c>
      <c r="M13" s="366">
        <f>-'All. 3'!$C$9/12</f>
        <v>-1</v>
      </c>
      <c r="N13" s="366">
        <f>-'All. 3'!$C$9/12</f>
        <v>-1</v>
      </c>
      <c r="O13" s="352">
        <f>SUM(C13:N13)</f>
        <v>-12</v>
      </c>
    </row>
    <row r="14" spans="2:15" ht="16" x14ac:dyDescent="0.2">
      <c r="B14" s="311" t="s">
        <v>5</v>
      </c>
      <c r="C14" s="347"/>
      <c r="D14" s="347"/>
      <c r="E14" s="347"/>
      <c r="F14" s="347"/>
      <c r="G14" s="347"/>
      <c r="H14" s="347"/>
      <c r="I14" s="349">
        <f>'All. 2'!$C$8/2</f>
        <v>-2.5</v>
      </c>
      <c r="J14" s="347"/>
      <c r="K14" s="347"/>
      <c r="L14" s="347"/>
      <c r="M14" s="347"/>
      <c r="N14" s="349">
        <f>'All. 2'!$C$8/2</f>
        <v>-2.5</v>
      </c>
      <c r="O14" s="348">
        <f>SUM(C14:N14)</f>
        <v>-5</v>
      </c>
    </row>
    <row r="15" spans="2:15" ht="16" x14ac:dyDescent="0.2">
      <c r="B15" s="311" t="s">
        <v>200</v>
      </c>
      <c r="C15" s="366">
        <f>'All. 3'!$C$7</f>
        <v>3</v>
      </c>
      <c r="D15" s="366">
        <f>'All. 3'!$C$7</f>
        <v>3</v>
      </c>
      <c r="E15" s="366">
        <f>'All. 3'!$C$7</f>
        <v>3</v>
      </c>
      <c r="F15" s="366">
        <f>'All. 3'!$C$7</f>
        <v>3</v>
      </c>
      <c r="G15" s="366">
        <f>'All. 3'!$C$7</f>
        <v>3</v>
      </c>
      <c r="H15" s="366">
        <f>'All. 3'!$C$7</f>
        <v>3</v>
      </c>
      <c r="I15" s="366">
        <f>'All. 3'!$C$7</f>
        <v>3</v>
      </c>
      <c r="J15" s="366">
        <f>'All. 3'!$C$7</f>
        <v>3</v>
      </c>
      <c r="K15" s="366">
        <f>'All. 3'!$C$7</f>
        <v>3</v>
      </c>
      <c r="L15" s="366">
        <f>'All. 3'!$C$7</f>
        <v>3</v>
      </c>
      <c r="M15" s="366">
        <f>'All. 3'!$C$7</f>
        <v>3</v>
      </c>
      <c r="N15" s="366">
        <f>'All. 3'!$C$7</f>
        <v>3</v>
      </c>
      <c r="O15" s="350"/>
    </row>
    <row r="16" spans="2:15" ht="16" x14ac:dyDescent="0.2">
      <c r="B16" s="311" t="s">
        <v>8</v>
      </c>
      <c r="C16" s="366">
        <f>'All. 3'!$C$10</f>
        <v>3</v>
      </c>
      <c r="D16" s="366">
        <f>'All. 3'!$C$10</f>
        <v>3</v>
      </c>
      <c r="E16" s="366">
        <f>'All. 3'!$C$10</f>
        <v>3</v>
      </c>
      <c r="F16" s="366">
        <f>'All. 3'!$C$10</f>
        <v>3</v>
      </c>
      <c r="G16" s="366">
        <f>'All. 3'!$C$10</f>
        <v>3</v>
      </c>
      <c r="H16" s="366">
        <f>'All. 3'!$C$10</f>
        <v>3</v>
      </c>
      <c r="I16" s="366">
        <f>'All. 3'!$C$10</f>
        <v>3</v>
      </c>
      <c r="J16" s="366">
        <f>'All. 3'!$C$10</f>
        <v>3</v>
      </c>
      <c r="K16" s="366">
        <f>'All. 3'!$C$10</f>
        <v>3</v>
      </c>
      <c r="L16" s="366">
        <f>'All. 3'!$C$10</f>
        <v>3</v>
      </c>
      <c r="M16" s="366">
        <f>'All. 3'!$C$10</f>
        <v>3</v>
      </c>
      <c r="N16" s="366">
        <f>'All. 3'!$C$10</f>
        <v>3</v>
      </c>
      <c r="O16" s="350"/>
    </row>
    <row r="17" spans="2:17" ht="16" x14ac:dyDescent="0.2">
      <c r="B17" s="311" t="s">
        <v>201</v>
      </c>
      <c r="C17" s="366">
        <f>'All. 3'!$C$11</f>
        <v>8</v>
      </c>
      <c r="D17" s="366">
        <f>'All. 3'!$C$11</f>
        <v>8</v>
      </c>
      <c r="E17" s="366">
        <f>'All. 3'!$C$11</f>
        <v>8</v>
      </c>
      <c r="F17" s="366">
        <f>'All. 3'!$C$11</f>
        <v>8</v>
      </c>
      <c r="G17" s="366">
        <f>'All. 3'!$C$11</f>
        <v>8</v>
      </c>
      <c r="H17" s="366">
        <f>'All. 3'!$C$11</f>
        <v>8</v>
      </c>
      <c r="I17" s="366">
        <f>'All. 3'!$C$11</f>
        <v>8</v>
      </c>
      <c r="J17" s="366">
        <f>'All. 3'!$C$11</f>
        <v>8</v>
      </c>
      <c r="K17" s="366">
        <f>'All. 3'!$C$11</f>
        <v>8</v>
      </c>
      <c r="L17" s="366">
        <f>'All. 3'!$C$11</f>
        <v>8</v>
      </c>
      <c r="M17" s="366">
        <f>'All. 3'!$C$11</f>
        <v>8</v>
      </c>
      <c r="N17" s="366">
        <f>'All. 3'!$C$11</f>
        <v>8</v>
      </c>
      <c r="O17" s="350"/>
    </row>
    <row r="18" spans="2:17" ht="17" thickBot="1" x14ac:dyDescent="0.25">
      <c r="B18" s="311" t="s">
        <v>187</v>
      </c>
      <c r="C18" s="224" t="e">
        <f>(C12+C13+C14)*C15*C16*C17</f>
        <v>#REF!</v>
      </c>
      <c r="D18" s="224" t="e">
        <f t="shared" ref="D18:N18" si="0">(D12+D13+D14)*D15*D16*D17</f>
        <v>#REF!</v>
      </c>
      <c r="E18" s="224" t="e">
        <f t="shared" si="0"/>
        <v>#REF!</v>
      </c>
      <c r="F18" s="224" t="e">
        <f t="shared" si="0"/>
        <v>#REF!</v>
      </c>
      <c r="G18" s="224" t="e">
        <f t="shared" si="0"/>
        <v>#REF!</v>
      </c>
      <c r="H18" s="224" t="e">
        <f t="shared" si="0"/>
        <v>#REF!</v>
      </c>
      <c r="I18" s="224" t="e">
        <f t="shared" si="0"/>
        <v>#REF!</v>
      </c>
      <c r="J18" s="224" t="e">
        <f t="shared" si="0"/>
        <v>#REF!</v>
      </c>
      <c r="K18" s="224" t="e">
        <f t="shared" si="0"/>
        <v>#REF!</v>
      </c>
      <c r="L18" s="224" t="e">
        <f t="shared" si="0"/>
        <v>#REF!</v>
      </c>
      <c r="M18" s="224" t="e">
        <f t="shared" si="0"/>
        <v>#REF!</v>
      </c>
      <c r="N18" s="224" t="e">
        <f t="shared" si="0"/>
        <v>#REF!</v>
      </c>
      <c r="O18" s="346" t="e">
        <f>SUM(C18:N18)</f>
        <v>#REF!</v>
      </c>
    </row>
    <row r="19" spans="2:17" ht="17" thickBot="1" x14ac:dyDescent="0.25">
      <c r="B19" s="312" t="s">
        <v>188</v>
      </c>
      <c r="C19" s="228" t="e">
        <f>C18-C10</f>
        <v>#REF!</v>
      </c>
      <c r="D19" s="228" t="e">
        <f t="shared" ref="D19:O19" si="1">D18-D10</f>
        <v>#REF!</v>
      </c>
      <c r="E19" s="228" t="e">
        <f t="shared" si="1"/>
        <v>#REF!</v>
      </c>
      <c r="F19" s="228" t="e">
        <f t="shared" si="1"/>
        <v>#REF!</v>
      </c>
      <c r="G19" s="228" t="e">
        <f t="shared" si="1"/>
        <v>#REF!</v>
      </c>
      <c r="H19" s="228" t="e">
        <f t="shared" si="1"/>
        <v>#REF!</v>
      </c>
      <c r="I19" s="228" t="e">
        <f t="shared" si="1"/>
        <v>#REF!</v>
      </c>
      <c r="J19" s="228" t="e">
        <f t="shared" si="1"/>
        <v>#REF!</v>
      </c>
      <c r="K19" s="228" t="e">
        <f t="shared" si="1"/>
        <v>#REF!</v>
      </c>
      <c r="L19" s="228" t="e">
        <f t="shared" si="1"/>
        <v>#REF!</v>
      </c>
      <c r="M19" s="228" t="e">
        <f t="shared" si="1"/>
        <v>#REF!</v>
      </c>
      <c r="N19" s="228" t="e">
        <f t="shared" si="1"/>
        <v>#REF!</v>
      </c>
      <c r="O19" s="238" t="e">
        <f t="shared" si="1"/>
        <v>#REF!</v>
      </c>
    </row>
    <row r="20" spans="2:17" ht="16" x14ac:dyDescent="0.2">
      <c r="B20" s="311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230"/>
    </row>
    <row r="21" spans="2:17" ht="16" x14ac:dyDescent="0.2">
      <c r="B21" s="353" t="s">
        <v>189</v>
      </c>
      <c r="C21" s="354" t="e">
        <f>'Tab. 5'!C22</f>
        <v>#REF!</v>
      </c>
      <c r="D21" s="354" t="e">
        <f>'Tab. 5'!D22</f>
        <v>#REF!</v>
      </c>
      <c r="E21" s="354" t="e">
        <f>'Tab. 5'!E22</f>
        <v>#REF!</v>
      </c>
      <c r="F21" s="354" t="e">
        <f>'Tab. 5'!F22</f>
        <v>#REF!</v>
      </c>
      <c r="G21" s="354" t="e">
        <f>'Tab. 5'!G22</f>
        <v>#REF!</v>
      </c>
      <c r="H21" s="354" t="e">
        <f>'Tab. 5'!H22</f>
        <v>#REF!</v>
      </c>
      <c r="I21" s="354" t="e">
        <f>'Tab. 5'!I22</f>
        <v>#REF!</v>
      </c>
      <c r="J21" s="354" t="e">
        <f>'Tab. 5'!J22</f>
        <v>#REF!</v>
      </c>
      <c r="K21" s="354" t="e">
        <f>'Tab. 5'!K22</f>
        <v>#REF!</v>
      </c>
      <c r="L21" s="354" t="e">
        <f>'Tab. 5'!L22</f>
        <v>#REF!</v>
      </c>
      <c r="M21" s="354" t="e">
        <f>'Tab. 5'!M22</f>
        <v>#REF!</v>
      </c>
      <c r="N21" s="354" t="e">
        <f>'Tab. 5'!N22</f>
        <v>#REF!</v>
      </c>
      <c r="O21" s="355" t="e">
        <f>SUM(C21:N21)</f>
        <v>#REF!</v>
      </c>
      <c r="Q21" s="1"/>
    </row>
    <row r="22" spans="2:17" ht="16" x14ac:dyDescent="0.2">
      <c r="B22" s="311" t="s">
        <v>202</v>
      </c>
      <c r="C22" s="224" t="e">
        <f>'All. 1'!$D$10/60*C21</f>
        <v>#REF!</v>
      </c>
      <c r="D22" s="224" t="e">
        <f>'All. 1'!$D$10/60*D21</f>
        <v>#REF!</v>
      </c>
      <c r="E22" s="224" t="e">
        <f>'All. 1'!$D$10/60*E21</f>
        <v>#REF!</v>
      </c>
      <c r="F22" s="224" t="e">
        <f>'All. 1'!$D$10/60*F21</f>
        <v>#REF!</v>
      </c>
      <c r="G22" s="224" t="e">
        <f>'All. 1'!$D$10/60*G21</f>
        <v>#REF!</v>
      </c>
      <c r="H22" s="224" t="e">
        <f>'All. 1'!$D$10/60*H21</f>
        <v>#REF!</v>
      </c>
      <c r="I22" s="224" t="e">
        <f>'All. 1'!$D$10/60*I21</f>
        <v>#REF!</v>
      </c>
      <c r="J22" s="224" t="e">
        <f>'All. 1'!$D$10/60*J21</f>
        <v>#REF!</v>
      </c>
      <c r="K22" s="224" t="e">
        <f>'All. 1'!$D$10/60*K21</f>
        <v>#REF!</v>
      </c>
      <c r="L22" s="224" t="e">
        <f>'All. 1'!$D$10/60*L21</f>
        <v>#REF!</v>
      </c>
      <c r="M22" s="224" t="e">
        <f>'All. 1'!$D$10/60*M21</f>
        <v>#REF!</v>
      </c>
      <c r="N22" s="224" t="e">
        <f>'All. 1'!$D$10/60*N21</f>
        <v>#REF!</v>
      </c>
      <c r="O22" s="346" t="e">
        <f>SUM(C22:N22)</f>
        <v>#REF!</v>
      </c>
    </row>
    <row r="23" spans="2:17" ht="16" x14ac:dyDescent="0.2">
      <c r="B23" s="311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230"/>
    </row>
    <row r="24" spans="2:17" ht="16" x14ac:dyDescent="0.2">
      <c r="B24" s="311" t="s">
        <v>190</v>
      </c>
      <c r="C24" s="351" t="e">
        <f t="shared" ref="C24:N24" si="2">C18</f>
        <v>#REF!</v>
      </c>
      <c r="D24" s="351" t="e">
        <f t="shared" si="2"/>
        <v>#REF!</v>
      </c>
      <c r="E24" s="351" t="e">
        <f t="shared" si="2"/>
        <v>#REF!</v>
      </c>
      <c r="F24" s="351" t="e">
        <f t="shared" si="2"/>
        <v>#REF!</v>
      </c>
      <c r="G24" s="351" t="e">
        <f t="shared" si="2"/>
        <v>#REF!</v>
      </c>
      <c r="H24" s="351" t="e">
        <f t="shared" si="2"/>
        <v>#REF!</v>
      </c>
      <c r="I24" s="351" t="e">
        <f t="shared" si="2"/>
        <v>#REF!</v>
      </c>
      <c r="J24" s="351" t="e">
        <f t="shared" si="2"/>
        <v>#REF!</v>
      </c>
      <c r="K24" s="351" t="e">
        <f t="shared" si="2"/>
        <v>#REF!</v>
      </c>
      <c r="L24" s="351" t="e">
        <f t="shared" si="2"/>
        <v>#REF!</v>
      </c>
      <c r="M24" s="351" t="e">
        <f t="shared" si="2"/>
        <v>#REF!</v>
      </c>
      <c r="N24" s="351" t="e">
        <f t="shared" si="2"/>
        <v>#REF!</v>
      </c>
      <c r="O24" s="348" t="e">
        <f>SUM(C24:N24)</f>
        <v>#REF!</v>
      </c>
    </row>
    <row r="25" spans="2:17" ht="16" x14ac:dyDescent="0.2">
      <c r="B25" s="311" t="s">
        <v>191</v>
      </c>
      <c r="C25" s="351"/>
      <c r="D25" s="351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8">
        <f>SUM(C25:N25)</f>
        <v>0</v>
      </c>
    </row>
    <row r="26" spans="2:17" ht="17" thickBot="1" x14ac:dyDescent="0.25">
      <c r="B26" s="311" t="s">
        <v>192</v>
      </c>
      <c r="C26" s="351" t="e">
        <f>C24+C25</f>
        <v>#REF!</v>
      </c>
      <c r="D26" s="351" t="e">
        <f t="shared" ref="D26:N26" si="3">D24+D25</f>
        <v>#REF!</v>
      </c>
      <c r="E26" s="351" t="e">
        <f t="shared" si="3"/>
        <v>#REF!</v>
      </c>
      <c r="F26" s="351" t="e">
        <f t="shared" si="3"/>
        <v>#REF!</v>
      </c>
      <c r="G26" s="351" t="e">
        <f t="shared" si="3"/>
        <v>#REF!</v>
      </c>
      <c r="H26" s="351" t="e">
        <f t="shared" si="3"/>
        <v>#REF!</v>
      </c>
      <c r="I26" s="351" t="e">
        <f t="shared" si="3"/>
        <v>#REF!</v>
      </c>
      <c r="J26" s="351" t="e">
        <f t="shared" si="3"/>
        <v>#REF!</v>
      </c>
      <c r="K26" s="351" t="e">
        <f t="shared" si="3"/>
        <v>#REF!</v>
      </c>
      <c r="L26" s="351" t="e">
        <f t="shared" si="3"/>
        <v>#REF!</v>
      </c>
      <c r="M26" s="351" t="e">
        <f t="shared" si="3"/>
        <v>#REF!</v>
      </c>
      <c r="N26" s="351" t="e">
        <f t="shared" si="3"/>
        <v>#REF!</v>
      </c>
      <c r="O26" s="348" t="e">
        <f>SUM(C26:N26)</f>
        <v>#REF!</v>
      </c>
    </row>
    <row r="27" spans="2:17" ht="17" thickBot="1" x14ac:dyDescent="0.25">
      <c r="B27" s="312" t="s">
        <v>188</v>
      </c>
      <c r="C27" s="228" t="e">
        <f>C26-C22</f>
        <v>#REF!</v>
      </c>
      <c r="D27" s="228" t="e">
        <f t="shared" ref="D27:N27" si="4">D26-D22</f>
        <v>#REF!</v>
      </c>
      <c r="E27" s="228" t="e">
        <f t="shared" si="4"/>
        <v>#REF!</v>
      </c>
      <c r="F27" s="228" t="e">
        <f t="shared" si="4"/>
        <v>#REF!</v>
      </c>
      <c r="G27" s="228" t="e">
        <f t="shared" si="4"/>
        <v>#REF!</v>
      </c>
      <c r="H27" s="228" t="e">
        <f t="shared" si="4"/>
        <v>#REF!</v>
      </c>
      <c r="I27" s="228" t="e">
        <f t="shared" si="4"/>
        <v>#REF!</v>
      </c>
      <c r="J27" s="228" t="e">
        <f t="shared" si="4"/>
        <v>#REF!</v>
      </c>
      <c r="K27" s="228" t="e">
        <f t="shared" si="4"/>
        <v>#REF!</v>
      </c>
      <c r="L27" s="228" t="e">
        <f t="shared" si="4"/>
        <v>#REF!</v>
      </c>
      <c r="M27" s="228" t="e">
        <f t="shared" si="4"/>
        <v>#REF!</v>
      </c>
      <c r="N27" s="228" t="e">
        <f t="shared" si="4"/>
        <v>#REF!</v>
      </c>
      <c r="O27" s="238" t="e">
        <f>SUM(C27:N27)</f>
        <v>#REF!</v>
      </c>
    </row>
    <row r="28" spans="2:17" ht="16" x14ac:dyDescent="0.2">
      <c r="B28" s="19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230"/>
    </row>
    <row r="29" spans="2:17" ht="16" x14ac:dyDescent="0.2">
      <c r="B29" s="345" t="s">
        <v>79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230"/>
    </row>
    <row r="30" spans="2:17" ht="16" x14ac:dyDescent="0.2">
      <c r="B30" s="311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230"/>
    </row>
    <row r="31" spans="2:17" ht="16" x14ac:dyDescent="0.2">
      <c r="B31" s="311" t="s">
        <v>184</v>
      </c>
      <c r="C31" s="224">
        <f>'Tab 4 v2'!C28</f>
        <v>3608.3732687165466</v>
      </c>
      <c r="D31" s="224">
        <f>'Tab 4 v2'!D28</f>
        <v>3741.1687639396141</v>
      </c>
      <c r="E31" s="224">
        <f>'Tab 4 v2'!E28</f>
        <v>3919.3196574605463</v>
      </c>
      <c r="F31" s="224">
        <f>'Tab 4 v2'!F28</f>
        <v>3919.3196574605317</v>
      </c>
      <c r="G31" s="224">
        <f>'Tab 4 v2'!G28</f>
        <v>2503.4253543994564</v>
      </c>
      <c r="H31" s="224">
        <f>'Tab 4 v2'!H28</f>
        <v>4551.6595744680817</v>
      </c>
      <c r="I31" s="224">
        <f>'Tab 4 v2'!I28</f>
        <v>4001.6595744680844</v>
      </c>
      <c r="J31" s="224">
        <f>'Tab 4 v2'!J28</f>
        <v>2482.7234042553191</v>
      </c>
      <c r="K31" s="224">
        <f>'Tab 4 v2'!K28</f>
        <v>3008.4665511662315</v>
      </c>
      <c r="L31" s="224">
        <f>'Tab 4 v2'!L28</f>
        <v>4344.765957446808</v>
      </c>
      <c r="M31" s="224">
        <f>'Tab 4 v2'!M28</f>
        <v>4344.765957446808</v>
      </c>
      <c r="N31" s="224">
        <f>'Tab 4 v2'!N28</f>
        <v>1932.7234042553191</v>
      </c>
      <c r="O31" s="346">
        <f>SUM(C31:N31)</f>
        <v>42358.37112548334</v>
      </c>
    </row>
    <row r="32" spans="2:17" ht="16" x14ac:dyDescent="0.2">
      <c r="B32" s="311" t="s">
        <v>197</v>
      </c>
      <c r="C32" s="224">
        <f>'All. 1'!$D$17/60*C31</f>
        <v>132.30701985294004</v>
      </c>
      <c r="D32" s="224">
        <f>'All. 1'!$D$17/60*D31</f>
        <v>137.17618801111919</v>
      </c>
      <c r="E32" s="224">
        <f>'All. 1'!$D$17/60*E31</f>
        <v>143.70838744022004</v>
      </c>
      <c r="F32" s="224">
        <f>'All. 1'!$D$17/60*F31</f>
        <v>143.7083874402195</v>
      </c>
      <c r="G32" s="224">
        <f>'All. 1'!$D$17/60*G31</f>
        <v>91.792262994646734</v>
      </c>
      <c r="H32" s="224">
        <f>'All. 1'!$D$17/60*H31</f>
        <v>166.894184397163</v>
      </c>
      <c r="I32" s="224">
        <f>'All. 1'!$D$17/60*I31</f>
        <v>146.72751773049643</v>
      </c>
      <c r="J32" s="224">
        <f>'All. 1'!$D$17/60*J31</f>
        <v>91.033191489361698</v>
      </c>
      <c r="K32" s="224">
        <f>'All. 1'!$D$17/60*K31</f>
        <v>110.31044020942849</v>
      </c>
      <c r="L32" s="224">
        <f>'All. 1'!$D$17/60*L31</f>
        <v>159.30808510638295</v>
      </c>
      <c r="M32" s="224">
        <f>'All. 1'!$D$17/60*M31</f>
        <v>159.30808510638295</v>
      </c>
      <c r="N32" s="224">
        <f>'All. 1'!$D$17/60*N31</f>
        <v>70.866524822695041</v>
      </c>
      <c r="O32" s="346">
        <f>SUM(C32:N32)</f>
        <v>1553.1402746010563</v>
      </c>
    </row>
    <row r="33" spans="2:15" ht="16" x14ac:dyDescent="0.2">
      <c r="B33" s="311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230"/>
    </row>
    <row r="34" spans="2:15" ht="16" x14ac:dyDescent="0.2">
      <c r="B34" s="311" t="s">
        <v>198</v>
      </c>
      <c r="C34" s="349" t="e">
        <f>#REF!-#REF!</f>
        <v>#REF!</v>
      </c>
      <c r="D34" s="349" t="e">
        <f>#REF!-#REF!</f>
        <v>#REF!</v>
      </c>
      <c r="E34" s="349" t="e">
        <f>#REF!-#REF!</f>
        <v>#REF!</v>
      </c>
      <c r="F34" s="349" t="e">
        <f>#REF!-#REF!</f>
        <v>#REF!</v>
      </c>
      <c r="G34" s="349" t="e">
        <f>#REF!-#REF!</f>
        <v>#REF!</v>
      </c>
      <c r="H34" s="349" t="e">
        <f>#REF!-#REF!</f>
        <v>#REF!</v>
      </c>
      <c r="I34" s="349" t="e">
        <f>#REF!-#REF!</f>
        <v>#REF!</v>
      </c>
      <c r="J34" s="349" t="e">
        <f>#REF!-#REF!</f>
        <v>#REF!</v>
      </c>
      <c r="K34" s="349" t="e">
        <f>#REF!-#REF!</f>
        <v>#REF!</v>
      </c>
      <c r="L34" s="349" t="e">
        <f>#REF!-#REF!</f>
        <v>#REF!</v>
      </c>
      <c r="M34" s="349" t="e">
        <f>#REF!-#REF!</f>
        <v>#REF!</v>
      </c>
      <c r="N34" s="349" t="e">
        <f>#REF!-#REF!</f>
        <v>#REF!</v>
      </c>
      <c r="O34" s="348" t="e">
        <f>SUM(C34:N34)</f>
        <v>#REF!</v>
      </c>
    </row>
    <row r="35" spans="2:15" ht="16" x14ac:dyDescent="0.2">
      <c r="B35" s="311" t="s">
        <v>199</v>
      </c>
      <c r="C35" s="366">
        <f>-'All. 3'!$D$9/12</f>
        <v>-1</v>
      </c>
      <c r="D35" s="366">
        <f>-'All. 3'!$D$9/12</f>
        <v>-1</v>
      </c>
      <c r="E35" s="366">
        <f>-'All. 3'!$D$9/12</f>
        <v>-1</v>
      </c>
      <c r="F35" s="366">
        <f>-'All. 3'!$D$9/12</f>
        <v>-1</v>
      </c>
      <c r="G35" s="366">
        <f>-'All. 3'!$D$9/12</f>
        <v>-1</v>
      </c>
      <c r="H35" s="366">
        <f>-'All. 3'!$D$9/12</f>
        <v>-1</v>
      </c>
      <c r="I35" s="366">
        <f>-'All. 3'!$D$9/12</f>
        <v>-1</v>
      </c>
      <c r="J35" s="366">
        <f>-'All. 3'!$D$9/12</f>
        <v>-1</v>
      </c>
      <c r="K35" s="366">
        <f>-'All. 3'!$D$9/12</f>
        <v>-1</v>
      </c>
      <c r="L35" s="366">
        <f>-'All. 3'!$D$9/12</f>
        <v>-1</v>
      </c>
      <c r="M35" s="366">
        <f>-'All. 3'!$D$9/12</f>
        <v>-1</v>
      </c>
      <c r="N35" s="366">
        <f>-'All. 3'!$D$9/12</f>
        <v>-1</v>
      </c>
      <c r="O35" s="352">
        <f>SUM(C35:N35)</f>
        <v>-12</v>
      </c>
    </row>
    <row r="36" spans="2:15" ht="16" x14ac:dyDescent="0.2">
      <c r="B36" s="311" t="s">
        <v>5</v>
      </c>
      <c r="C36" s="347"/>
      <c r="D36" s="347"/>
      <c r="E36" s="347"/>
      <c r="F36" s="347"/>
      <c r="G36" s="347"/>
      <c r="H36" s="347"/>
      <c r="I36" s="349">
        <f>'All. 2'!$D$8/2</f>
        <v>-2.5</v>
      </c>
      <c r="J36" s="347"/>
      <c r="K36" s="347"/>
      <c r="L36" s="347"/>
      <c r="M36" s="347"/>
      <c r="N36" s="349">
        <f>'All. 2'!$D$8/2</f>
        <v>-2.5</v>
      </c>
      <c r="O36" s="348">
        <f>SUM(C36:N36)</f>
        <v>-5</v>
      </c>
    </row>
    <row r="37" spans="2:15" ht="16" x14ac:dyDescent="0.2">
      <c r="B37" s="311" t="s">
        <v>200</v>
      </c>
      <c r="C37" s="366">
        <f>'All. 3'!$D$7</f>
        <v>1</v>
      </c>
      <c r="D37" s="366">
        <f>'All. 3'!$D$7</f>
        <v>1</v>
      </c>
      <c r="E37" s="366">
        <f>'All. 3'!$D$7</f>
        <v>1</v>
      </c>
      <c r="F37" s="366">
        <f>'All. 3'!$D$7</f>
        <v>1</v>
      </c>
      <c r="G37" s="366">
        <f>'All. 3'!$D$7</f>
        <v>1</v>
      </c>
      <c r="H37" s="366">
        <f>'All. 3'!$D$7</f>
        <v>1</v>
      </c>
      <c r="I37" s="366">
        <f>'All. 3'!$D$7</f>
        <v>1</v>
      </c>
      <c r="J37" s="366">
        <f>'All. 3'!$D$7</f>
        <v>1</v>
      </c>
      <c r="K37" s="366">
        <f>'All. 3'!$D$7</f>
        <v>1</v>
      </c>
      <c r="L37" s="366">
        <f>'All. 3'!$D$7</f>
        <v>1</v>
      </c>
      <c r="M37" s="366">
        <f>'All. 3'!$D$7</f>
        <v>1</v>
      </c>
      <c r="N37" s="366">
        <f>'All. 3'!$D$7</f>
        <v>1</v>
      </c>
      <c r="O37" s="350"/>
    </row>
    <row r="38" spans="2:15" ht="16" x14ac:dyDescent="0.2">
      <c r="B38" s="311" t="s">
        <v>8</v>
      </c>
      <c r="C38" s="366">
        <f>'All. 3'!$D$10</f>
        <v>2</v>
      </c>
      <c r="D38" s="366">
        <f>'All. 3'!$D$10</f>
        <v>2</v>
      </c>
      <c r="E38" s="366">
        <f>'All. 3'!$D$10</f>
        <v>2</v>
      </c>
      <c r="F38" s="366">
        <f>'All. 3'!$D$10</f>
        <v>2</v>
      </c>
      <c r="G38" s="366">
        <f>'All. 3'!$D$10</f>
        <v>2</v>
      </c>
      <c r="H38" s="366">
        <f>'All. 3'!$D$10</f>
        <v>2</v>
      </c>
      <c r="I38" s="366">
        <f>'All. 3'!$D$10</f>
        <v>2</v>
      </c>
      <c r="J38" s="366">
        <f>'All. 3'!$D$10</f>
        <v>2</v>
      </c>
      <c r="K38" s="366">
        <f>'All. 3'!$D$10</f>
        <v>2</v>
      </c>
      <c r="L38" s="366">
        <f>'All. 3'!$D$10</f>
        <v>2</v>
      </c>
      <c r="M38" s="366">
        <f>'All. 3'!$D$10</f>
        <v>2</v>
      </c>
      <c r="N38" s="366">
        <f>'All. 3'!$D$10</f>
        <v>2</v>
      </c>
      <c r="O38" s="350"/>
    </row>
    <row r="39" spans="2:15" ht="16" x14ac:dyDescent="0.2">
      <c r="B39" s="311" t="s">
        <v>201</v>
      </c>
      <c r="C39" s="366">
        <f>'All. 3'!$D$11</f>
        <v>8</v>
      </c>
      <c r="D39" s="366">
        <f>'All. 3'!$D$11</f>
        <v>8</v>
      </c>
      <c r="E39" s="366">
        <f>'All. 3'!$D$11</f>
        <v>8</v>
      </c>
      <c r="F39" s="366">
        <f>'All. 3'!$D$11</f>
        <v>8</v>
      </c>
      <c r="G39" s="366">
        <f>'All. 3'!$D$11</f>
        <v>8</v>
      </c>
      <c r="H39" s="366">
        <f>'All. 3'!$D$11</f>
        <v>8</v>
      </c>
      <c r="I39" s="366">
        <f>'All. 3'!$D$11</f>
        <v>8</v>
      </c>
      <c r="J39" s="366">
        <f>'All. 3'!$D$11</f>
        <v>8</v>
      </c>
      <c r="K39" s="366">
        <f>'All. 3'!$D$11</f>
        <v>8</v>
      </c>
      <c r="L39" s="366">
        <f>'All. 3'!$D$11</f>
        <v>8</v>
      </c>
      <c r="M39" s="366">
        <f>'All. 3'!$D$11</f>
        <v>8</v>
      </c>
      <c r="N39" s="366">
        <f>'All. 3'!$D$11</f>
        <v>8</v>
      </c>
      <c r="O39" s="350"/>
    </row>
    <row r="40" spans="2:15" ht="17" thickBot="1" x14ac:dyDescent="0.25">
      <c r="B40" s="311" t="s">
        <v>187</v>
      </c>
      <c r="C40" s="224" t="e">
        <f>(C34+C35+C36)*C37*C38*C39</f>
        <v>#REF!</v>
      </c>
      <c r="D40" s="224" t="e">
        <f t="shared" ref="D40:N40" si="5">(D34+D35+D36)*D37*D38*D39</f>
        <v>#REF!</v>
      </c>
      <c r="E40" s="224" t="e">
        <f t="shared" si="5"/>
        <v>#REF!</v>
      </c>
      <c r="F40" s="224" t="e">
        <f t="shared" si="5"/>
        <v>#REF!</v>
      </c>
      <c r="G40" s="224" t="e">
        <f t="shared" si="5"/>
        <v>#REF!</v>
      </c>
      <c r="H40" s="224" t="e">
        <f t="shared" si="5"/>
        <v>#REF!</v>
      </c>
      <c r="I40" s="224" t="e">
        <f t="shared" si="5"/>
        <v>#REF!</v>
      </c>
      <c r="J40" s="224" t="e">
        <f t="shared" si="5"/>
        <v>#REF!</v>
      </c>
      <c r="K40" s="224" t="e">
        <f t="shared" si="5"/>
        <v>#REF!</v>
      </c>
      <c r="L40" s="224" t="e">
        <f t="shared" si="5"/>
        <v>#REF!</v>
      </c>
      <c r="M40" s="224" t="e">
        <f t="shared" si="5"/>
        <v>#REF!</v>
      </c>
      <c r="N40" s="224" t="e">
        <f t="shared" si="5"/>
        <v>#REF!</v>
      </c>
      <c r="O40" s="346" t="e">
        <f>SUM(C40:N40)</f>
        <v>#REF!</v>
      </c>
    </row>
    <row r="41" spans="2:15" ht="17" thickBot="1" x14ac:dyDescent="0.25">
      <c r="B41" s="312" t="s">
        <v>188</v>
      </c>
      <c r="C41" s="228" t="e">
        <f>C40-C32</f>
        <v>#REF!</v>
      </c>
      <c r="D41" s="228" t="e">
        <f t="shared" ref="D41:O41" si="6">D40-D32</f>
        <v>#REF!</v>
      </c>
      <c r="E41" s="228" t="e">
        <f t="shared" si="6"/>
        <v>#REF!</v>
      </c>
      <c r="F41" s="228" t="e">
        <f t="shared" si="6"/>
        <v>#REF!</v>
      </c>
      <c r="G41" s="228" t="e">
        <f t="shared" si="6"/>
        <v>#REF!</v>
      </c>
      <c r="H41" s="228" t="e">
        <f t="shared" si="6"/>
        <v>#REF!</v>
      </c>
      <c r="I41" s="228" t="e">
        <f t="shared" si="6"/>
        <v>#REF!</v>
      </c>
      <c r="J41" s="228" t="e">
        <f t="shared" si="6"/>
        <v>#REF!</v>
      </c>
      <c r="K41" s="228" t="e">
        <f t="shared" si="6"/>
        <v>#REF!</v>
      </c>
      <c r="L41" s="228" t="e">
        <f t="shared" si="6"/>
        <v>#REF!</v>
      </c>
      <c r="M41" s="228" t="e">
        <f t="shared" si="6"/>
        <v>#REF!</v>
      </c>
      <c r="N41" s="228" t="e">
        <f t="shared" si="6"/>
        <v>#REF!</v>
      </c>
      <c r="O41" s="238" t="e">
        <f t="shared" si="6"/>
        <v>#REF!</v>
      </c>
    </row>
    <row r="42" spans="2:15" ht="17" customHeight="1" x14ac:dyDescent="0.2">
      <c r="B42" s="311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230"/>
    </row>
    <row r="43" spans="2:15" ht="16" x14ac:dyDescent="0.2">
      <c r="B43" s="353" t="s">
        <v>189</v>
      </c>
      <c r="C43" s="354" t="e">
        <f>'Tab. 5'!C54</f>
        <v>#REF!</v>
      </c>
      <c r="D43" s="354" t="e">
        <f>'Tab. 5'!D54</f>
        <v>#REF!</v>
      </c>
      <c r="E43" s="354" t="e">
        <f>'Tab. 5'!E54</f>
        <v>#REF!</v>
      </c>
      <c r="F43" s="354" t="e">
        <f>'Tab. 5'!F54</f>
        <v>#REF!</v>
      </c>
      <c r="G43" s="354" t="e">
        <f>'Tab. 5'!G54</f>
        <v>#REF!</v>
      </c>
      <c r="H43" s="354" t="e">
        <f>'Tab. 5'!H54</f>
        <v>#REF!</v>
      </c>
      <c r="I43" s="354" t="e">
        <f>'Tab. 5'!I54</f>
        <v>#REF!</v>
      </c>
      <c r="J43" s="354" t="e">
        <f>'Tab. 5'!J54</f>
        <v>#REF!</v>
      </c>
      <c r="K43" s="354" t="e">
        <f>'Tab. 5'!K54</f>
        <v>#REF!</v>
      </c>
      <c r="L43" s="354" t="e">
        <f>'Tab. 5'!L54</f>
        <v>#REF!</v>
      </c>
      <c r="M43" s="354" t="e">
        <f>'Tab. 5'!M54</f>
        <v>#REF!</v>
      </c>
      <c r="N43" s="354" t="e">
        <f>'Tab. 5'!N54</f>
        <v>#REF!</v>
      </c>
      <c r="O43" s="355" t="e">
        <f>SUM(C43:N43)</f>
        <v>#REF!</v>
      </c>
    </row>
    <row r="44" spans="2:15" ht="16" x14ac:dyDescent="0.2">
      <c r="B44" s="311" t="s">
        <v>202</v>
      </c>
      <c r="C44" s="224" t="e">
        <f>'All. 1'!$D$17/60*C43</f>
        <v>#REF!</v>
      </c>
      <c r="D44" s="224" t="e">
        <f>'All. 1'!$D$17/60*D43</f>
        <v>#REF!</v>
      </c>
      <c r="E44" s="224" t="e">
        <f>'All. 1'!$D$17/60*E43</f>
        <v>#REF!</v>
      </c>
      <c r="F44" s="224" t="e">
        <f>'All. 1'!$D$17/60*F43</f>
        <v>#REF!</v>
      </c>
      <c r="G44" s="224" t="e">
        <f>'All. 1'!$D$17/60*G43</f>
        <v>#REF!</v>
      </c>
      <c r="H44" s="224" t="e">
        <f>'All. 1'!$D$17/60*H43</f>
        <v>#REF!</v>
      </c>
      <c r="I44" s="224" t="e">
        <f>'All. 1'!$D$17/60*I43</f>
        <v>#REF!</v>
      </c>
      <c r="J44" s="224" t="e">
        <f>'All. 1'!$D$17/60*J43</f>
        <v>#REF!</v>
      </c>
      <c r="K44" s="224" t="e">
        <f>'All. 1'!$D$17/60*K43</f>
        <v>#REF!</v>
      </c>
      <c r="L44" s="224" t="e">
        <f>'All. 1'!$D$17/60*L43</f>
        <v>#REF!</v>
      </c>
      <c r="M44" s="224" t="e">
        <f>'All. 1'!$D$17/60*M43</f>
        <v>#REF!</v>
      </c>
      <c r="N44" s="224" t="e">
        <f>'All. 1'!$D$17/60*N43</f>
        <v>#REF!</v>
      </c>
      <c r="O44" s="346" t="e">
        <f>SUM(C44:N44)</f>
        <v>#REF!</v>
      </c>
    </row>
    <row r="45" spans="2:15" ht="16" x14ac:dyDescent="0.2">
      <c r="B45" s="311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230"/>
    </row>
    <row r="46" spans="2:15" ht="16" x14ac:dyDescent="0.2">
      <c r="B46" s="311" t="s">
        <v>190</v>
      </c>
      <c r="C46" s="351" t="e">
        <f t="shared" ref="C46:N46" si="7">C40</f>
        <v>#REF!</v>
      </c>
      <c r="D46" s="351" t="e">
        <f t="shared" si="7"/>
        <v>#REF!</v>
      </c>
      <c r="E46" s="351" t="e">
        <f t="shared" si="7"/>
        <v>#REF!</v>
      </c>
      <c r="F46" s="351" t="e">
        <f t="shared" si="7"/>
        <v>#REF!</v>
      </c>
      <c r="G46" s="351" t="e">
        <f t="shared" si="7"/>
        <v>#REF!</v>
      </c>
      <c r="H46" s="351" t="e">
        <f t="shared" si="7"/>
        <v>#REF!</v>
      </c>
      <c r="I46" s="351" t="e">
        <f t="shared" si="7"/>
        <v>#REF!</v>
      </c>
      <c r="J46" s="351" t="e">
        <f t="shared" si="7"/>
        <v>#REF!</v>
      </c>
      <c r="K46" s="351" t="e">
        <f t="shared" si="7"/>
        <v>#REF!</v>
      </c>
      <c r="L46" s="351" t="e">
        <f t="shared" si="7"/>
        <v>#REF!</v>
      </c>
      <c r="M46" s="351" t="e">
        <f t="shared" si="7"/>
        <v>#REF!</v>
      </c>
      <c r="N46" s="351" t="e">
        <f t="shared" si="7"/>
        <v>#REF!</v>
      </c>
      <c r="O46" s="348" t="e">
        <f>SUM(C46:N46)</f>
        <v>#REF!</v>
      </c>
    </row>
    <row r="47" spans="2:15" ht="16" x14ac:dyDescent="0.2">
      <c r="B47" s="311" t="s">
        <v>191</v>
      </c>
      <c r="C47" s="351"/>
      <c r="D47" s="351"/>
      <c r="E47" s="347"/>
      <c r="F47" s="347"/>
      <c r="G47" s="347"/>
      <c r="H47" s="347"/>
      <c r="I47" s="347"/>
      <c r="J47" s="347"/>
      <c r="K47" s="347"/>
      <c r="L47" s="347"/>
      <c r="M47" s="347"/>
      <c r="N47" s="347"/>
      <c r="O47" s="348">
        <f>SUM(C47:N47)</f>
        <v>0</v>
      </c>
    </row>
    <row r="48" spans="2:15" ht="17" thickBot="1" x14ac:dyDescent="0.25">
      <c r="B48" s="311" t="s">
        <v>192</v>
      </c>
      <c r="C48" s="351" t="e">
        <f>C46+C47</f>
        <v>#REF!</v>
      </c>
      <c r="D48" s="351" t="e">
        <f t="shared" ref="D48:N48" si="8">D46+D47</f>
        <v>#REF!</v>
      </c>
      <c r="E48" s="351" t="e">
        <f t="shared" si="8"/>
        <v>#REF!</v>
      </c>
      <c r="F48" s="351" t="e">
        <f t="shared" si="8"/>
        <v>#REF!</v>
      </c>
      <c r="G48" s="351" t="e">
        <f t="shared" si="8"/>
        <v>#REF!</v>
      </c>
      <c r="H48" s="351" t="e">
        <f t="shared" si="8"/>
        <v>#REF!</v>
      </c>
      <c r="I48" s="351" t="e">
        <f t="shared" si="8"/>
        <v>#REF!</v>
      </c>
      <c r="J48" s="351" t="e">
        <f t="shared" si="8"/>
        <v>#REF!</v>
      </c>
      <c r="K48" s="351" t="e">
        <f t="shared" si="8"/>
        <v>#REF!</v>
      </c>
      <c r="L48" s="351" t="e">
        <f t="shared" si="8"/>
        <v>#REF!</v>
      </c>
      <c r="M48" s="351" t="e">
        <f t="shared" si="8"/>
        <v>#REF!</v>
      </c>
      <c r="N48" s="351" t="e">
        <f t="shared" si="8"/>
        <v>#REF!</v>
      </c>
      <c r="O48" s="348" t="e">
        <f>SUM(C48:N48)</f>
        <v>#REF!</v>
      </c>
    </row>
    <row r="49" spans="2:15" ht="17" thickBot="1" x14ac:dyDescent="0.25">
      <c r="B49" s="312" t="s">
        <v>188</v>
      </c>
      <c r="C49" s="228" t="e">
        <f>C48-C44</f>
        <v>#REF!</v>
      </c>
      <c r="D49" s="228" t="e">
        <f t="shared" ref="D49:N49" si="9">D48-D44</f>
        <v>#REF!</v>
      </c>
      <c r="E49" s="228" t="e">
        <f t="shared" si="9"/>
        <v>#REF!</v>
      </c>
      <c r="F49" s="228" t="e">
        <f t="shared" si="9"/>
        <v>#REF!</v>
      </c>
      <c r="G49" s="228" t="e">
        <f t="shared" si="9"/>
        <v>#REF!</v>
      </c>
      <c r="H49" s="228" t="e">
        <f t="shared" si="9"/>
        <v>#REF!</v>
      </c>
      <c r="I49" s="228" t="e">
        <f t="shared" si="9"/>
        <v>#REF!</v>
      </c>
      <c r="J49" s="228" t="e">
        <f t="shared" si="9"/>
        <v>#REF!</v>
      </c>
      <c r="K49" s="228" t="e">
        <f t="shared" si="9"/>
        <v>#REF!</v>
      </c>
      <c r="L49" s="228" t="e">
        <f t="shared" si="9"/>
        <v>#REF!</v>
      </c>
      <c r="M49" s="228" t="e">
        <f t="shared" si="9"/>
        <v>#REF!</v>
      </c>
      <c r="N49" s="228" t="e">
        <f t="shared" si="9"/>
        <v>#REF!</v>
      </c>
      <c r="O49" s="238" t="e">
        <f>SUM(C49:N49)</f>
        <v>#REF!</v>
      </c>
    </row>
    <row r="50" spans="2:15" hidden="1" x14ac:dyDescent="0.15">
      <c r="B50" s="356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8"/>
    </row>
    <row r="51" spans="2:15" hidden="1" x14ac:dyDescent="0.15">
      <c r="B51" s="359"/>
      <c r="O51" s="360"/>
    </row>
    <row r="52" spans="2:15" hidden="1" x14ac:dyDescent="0.15">
      <c r="B52" s="361" t="s">
        <v>194</v>
      </c>
      <c r="C52" s="1">
        <f>+C31</f>
        <v>3608.3732687165466</v>
      </c>
      <c r="D52" s="1">
        <f t="shared" ref="D52:N52" si="10">+D31+C52</f>
        <v>7349.5420326561607</v>
      </c>
      <c r="E52" s="1">
        <f t="shared" si="10"/>
        <v>11268.861690116708</v>
      </c>
      <c r="F52" s="1">
        <f t="shared" si="10"/>
        <v>15188.18134757724</v>
      </c>
      <c r="G52" s="1">
        <f t="shared" si="10"/>
        <v>17691.606701976696</v>
      </c>
      <c r="H52" s="1">
        <f t="shared" si="10"/>
        <v>22243.266276444778</v>
      </c>
      <c r="I52" s="1">
        <f t="shared" si="10"/>
        <v>26244.925850912863</v>
      </c>
      <c r="J52" s="1">
        <f t="shared" si="10"/>
        <v>28727.64925516818</v>
      </c>
      <c r="K52" s="1">
        <f t="shared" si="10"/>
        <v>31736.115806334412</v>
      </c>
      <c r="L52" s="1">
        <f t="shared" si="10"/>
        <v>36080.881763781217</v>
      </c>
      <c r="M52" s="1">
        <f t="shared" si="10"/>
        <v>40425.647721228022</v>
      </c>
      <c r="N52" s="1">
        <f t="shared" si="10"/>
        <v>42358.37112548334</v>
      </c>
      <c r="O52" s="360"/>
    </row>
    <row r="53" spans="2:15" hidden="1" x14ac:dyDescent="0.15">
      <c r="B53" s="361" t="s">
        <v>195</v>
      </c>
      <c r="C53" s="1" t="e">
        <f>+#REF!</f>
        <v>#REF!</v>
      </c>
      <c r="D53" s="1" t="e">
        <f>+C53+#REF!</f>
        <v>#REF!</v>
      </c>
      <c r="E53" s="1" t="e">
        <f>+D53+#REF!</f>
        <v>#REF!</v>
      </c>
      <c r="F53" s="1" t="e">
        <f>+E53+#REF!</f>
        <v>#REF!</v>
      </c>
      <c r="G53" s="1" t="e">
        <f>+F53+#REF!</f>
        <v>#REF!</v>
      </c>
      <c r="H53" s="1" t="e">
        <f>+G53+#REF!</f>
        <v>#REF!</v>
      </c>
      <c r="I53" s="1" t="e">
        <f>+H53+#REF!</f>
        <v>#REF!</v>
      </c>
      <c r="J53" s="1" t="e">
        <f>+I53+#REF!</f>
        <v>#REF!</v>
      </c>
      <c r="K53" s="1" t="e">
        <f>+J53+#REF!</f>
        <v>#REF!</v>
      </c>
      <c r="L53" s="1" t="e">
        <f>+K53+#REF!</f>
        <v>#REF!</v>
      </c>
      <c r="M53" s="1" t="e">
        <f>+L53+#REF!</f>
        <v>#REF!</v>
      </c>
      <c r="N53" s="1" t="e">
        <f>+M53+#REF!</f>
        <v>#REF!</v>
      </c>
      <c r="O53" s="360"/>
    </row>
    <row r="54" spans="2:15" hidden="1" x14ac:dyDescent="0.15">
      <c r="B54" s="359"/>
      <c r="C54" s="1" t="e">
        <f>+C43</f>
        <v>#REF!</v>
      </c>
      <c r="D54" s="1" t="e">
        <f>+D43+C43</f>
        <v>#REF!</v>
      </c>
      <c r="E54" s="1" t="e">
        <f>+E43+D54</f>
        <v>#REF!</v>
      </c>
      <c r="F54" s="1" t="e">
        <f t="shared" ref="F54:N54" si="11">+F43+E54</f>
        <v>#REF!</v>
      </c>
      <c r="G54" s="1" t="e">
        <f t="shared" si="11"/>
        <v>#REF!</v>
      </c>
      <c r="H54" s="1" t="e">
        <f t="shared" si="11"/>
        <v>#REF!</v>
      </c>
      <c r="I54" s="1" t="e">
        <f t="shared" si="11"/>
        <v>#REF!</v>
      </c>
      <c r="J54" s="1" t="e">
        <f t="shared" si="11"/>
        <v>#REF!</v>
      </c>
      <c r="K54" s="1" t="e">
        <f t="shared" si="11"/>
        <v>#REF!</v>
      </c>
      <c r="L54" s="1" t="e">
        <f t="shared" si="11"/>
        <v>#REF!</v>
      </c>
      <c r="M54" s="1" t="e">
        <f t="shared" si="11"/>
        <v>#REF!</v>
      </c>
      <c r="N54" s="1" t="e">
        <f t="shared" si="11"/>
        <v>#REF!</v>
      </c>
      <c r="O54" s="360"/>
    </row>
    <row r="55" spans="2:15" hidden="1" x14ac:dyDescent="0.15">
      <c r="B55" s="35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360"/>
    </row>
    <row r="56" spans="2:15" ht="14" hidden="1" thickBot="1" x14ac:dyDescent="0.2">
      <c r="B56" s="362"/>
      <c r="C56" s="363" t="e">
        <f>+IF(C53&lt;C52,C52-C53,0)</f>
        <v>#REF!</v>
      </c>
      <c r="D56" s="363" t="e">
        <f>+IF(D53&lt;D52,D52-D53,0)</f>
        <v>#REF!</v>
      </c>
      <c r="E56" s="364"/>
      <c r="F56" s="364"/>
      <c r="G56" s="364"/>
      <c r="H56" s="364"/>
      <c r="I56" s="364"/>
      <c r="J56" s="364"/>
      <c r="K56" s="364"/>
      <c r="L56" s="364"/>
      <c r="M56" s="364"/>
      <c r="N56" s="364"/>
      <c r="O56" s="365"/>
    </row>
    <row r="59" spans="2:15" x14ac:dyDescent="0.15">
      <c r="C59" s="1" t="e">
        <f>+C43-'Tab 4 v2'!C28</f>
        <v>#REF!</v>
      </c>
      <c r="D59" s="1" t="e">
        <f>+D43-'Tab 4 v2'!D28</f>
        <v>#REF!</v>
      </c>
      <c r="E59" s="1" t="e">
        <f>+E43-'Tab 4 v2'!E28</f>
        <v>#REF!</v>
      </c>
      <c r="F59" s="1" t="e">
        <f>+F43-'Tab 4 v2'!F28</f>
        <v>#REF!</v>
      </c>
      <c r="G59" s="1" t="e">
        <f>+G43-'Tab 4 v2'!G28</f>
        <v>#REF!</v>
      </c>
      <c r="H59" s="1" t="e">
        <f>+H43-'Tab 4 v2'!H28</f>
        <v>#REF!</v>
      </c>
      <c r="I59" s="1" t="e">
        <f>+I43-'Tab 4 v2'!I28</f>
        <v>#REF!</v>
      </c>
      <c r="J59" s="1" t="e">
        <f>+J43-'Tab 4 v2'!J28</f>
        <v>#REF!</v>
      </c>
      <c r="K59" s="1" t="e">
        <f>+K43-'Tab 4 v2'!K28</f>
        <v>#REF!</v>
      </c>
      <c r="L59" s="1" t="e">
        <f>+L43-'Tab 4 v2'!L28</f>
        <v>#REF!</v>
      </c>
      <c r="M59" s="1" t="e">
        <f>+M43-'Tab 4 v2'!M28</f>
        <v>#REF!</v>
      </c>
      <c r="N59" s="1" t="e">
        <f>+N43-'Tab 4 v2'!N28</f>
        <v>#REF!</v>
      </c>
    </row>
  </sheetData>
  <mergeCells count="1">
    <mergeCell ref="C4:O4"/>
  </mergeCells>
  <conditionalFormatting sqref="C19:N19 C27:N27">
    <cfRule type="cellIs" dxfId="1" priority="2" operator="lessThan">
      <formula>0</formula>
    </cfRule>
  </conditionalFormatting>
  <conditionalFormatting sqref="C41:N41 C49:N49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FA06-582A-B84B-98EE-753FE41B7B7F}">
  <sheetPr codeName="Foglio11">
    <tabColor theme="0" tint="-0.499984740745262"/>
  </sheetPr>
  <dimension ref="B1:F48"/>
  <sheetViews>
    <sheetView showGridLines="0" topLeftCell="A8" zoomScale="158" zoomScaleNormal="140" workbookViewId="0">
      <selection activeCell="E27" sqref="E27"/>
    </sheetView>
  </sheetViews>
  <sheetFormatPr baseColWidth="10" defaultColWidth="9.1640625" defaultRowHeight="19" x14ac:dyDescent="0.15"/>
  <cols>
    <col min="1" max="1" width="9.1640625" style="252"/>
    <col min="2" max="2" width="29" style="252" bestFit="1" customWidth="1"/>
    <col min="3" max="3" width="20.6640625" style="252" customWidth="1"/>
    <col min="4" max="4" width="13.1640625" style="252" customWidth="1"/>
    <col min="5" max="5" width="12.33203125" style="252" bestFit="1" customWidth="1"/>
    <col min="6" max="6" width="11.5" style="252" customWidth="1"/>
    <col min="7" max="7" width="2.6640625" style="252" customWidth="1"/>
    <col min="8" max="16384" width="9.1640625" style="252"/>
  </cols>
  <sheetData>
    <row r="1" spans="2:6" x14ac:dyDescent="0.15">
      <c r="B1" s="252" t="s">
        <v>161</v>
      </c>
    </row>
    <row r="2" spans="2:6" ht="20" thickBot="1" x14ac:dyDescent="0.2"/>
    <row r="3" spans="2:6" x14ac:dyDescent="0.15">
      <c r="B3" s="472" t="s">
        <v>131</v>
      </c>
      <c r="C3" s="474" t="s">
        <v>59</v>
      </c>
      <c r="D3" s="475"/>
      <c r="E3" s="475"/>
      <c r="F3" s="476"/>
    </row>
    <row r="4" spans="2:6" x14ac:dyDescent="0.15">
      <c r="B4" s="473"/>
      <c r="C4" s="256" t="s">
        <v>132</v>
      </c>
      <c r="D4" s="257" t="s">
        <v>133</v>
      </c>
      <c r="E4" s="257" t="s">
        <v>141</v>
      </c>
      <c r="F4" s="258" t="s">
        <v>142</v>
      </c>
    </row>
    <row r="5" spans="2:6" x14ac:dyDescent="0.15">
      <c r="B5" s="254" t="s">
        <v>128</v>
      </c>
      <c r="C5" s="251" t="s">
        <v>134</v>
      </c>
      <c r="D5" s="253">
        <v>0.75</v>
      </c>
      <c r="E5" s="263">
        <f>0.005*1000</f>
        <v>5</v>
      </c>
      <c r="F5" s="260">
        <f>E5*D5</f>
        <v>3.75</v>
      </c>
    </row>
    <row r="6" spans="2:6" x14ac:dyDescent="0.15">
      <c r="B6" s="254" t="s">
        <v>129</v>
      </c>
      <c r="C6" s="251" t="s">
        <v>134</v>
      </c>
      <c r="D6" s="253">
        <v>1</v>
      </c>
      <c r="E6" s="263">
        <f>0.078947*1000</f>
        <v>78.947000000000003</v>
      </c>
      <c r="F6" s="260">
        <f t="shared" ref="F6:F7" si="0">E6*D6</f>
        <v>78.947000000000003</v>
      </c>
    </row>
    <row r="7" spans="2:6" x14ac:dyDescent="0.15">
      <c r="B7" s="254" t="s">
        <v>130</v>
      </c>
      <c r="C7" s="251" t="s">
        <v>134</v>
      </c>
      <c r="D7" s="253">
        <v>1</v>
      </c>
      <c r="E7" s="263">
        <f>0.03*1000</f>
        <v>30</v>
      </c>
      <c r="F7" s="260">
        <f t="shared" si="0"/>
        <v>30</v>
      </c>
    </row>
    <row r="8" spans="2:6" ht="20" thickBot="1" x14ac:dyDescent="0.2">
      <c r="B8" s="255"/>
      <c r="C8" s="261"/>
      <c r="D8" s="261"/>
      <c r="E8" s="261"/>
      <c r="F8" s="262">
        <f>SUM(F5:F7)</f>
        <v>112.697</v>
      </c>
    </row>
    <row r="9" spans="2:6" ht="41" customHeight="1" thickBot="1" x14ac:dyDescent="0.2">
      <c r="C9" s="251"/>
      <c r="D9" s="251"/>
      <c r="E9" s="251"/>
      <c r="F9" s="251"/>
    </row>
    <row r="10" spans="2:6" x14ac:dyDescent="0.15">
      <c r="B10" s="472" t="s">
        <v>135</v>
      </c>
      <c r="C10" s="474" t="s">
        <v>59</v>
      </c>
      <c r="D10" s="475"/>
      <c r="E10" s="475"/>
      <c r="F10" s="476"/>
    </row>
    <row r="11" spans="2:6" x14ac:dyDescent="0.15">
      <c r="B11" s="473"/>
      <c r="C11" s="256" t="s">
        <v>132</v>
      </c>
      <c r="D11" s="257" t="s">
        <v>133</v>
      </c>
      <c r="E11" s="257" t="s">
        <v>141</v>
      </c>
      <c r="F11" s="258" t="s">
        <v>142</v>
      </c>
    </row>
    <row r="12" spans="2:6" x14ac:dyDescent="0.15">
      <c r="B12" s="254" t="s">
        <v>79</v>
      </c>
      <c r="C12" s="251" t="s">
        <v>134</v>
      </c>
      <c r="D12" s="253">
        <v>0.5</v>
      </c>
      <c r="E12" s="263">
        <f>0.05*1000</f>
        <v>50</v>
      </c>
      <c r="F12" s="260">
        <f>E12*D12</f>
        <v>25</v>
      </c>
    </row>
    <row r="13" spans="2:6" x14ac:dyDescent="0.15">
      <c r="B13" s="254" t="s">
        <v>136</v>
      </c>
      <c r="C13" s="251" t="s">
        <v>139</v>
      </c>
      <c r="D13" s="253">
        <v>2.2200000000000002</v>
      </c>
      <c r="E13" s="263">
        <f>0.015*1000</f>
        <v>15</v>
      </c>
      <c r="F13" s="260">
        <f t="shared" ref="F13:F16" si="1">E13*D13</f>
        <v>33.300000000000004</v>
      </c>
    </row>
    <row r="14" spans="2:6" x14ac:dyDescent="0.15">
      <c r="B14" s="254" t="s">
        <v>130</v>
      </c>
      <c r="C14" s="251" t="s">
        <v>134</v>
      </c>
      <c r="D14" s="253">
        <v>0.8</v>
      </c>
      <c r="E14" s="263">
        <f>0.03*1000</f>
        <v>30</v>
      </c>
      <c r="F14" s="260">
        <f t="shared" si="1"/>
        <v>24</v>
      </c>
    </row>
    <row r="15" spans="2:6" x14ac:dyDescent="0.15">
      <c r="B15" s="254" t="s">
        <v>137</v>
      </c>
      <c r="C15" s="251" t="s">
        <v>140</v>
      </c>
      <c r="D15" s="253">
        <v>3</v>
      </c>
      <c r="E15" s="263">
        <f>0.02*1000</f>
        <v>20</v>
      </c>
      <c r="F15" s="260">
        <f t="shared" si="1"/>
        <v>60</v>
      </c>
    </row>
    <row r="16" spans="2:6" x14ac:dyDescent="0.15">
      <c r="B16" s="254" t="s">
        <v>138</v>
      </c>
      <c r="C16" s="251" t="s">
        <v>140</v>
      </c>
      <c r="D16" s="253">
        <v>1</v>
      </c>
      <c r="E16" s="263">
        <f>0.045*1000</f>
        <v>45</v>
      </c>
      <c r="F16" s="260">
        <f t="shared" si="1"/>
        <v>45</v>
      </c>
    </row>
    <row r="17" spans="2:6" ht="20" thickBot="1" x14ac:dyDescent="0.2">
      <c r="B17" s="255"/>
      <c r="C17" s="261"/>
      <c r="D17" s="261"/>
      <c r="E17" s="261"/>
      <c r="F17" s="262">
        <f>SUM(F12:F16)</f>
        <v>187.3</v>
      </c>
    </row>
    <row r="18" spans="2:6" x14ac:dyDescent="0.15">
      <c r="F18" s="259"/>
    </row>
    <row r="19" spans="2:6" x14ac:dyDescent="0.15">
      <c r="F19" s="259"/>
    </row>
    <row r="20" spans="2:6" x14ac:dyDescent="0.15">
      <c r="F20" s="259"/>
    </row>
    <row r="21" spans="2:6" x14ac:dyDescent="0.15">
      <c r="B21" s="252" t="s">
        <v>160</v>
      </c>
      <c r="F21" s="259"/>
    </row>
    <row r="22" spans="2:6" ht="20" thickBot="1" x14ac:dyDescent="0.2">
      <c r="F22" s="259"/>
    </row>
    <row r="23" spans="2:6" x14ac:dyDescent="0.15">
      <c r="B23" s="265"/>
      <c r="C23" s="470" t="s">
        <v>59</v>
      </c>
      <c r="D23" s="471"/>
      <c r="F23" s="259"/>
    </row>
    <row r="24" spans="2:6" ht="38" customHeight="1" x14ac:dyDescent="0.15">
      <c r="B24" s="336"/>
      <c r="C24" s="264" t="s">
        <v>144</v>
      </c>
      <c r="D24" s="258" t="s">
        <v>145</v>
      </c>
      <c r="F24" s="259"/>
    </row>
    <row r="25" spans="2:6" x14ac:dyDescent="0.15">
      <c r="B25" s="254" t="s">
        <v>128</v>
      </c>
      <c r="C25" s="337">
        <v>30</v>
      </c>
      <c r="D25" s="289">
        <v>45000</v>
      </c>
      <c r="F25" s="259"/>
    </row>
    <row r="26" spans="2:6" x14ac:dyDescent="0.15">
      <c r="B26" s="254" t="s">
        <v>129</v>
      </c>
      <c r="C26" s="337">
        <v>15</v>
      </c>
      <c r="D26" s="289">
        <v>60000</v>
      </c>
      <c r="F26" s="259"/>
    </row>
    <row r="27" spans="2:6" x14ac:dyDescent="0.15">
      <c r="B27" s="254" t="s">
        <v>130</v>
      </c>
      <c r="C27" s="337">
        <v>15</v>
      </c>
      <c r="D27" s="289">
        <v>62800</v>
      </c>
      <c r="F27" s="259"/>
    </row>
    <row r="28" spans="2:6" x14ac:dyDescent="0.15">
      <c r="B28" s="254" t="s">
        <v>79</v>
      </c>
      <c r="C28" s="337">
        <v>30</v>
      </c>
      <c r="D28" s="289">
        <v>3500</v>
      </c>
      <c r="F28" s="259"/>
    </row>
    <row r="29" spans="2:6" x14ac:dyDescent="0.15">
      <c r="B29" s="254" t="s">
        <v>136</v>
      </c>
      <c r="C29" s="337">
        <v>30</v>
      </c>
      <c r="D29" s="289">
        <v>7777.78</v>
      </c>
      <c r="F29" s="259"/>
    </row>
    <row r="30" spans="2:6" x14ac:dyDescent="0.15">
      <c r="B30" s="254" t="s">
        <v>137</v>
      </c>
      <c r="C30" s="337">
        <v>30</v>
      </c>
      <c r="D30" s="289">
        <v>21000</v>
      </c>
      <c r="F30" s="259"/>
    </row>
    <row r="31" spans="2:6" ht="20" thickBot="1" x14ac:dyDescent="0.2">
      <c r="B31" s="255" t="s">
        <v>138</v>
      </c>
      <c r="C31" s="338">
        <v>30</v>
      </c>
      <c r="D31" s="290">
        <v>3500</v>
      </c>
      <c r="F31" s="259"/>
    </row>
    <row r="32" spans="2:6" x14ac:dyDescent="0.15">
      <c r="F32" s="259"/>
    </row>
    <row r="33" spans="2:6" x14ac:dyDescent="0.15">
      <c r="F33" s="259"/>
    </row>
    <row r="34" spans="2:6" x14ac:dyDescent="0.15">
      <c r="F34" s="259"/>
    </row>
    <row r="35" spans="2:6" x14ac:dyDescent="0.15">
      <c r="B35" s="252" t="s">
        <v>162</v>
      </c>
      <c r="F35" s="259"/>
    </row>
    <row r="36" spans="2:6" ht="20" thickBot="1" x14ac:dyDescent="0.2">
      <c r="F36" s="259"/>
    </row>
    <row r="37" spans="2:6" x14ac:dyDescent="0.15">
      <c r="B37" s="333"/>
      <c r="C37" s="267" t="s">
        <v>85</v>
      </c>
      <c r="E37" s="259"/>
    </row>
    <row r="38" spans="2:6" x14ac:dyDescent="0.15">
      <c r="B38" s="254" t="s">
        <v>128</v>
      </c>
      <c r="C38" s="334">
        <v>49000</v>
      </c>
      <c r="E38" s="259"/>
    </row>
    <row r="39" spans="2:6" x14ac:dyDescent="0.15">
      <c r="B39" s="254" t="s">
        <v>129</v>
      </c>
      <c r="C39" s="334">
        <v>60000</v>
      </c>
      <c r="E39" s="259"/>
    </row>
    <row r="40" spans="2:6" x14ac:dyDescent="0.15">
      <c r="B40" s="254" t="s">
        <v>130</v>
      </c>
      <c r="C40" s="334">
        <v>62800</v>
      </c>
      <c r="E40" s="259"/>
    </row>
    <row r="41" spans="2:6" x14ac:dyDescent="0.15">
      <c r="B41" s="254" t="s">
        <v>79</v>
      </c>
      <c r="C41" s="334">
        <v>3500</v>
      </c>
      <c r="E41" s="259"/>
    </row>
    <row r="42" spans="2:6" x14ac:dyDescent="0.15">
      <c r="B42" s="254" t="s">
        <v>136</v>
      </c>
      <c r="C42" s="334">
        <v>7000</v>
      </c>
      <c r="E42" s="259"/>
    </row>
    <row r="43" spans="2:6" x14ac:dyDescent="0.15">
      <c r="B43" s="254" t="s">
        <v>137</v>
      </c>
      <c r="C43" s="334">
        <v>21000</v>
      </c>
      <c r="E43" s="259"/>
    </row>
    <row r="44" spans="2:6" ht="20" thickBot="1" x14ac:dyDescent="0.2">
      <c r="B44" s="255" t="s">
        <v>138</v>
      </c>
      <c r="C44" s="335">
        <v>3500</v>
      </c>
      <c r="E44" s="259"/>
    </row>
    <row r="45" spans="2:6" x14ac:dyDescent="0.15">
      <c r="F45" s="259"/>
    </row>
    <row r="46" spans="2:6" x14ac:dyDescent="0.15">
      <c r="F46" s="259"/>
    </row>
    <row r="47" spans="2:6" x14ac:dyDescent="0.15">
      <c r="F47" s="259"/>
    </row>
    <row r="48" spans="2:6" x14ac:dyDescent="0.15">
      <c r="F48" s="259"/>
    </row>
  </sheetData>
  <mergeCells count="5">
    <mergeCell ref="C23:D23"/>
    <mergeCell ref="B3:B4"/>
    <mergeCell ref="C3:F3"/>
    <mergeCell ref="B10:B11"/>
    <mergeCell ref="C10:F10"/>
  </mergeCells>
  <pageMargins left="0.75" right="0.75" top="1" bottom="1" header="0.5" footer="0.5"/>
  <pageSetup paperSize="9" orientation="portrait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B1:I48"/>
  <sheetViews>
    <sheetView showGridLines="0" zoomScale="244" zoomScaleNormal="140" workbookViewId="0">
      <selection activeCell="E5" sqref="E5"/>
    </sheetView>
  </sheetViews>
  <sheetFormatPr baseColWidth="10" defaultColWidth="9.1640625" defaultRowHeight="19" x14ac:dyDescent="0.15"/>
  <cols>
    <col min="1" max="1" width="9.1640625" style="252"/>
    <col min="2" max="2" width="29" style="252" bestFit="1" customWidth="1"/>
    <col min="3" max="3" width="20.6640625" style="252" customWidth="1"/>
    <col min="4" max="4" width="13.1640625" style="252" customWidth="1"/>
    <col min="5" max="5" width="12.33203125" style="252" bestFit="1" customWidth="1"/>
    <col min="6" max="6" width="11.5" style="252" customWidth="1"/>
    <col min="7" max="7" width="2.6640625" style="252" customWidth="1"/>
    <col min="8" max="8" width="9.1640625" style="252" customWidth="1"/>
    <col min="9" max="9" width="11.83203125" style="252" customWidth="1"/>
    <col min="10" max="10" width="2.6640625" style="252" customWidth="1"/>
    <col min="11" max="16384" width="9.1640625" style="252"/>
  </cols>
  <sheetData>
    <row r="1" spans="2:9" x14ac:dyDescent="0.15">
      <c r="B1" s="252" t="s">
        <v>153</v>
      </c>
    </row>
    <row r="2" spans="2:9" ht="20" thickBot="1" x14ac:dyDescent="0.2"/>
    <row r="3" spans="2:9" x14ac:dyDescent="0.15">
      <c r="B3" s="472" t="s">
        <v>131</v>
      </c>
      <c r="C3" s="477" t="s">
        <v>85</v>
      </c>
      <c r="D3" s="478"/>
      <c r="E3" s="478"/>
      <c r="F3" s="479"/>
    </row>
    <row r="4" spans="2:9" x14ac:dyDescent="0.15">
      <c r="B4" s="473"/>
      <c r="C4" s="256" t="s">
        <v>132</v>
      </c>
      <c r="D4" s="257" t="s">
        <v>133</v>
      </c>
      <c r="E4" s="257" t="s">
        <v>141</v>
      </c>
      <c r="F4" s="258" t="s">
        <v>142</v>
      </c>
      <c r="H4" s="251" t="s">
        <v>151</v>
      </c>
      <c r="I4" s="251" t="s">
        <v>152</v>
      </c>
    </row>
    <row r="5" spans="2:9" x14ac:dyDescent="0.15">
      <c r="B5" s="254" t="s">
        <v>128</v>
      </c>
      <c r="C5" s="251" t="s">
        <v>134</v>
      </c>
      <c r="D5" s="253">
        <v>0.75</v>
      </c>
      <c r="E5" s="263">
        <f>0.005*1000</f>
        <v>5</v>
      </c>
      <c r="F5" s="260">
        <f>E5*D5</f>
        <v>3.75</v>
      </c>
    </row>
    <row r="6" spans="2:9" x14ac:dyDescent="0.15">
      <c r="B6" s="254" t="s">
        <v>129</v>
      </c>
      <c r="C6" s="251" t="s">
        <v>134</v>
      </c>
      <c r="D6" s="253">
        <v>1</v>
      </c>
      <c r="E6" s="285">
        <f>'All. 4-5-6'!E6*(1+'Distinta base aggiornata'!I6)</f>
        <v>74.999650000000003</v>
      </c>
      <c r="F6" s="260">
        <f t="shared" ref="F6:F7" si="0">E6*D6</f>
        <v>74.999650000000003</v>
      </c>
      <c r="I6" s="284">
        <v>-0.05</v>
      </c>
    </row>
    <row r="7" spans="2:9" x14ac:dyDescent="0.15">
      <c r="B7" s="254" t="s">
        <v>130</v>
      </c>
      <c r="C7" s="251" t="s">
        <v>134</v>
      </c>
      <c r="D7" s="253">
        <v>1</v>
      </c>
      <c r="E7" s="263">
        <f>0.03*1000</f>
        <v>30</v>
      </c>
      <c r="F7" s="260">
        <f t="shared" si="0"/>
        <v>30</v>
      </c>
    </row>
    <row r="8" spans="2:9" ht="20" thickBot="1" x14ac:dyDescent="0.2">
      <c r="B8" s="255"/>
      <c r="C8" s="261"/>
      <c r="D8" s="261"/>
      <c r="E8" s="261"/>
      <c r="F8" s="262">
        <f>SUM(F5:F7)</f>
        <v>108.74965</v>
      </c>
    </row>
    <row r="9" spans="2:9" ht="41" customHeight="1" thickBot="1" x14ac:dyDescent="0.2">
      <c r="C9" s="251"/>
      <c r="D9" s="251"/>
      <c r="E9" s="251"/>
      <c r="F9" s="251"/>
    </row>
    <row r="10" spans="2:9" x14ac:dyDescent="0.15">
      <c r="B10" s="472" t="s">
        <v>135</v>
      </c>
      <c r="C10" s="477" t="s">
        <v>85</v>
      </c>
      <c r="D10" s="478"/>
      <c r="E10" s="478"/>
      <c r="F10" s="479"/>
    </row>
    <row r="11" spans="2:9" x14ac:dyDescent="0.15">
      <c r="B11" s="473"/>
      <c r="C11" s="256" t="s">
        <v>132</v>
      </c>
      <c r="D11" s="257" t="s">
        <v>133</v>
      </c>
      <c r="E11" s="257" t="s">
        <v>141</v>
      </c>
      <c r="F11" s="258" t="s">
        <v>142</v>
      </c>
    </row>
    <row r="12" spans="2:9" x14ac:dyDescent="0.15">
      <c r="B12" s="254" t="s">
        <v>79</v>
      </c>
      <c r="C12" s="251" t="s">
        <v>134</v>
      </c>
      <c r="D12" s="253">
        <v>0.5</v>
      </c>
      <c r="E12" s="263">
        <f>0.05*1000</f>
        <v>50</v>
      </c>
      <c r="F12" s="260">
        <f>E12*D12</f>
        <v>25</v>
      </c>
    </row>
    <row r="13" spans="2:9" x14ac:dyDescent="0.15">
      <c r="B13" s="254" t="s">
        <v>136</v>
      </c>
      <c r="C13" s="251" t="s">
        <v>139</v>
      </c>
      <c r="D13" s="287">
        <f>ROUND('All. 4-5-6'!D13*(1+'Distinta base aggiornata'!H13),0)</f>
        <v>2</v>
      </c>
      <c r="E13" s="263">
        <f>0.015*1000</f>
        <v>15</v>
      </c>
      <c r="F13" s="260">
        <f t="shared" ref="F13:F16" si="1">E13*D13</f>
        <v>30</v>
      </c>
      <c r="H13" s="284">
        <v>-0.1</v>
      </c>
    </row>
    <row r="14" spans="2:9" x14ac:dyDescent="0.15">
      <c r="B14" s="254" t="s">
        <v>130</v>
      </c>
      <c r="C14" s="251" t="s">
        <v>134</v>
      </c>
      <c r="D14" s="253">
        <v>0.8</v>
      </c>
      <c r="E14" s="263">
        <f>0.03*1000</f>
        <v>30</v>
      </c>
      <c r="F14" s="260">
        <f t="shared" si="1"/>
        <v>24</v>
      </c>
    </row>
    <row r="15" spans="2:9" x14ac:dyDescent="0.15">
      <c r="B15" s="254" t="s">
        <v>137</v>
      </c>
      <c r="C15" s="251" t="s">
        <v>140</v>
      </c>
      <c r="D15" s="253">
        <v>3</v>
      </c>
      <c r="E15" s="263">
        <f>0.02*1000</f>
        <v>20</v>
      </c>
      <c r="F15" s="260">
        <f t="shared" si="1"/>
        <v>60</v>
      </c>
    </row>
    <row r="16" spans="2:9" x14ac:dyDescent="0.15">
      <c r="B16" s="254" t="s">
        <v>138</v>
      </c>
      <c r="C16" s="251" t="s">
        <v>140</v>
      </c>
      <c r="D16" s="253">
        <v>1</v>
      </c>
      <c r="E16" s="285">
        <f>'All. 4-5-6'!E16+'Distinta base aggiornata'!I16</f>
        <v>50</v>
      </c>
      <c r="F16" s="260">
        <f t="shared" si="1"/>
        <v>50</v>
      </c>
      <c r="I16" s="286">
        <v>5</v>
      </c>
    </row>
    <row r="17" spans="2:8" ht="20" thickBot="1" x14ac:dyDescent="0.2">
      <c r="B17" s="255"/>
      <c r="C17" s="261"/>
      <c r="D17" s="261"/>
      <c r="E17" s="261"/>
      <c r="F17" s="262">
        <f>SUM(F12:F16)</f>
        <v>189</v>
      </c>
    </row>
    <row r="18" spans="2:8" x14ac:dyDescent="0.15">
      <c r="F18" s="259"/>
    </row>
    <row r="19" spans="2:8" x14ac:dyDescent="0.15">
      <c r="F19" s="259"/>
    </row>
    <row r="20" spans="2:8" x14ac:dyDescent="0.15">
      <c r="F20" s="259"/>
    </row>
    <row r="21" spans="2:8" x14ac:dyDescent="0.15">
      <c r="B21" s="252" t="s">
        <v>143</v>
      </c>
      <c r="F21" s="259"/>
    </row>
    <row r="22" spans="2:8" ht="20" thickBot="1" x14ac:dyDescent="0.2">
      <c r="F22" s="259"/>
    </row>
    <row r="23" spans="2:8" x14ac:dyDescent="0.15">
      <c r="B23" s="265"/>
      <c r="C23" s="477" t="s">
        <v>85</v>
      </c>
      <c r="D23" s="479"/>
      <c r="F23" s="259"/>
    </row>
    <row r="24" spans="2:8" ht="38" customHeight="1" x14ac:dyDescent="0.15">
      <c r="B24" s="266"/>
      <c r="C24" s="264" t="s">
        <v>144</v>
      </c>
      <c r="D24" s="258" t="s">
        <v>145</v>
      </c>
      <c r="F24" s="259"/>
    </row>
    <row r="25" spans="2:8" x14ac:dyDescent="0.15">
      <c r="B25" s="254" t="s">
        <v>128</v>
      </c>
      <c r="C25" s="251">
        <v>30</v>
      </c>
      <c r="D25" s="282">
        <v>45000</v>
      </c>
      <c r="F25" s="259"/>
    </row>
    <row r="26" spans="2:8" x14ac:dyDescent="0.15">
      <c r="B26" s="254" t="s">
        <v>129</v>
      </c>
      <c r="C26" s="251">
        <v>15</v>
      </c>
      <c r="D26" s="282">
        <v>60000</v>
      </c>
      <c r="F26" s="259"/>
    </row>
    <row r="27" spans="2:8" x14ac:dyDescent="0.15">
      <c r="B27" s="254" t="s">
        <v>130</v>
      </c>
      <c r="C27" s="251">
        <v>15</v>
      </c>
      <c r="D27" s="282">
        <v>62800</v>
      </c>
      <c r="F27" s="259"/>
    </row>
    <row r="28" spans="2:8" x14ac:dyDescent="0.15">
      <c r="B28" s="254" t="s">
        <v>79</v>
      </c>
      <c r="C28" s="251">
        <v>30</v>
      </c>
      <c r="D28" s="282">
        <v>3500</v>
      </c>
      <c r="F28" s="259"/>
    </row>
    <row r="29" spans="2:8" x14ac:dyDescent="0.15">
      <c r="B29" s="254" t="s">
        <v>136</v>
      </c>
      <c r="C29" s="251">
        <v>30</v>
      </c>
      <c r="D29" s="291">
        <f>'All. 4-5-6'!D29*(1+'Distinta base aggiornata'!H29)</f>
        <v>7000.0019999999995</v>
      </c>
      <c r="F29" s="259"/>
      <c r="H29" s="284">
        <v>-0.1</v>
      </c>
    </row>
    <row r="30" spans="2:8" x14ac:dyDescent="0.15">
      <c r="B30" s="254" t="s">
        <v>137</v>
      </c>
      <c r="C30" s="251">
        <v>30</v>
      </c>
      <c r="D30" s="282">
        <v>21000</v>
      </c>
      <c r="F30" s="259"/>
    </row>
    <row r="31" spans="2:8" ht="20" thickBot="1" x14ac:dyDescent="0.2">
      <c r="B31" s="255" t="s">
        <v>138</v>
      </c>
      <c r="C31" s="261">
        <v>30</v>
      </c>
      <c r="D31" s="283">
        <v>3500</v>
      </c>
      <c r="F31" s="259"/>
    </row>
    <row r="32" spans="2:8" x14ac:dyDescent="0.15">
      <c r="F32" s="259"/>
    </row>
    <row r="33" spans="2:6" x14ac:dyDescent="0.15">
      <c r="F33" s="259"/>
    </row>
    <row r="34" spans="2:6" x14ac:dyDescent="0.15">
      <c r="F34" s="259"/>
    </row>
    <row r="35" spans="2:6" x14ac:dyDescent="0.15">
      <c r="B35" s="252" t="s">
        <v>146</v>
      </c>
      <c r="F35" s="259"/>
    </row>
    <row r="36" spans="2:6" ht="20" thickBot="1" x14ac:dyDescent="0.2">
      <c r="F36" s="259"/>
    </row>
    <row r="37" spans="2:6" x14ac:dyDescent="0.15">
      <c r="B37" s="265"/>
      <c r="C37" s="288" t="s">
        <v>85</v>
      </c>
      <c r="E37" s="259"/>
    </row>
    <row r="38" spans="2:6" x14ac:dyDescent="0.15">
      <c r="B38" s="254" t="s">
        <v>128</v>
      </c>
      <c r="C38" s="282">
        <v>49000</v>
      </c>
      <c r="E38" s="259"/>
    </row>
    <row r="39" spans="2:6" x14ac:dyDescent="0.15">
      <c r="B39" s="254" t="s">
        <v>129</v>
      </c>
      <c r="C39" s="282">
        <v>60000</v>
      </c>
      <c r="E39" s="259"/>
    </row>
    <row r="40" spans="2:6" x14ac:dyDescent="0.15">
      <c r="B40" s="254" t="s">
        <v>130</v>
      </c>
      <c r="C40" s="282">
        <v>62800</v>
      </c>
      <c r="E40" s="259"/>
    </row>
    <row r="41" spans="2:6" x14ac:dyDescent="0.15">
      <c r="B41" s="254" t="s">
        <v>79</v>
      </c>
      <c r="C41" s="282">
        <v>3500</v>
      </c>
      <c r="E41" s="259"/>
    </row>
    <row r="42" spans="2:6" x14ac:dyDescent="0.15">
      <c r="B42" s="254" t="s">
        <v>136</v>
      </c>
      <c r="C42" s="282">
        <v>7000</v>
      </c>
      <c r="E42" s="259"/>
    </row>
    <row r="43" spans="2:6" x14ac:dyDescent="0.15">
      <c r="B43" s="254" t="s">
        <v>137</v>
      </c>
      <c r="C43" s="282">
        <v>21000</v>
      </c>
      <c r="E43" s="259"/>
    </row>
    <row r="44" spans="2:6" ht="20" thickBot="1" x14ac:dyDescent="0.2">
      <c r="B44" s="255" t="s">
        <v>138</v>
      </c>
      <c r="C44" s="283">
        <v>3500</v>
      </c>
      <c r="E44" s="259"/>
    </row>
    <row r="45" spans="2:6" x14ac:dyDescent="0.15">
      <c r="F45" s="259"/>
    </row>
    <row r="46" spans="2:6" x14ac:dyDescent="0.15">
      <c r="F46" s="259"/>
    </row>
    <row r="47" spans="2:6" x14ac:dyDescent="0.15">
      <c r="F47" s="259"/>
    </row>
    <row r="48" spans="2:6" x14ac:dyDescent="0.15">
      <c r="F48" s="259"/>
    </row>
  </sheetData>
  <mergeCells count="5">
    <mergeCell ref="C3:F3"/>
    <mergeCell ref="B3:B4"/>
    <mergeCell ref="B10:B11"/>
    <mergeCell ref="C10:F10"/>
    <mergeCell ref="C23:D23"/>
  </mergeCells>
  <phoneticPr fontId="4" type="noConversion"/>
  <pageMargins left="0.75" right="0.75" top="1" bottom="1" header="0.5" footer="0.5"/>
  <pageSetup paperSize="9" scale="67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31A5-BAFB-DE47-BE8E-D3BC4B9059E2}">
  <dimension ref="B1:P52"/>
  <sheetViews>
    <sheetView showGridLines="0" zoomScale="182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1" sqref="C11"/>
    </sheetView>
  </sheetViews>
  <sheetFormatPr baseColWidth="10" defaultRowHeight="13" x14ac:dyDescent="0.15"/>
  <cols>
    <col min="2" max="2" width="37.33203125" customWidth="1"/>
    <col min="3" max="15" width="16.5" customWidth="1"/>
  </cols>
  <sheetData>
    <row r="1" spans="2:15" ht="14" thickBot="1" x14ac:dyDescent="0.2"/>
    <row r="2" spans="2:15" ht="16" x14ac:dyDescent="0.15">
      <c r="B2" s="222"/>
      <c r="C2" s="402" t="s">
        <v>85</v>
      </c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4"/>
    </row>
    <row r="3" spans="2:15" ht="16" x14ac:dyDescent="0.15">
      <c r="B3" s="231"/>
      <c r="C3" s="229" t="s">
        <v>100</v>
      </c>
      <c r="D3" s="229" t="s">
        <v>101</v>
      </c>
      <c r="E3" s="229" t="s">
        <v>102</v>
      </c>
      <c r="F3" s="229" t="s">
        <v>103</v>
      </c>
      <c r="G3" s="229" t="s">
        <v>104</v>
      </c>
      <c r="H3" s="389" t="s">
        <v>105</v>
      </c>
      <c r="I3" s="229" t="s">
        <v>106</v>
      </c>
      <c r="J3" s="229" t="s">
        <v>107</v>
      </c>
      <c r="K3" s="229" t="s">
        <v>108</v>
      </c>
      <c r="L3" s="229" t="s">
        <v>109</v>
      </c>
      <c r="M3" s="229" t="s">
        <v>110</v>
      </c>
      <c r="N3" s="229" t="s">
        <v>111</v>
      </c>
      <c r="O3" s="234" t="s">
        <v>68</v>
      </c>
    </row>
    <row r="4" spans="2:15" ht="16" x14ac:dyDescent="0.15">
      <c r="B4" s="268"/>
      <c r="C4" s="100"/>
      <c r="D4" s="100"/>
      <c r="E4" s="100"/>
      <c r="F4" s="100"/>
      <c r="G4" s="100"/>
      <c r="H4" s="390"/>
      <c r="I4" s="100"/>
      <c r="J4" s="100"/>
      <c r="K4" s="100"/>
      <c r="L4" s="100"/>
      <c r="M4" s="100"/>
      <c r="N4" s="100"/>
      <c r="O4" s="230"/>
    </row>
    <row r="5" spans="2:15" ht="16" x14ac:dyDescent="0.15">
      <c r="B5" s="378" t="s">
        <v>209</v>
      </c>
      <c r="C5" s="269">
        <f>'Tab 4 v2'!C15</f>
        <v>53085.140425531914</v>
      </c>
      <c r="D5" s="269">
        <f>'Tab 4 v2'!D15</f>
        <v>60115.491160451427</v>
      </c>
      <c r="E5" s="269">
        <f>'Tab 4 v2'!E15</f>
        <v>67407.192253488931</v>
      </c>
      <c r="F5" s="269">
        <f>'Tab 4 v2'!F15</f>
        <v>61932.663829787234</v>
      </c>
      <c r="G5" s="269">
        <f>'Tab 4 v2'!G15</f>
        <v>61932.663829787227</v>
      </c>
      <c r="H5" s="391">
        <f>'Tab 4 v2'!H15</f>
        <v>64881.83829787228</v>
      </c>
      <c r="I5" s="269">
        <f>'Tab 4 v2'!I15</f>
        <v>57041.838297872338</v>
      </c>
      <c r="J5" s="269">
        <f>'Tab 4 v2'!J15</f>
        <v>35390.093617021274</v>
      </c>
      <c r="K5" s="269">
        <f>'Tab 4 v2'!K15</f>
        <v>61002.600772020145</v>
      </c>
      <c r="L5" s="269">
        <f>'Tab 4 v2'!L15</f>
        <v>53809.840677835746</v>
      </c>
      <c r="M5" s="269">
        <f>'Tab 4 v2'!M15</f>
        <v>61932.663829787227</v>
      </c>
      <c r="N5" s="269">
        <f>'Tab 4 v2'!N15</f>
        <v>27550.093617021277</v>
      </c>
      <c r="O5" s="346">
        <f>SUM(C5:N5)</f>
        <v>666082.12060847704</v>
      </c>
    </row>
    <row r="6" spans="2:15" ht="16" x14ac:dyDescent="0.15">
      <c r="B6" s="135"/>
      <c r="C6" s="100"/>
      <c r="D6" s="100"/>
      <c r="E6" s="100"/>
      <c r="F6" s="100"/>
      <c r="G6" s="100"/>
      <c r="H6" s="390"/>
      <c r="I6" s="100"/>
      <c r="J6" s="100"/>
      <c r="K6" s="100"/>
      <c r="L6" s="100"/>
      <c r="M6" s="100"/>
      <c r="N6" s="100"/>
      <c r="O6" s="230"/>
    </row>
    <row r="7" spans="2:15" ht="16" x14ac:dyDescent="0.15">
      <c r="B7" s="232" t="s">
        <v>210</v>
      </c>
      <c r="C7" s="224">
        <f>'Distinta base aggiornata'!$D5*'Tab. 7'!C$5</f>
        <v>39813.855319148934</v>
      </c>
      <c r="D7" s="224">
        <f>'Distinta base aggiornata'!$D5*'Tab. 7'!D$5</f>
        <v>45086.618370338569</v>
      </c>
      <c r="E7" s="224">
        <f>'Distinta base aggiornata'!$D5*'Tab. 7'!E$5</f>
        <v>50555.394190116698</v>
      </c>
      <c r="F7" s="224">
        <f>'Distinta base aggiornata'!$D5*'Tab. 7'!F$5</f>
        <v>46449.497872340427</v>
      </c>
      <c r="G7" s="224">
        <f>'Distinta base aggiornata'!$D5*'Tab. 7'!G$5</f>
        <v>46449.49787234042</v>
      </c>
      <c r="H7" s="392">
        <f>'Distinta base aggiornata'!$D5*'Tab. 7'!H$5</f>
        <v>48661.37872340421</v>
      </c>
      <c r="I7" s="224">
        <f>'Distinta base aggiornata'!$D5*'Tab. 7'!I$5</f>
        <v>42781.378723404254</v>
      </c>
      <c r="J7" s="224">
        <f>'Distinta base aggiornata'!$D5*'Tab. 7'!J$5</f>
        <v>26542.570212765953</v>
      </c>
      <c r="K7" s="224">
        <f>'Distinta base aggiornata'!$D5*'Tab. 7'!K$5</f>
        <v>45751.950579015109</v>
      </c>
      <c r="L7" s="224">
        <f>'Distinta base aggiornata'!$D5*'Tab. 7'!L$5</f>
        <v>40357.380508376809</v>
      </c>
      <c r="M7" s="224">
        <f>'Distinta base aggiornata'!$D5*'Tab. 7'!M$5</f>
        <v>46449.49787234042</v>
      </c>
      <c r="N7" s="224">
        <f>'Distinta base aggiornata'!$D5*'Tab. 7'!N$5</f>
        <v>20662.570212765957</v>
      </c>
      <c r="O7" s="152">
        <f>SUM(C7:N7)</f>
        <v>499561.59045635775</v>
      </c>
    </row>
    <row r="8" spans="2:15" ht="16" x14ac:dyDescent="0.15">
      <c r="B8" s="232" t="s">
        <v>211</v>
      </c>
      <c r="C8" s="224">
        <f>'Distinta base aggiornata'!$D6*'Tab. 7'!C$5</f>
        <v>53085.140425531914</v>
      </c>
      <c r="D8" s="224">
        <f>'Distinta base aggiornata'!$D6*'Tab. 7'!D$5</f>
        <v>60115.491160451427</v>
      </c>
      <c r="E8" s="224">
        <f>'Distinta base aggiornata'!$D6*'Tab. 7'!E$5</f>
        <v>67407.192253488931</v>
      </c>
      <c r="F8" s="224">
        <f>'Distinta base aggiornata'!$D6*'Tab. 7'!F$5</f>
        <v>61932.663829787234</v>
      </c>
      <c r="G8" s="224">
        <f>'Distinta base aggiornata'!$D6*'Tab. 7'!G$5</f>
        <v>61932.663829787227</v>
      </c>
      <c r="H8" s="392">
        <f>'Distinta base aggiornata'!$D6*'Tab. 7'!H$5</f>
        <v>64881.83829787228</v>
      </c>
      <c r="I8" s="224">
        <f>'Distinta base aggiornata'!$D6*'Tab. 7'!I$5</f>
        <v>57041.838297872338</v>
      </c>
      <c r="J8" s="224">
        <f>'Distinta base aggiornata'!$D6*'Tab. 7'!J$5</f>
        <v>35390.093617021274</v>
      </c>
      <c r="K8" s="224">
        <f>'Distinta base aggiornata'!$D6*'Tab. 7'!K$5</f>
        <v>61002.600772020145</v>
      </c>
      <c r="L8" s="224">
        <f>'Distinta base aggiornata'!$D6*'Tab. 7'!L$5</f>
        <v>53809.840677835746</v>
      </c>
      <c r="M8" s="224">
        <f>'Distinta base aggiornata'!$D6*'Tab. 7'!M$5</f>
        <v>61932.663829787227</v>
      </c>
      <c r="N8" s="224">
        <f>'Distinta base aggiornata'!$D6*'Tab. 7'!N$5</f>
        <v>27550.093617021277</v>
      </c>
      <c r="O8" s="152">
        <f t="shared" ref="O8:O13" si="0">SUM(C8:N8)</f>
        <v>666082.12060847704</v>
      </c>
    </row>
    <row r="9" spans="2:15" ht="16" x14ac:dyDescent="0.15">
      <c r="B9" s="232" t="s">
        <v>212</v>
      </c>
      <c r="C9" s="224">
        <f>'Distinta base aggiornata'!$D7*'Tab. 7'!C$5</f>
        <v>53085.140425531914</v>
      </c>
      <c r="D9" s="224">
        <f>'Distinta base aggiornata'!$D7*'Tab. 7'!D$5</f>
        <v>60115.491160451427</v>
      </c>
      <c r="E9" s="224">
        <f>'Distinta base aggiornata'!$D7*'Tab. 7'!E$5</f>
        <v>67407.192253488931</v>
      </c>
      <c r="F9" s="224">
        <f>'Distinta base aggiornata'!$D7*'Tab. 7'!F$5</f>
        <v>61932.663829787234</v>
      </c>
      <c r="G9" s="224">
        <f>'Distinta base aggiornata'!$D7*'Tab. 7'!G$5</f>
        <v>61932.663829787227</v>
      </c>
      <c r="H9" s="392">
        <f>'Distinta base aggiornata'!$D7*'Tab. 7'!H$5</f>
        <v>64881.83829787228</v>
      </c>
      <c r="I9" s="224">
        <f>'Distinta base aggiornata'!$D7*'Tab. 7'!I$5</f>
        <v>57041.838297872338</v>
      </c>
      <c r="J9" s="224">
        <f>'Distinta base aggiornata'!$D7*'Tab. 7'!J$5</f>
        <v>35390.093617021274</v>
      </c>
      <c r="K9" s="224">
        <f>'Distinta base aggiornata'!$D7*'Tab. 7'!K$5</f>
        <v>61002.600772020145</v>
      </c>
      <c r="L9" s="224">
        <f>'Distinta base aggiornata'!$D7*'Tab. 7'!L$5</f>
        <v>53809.840677835746</v>
      </c>
      <c r="M9" s="224">
        <f>'Distinta base aggiornata'!$D7*'Tab. 7'!M$5</f>
        <v>61932.663829787227</v>
      </c>
      <c r="N9" s="224">
        <f>'Distinta base aggiornata'!$D7*'Tab. 7'!N$5</f>
        <v>27550.093617021277</v>
      </c>
      <c r="O9" s="152">
        <f t="shared" si="0"/>
        <v>666082.12060847704</v>
      </c>
    </row>
    <row r="10" spans="2:15" ht="16" x14ac:dyDescent="0.15">
      <c r="B10" s="232"/>
      <c r="H10" s="371"/>
      <c r="O10" s="152">
        <f t="shared" si="0"/>
        <v>0</v>
      </c>
    </row>
    <row r="11" spans="2:15" ht="16" x14ac:dyDescent="0.15">
      <c r="B11" s="232" t="s">
        <v>213</v>
      </c>
      <c r="C11" s="294">
        <f>C7*'Distinta base aggiornata'!$E5</f>
        <v>199069.27659574465</v>
      </c>
      <c r="D11" s="294">
        <f>D7*'Distinta base aggiornata'!$E5</f>
        <v>225433.09185169285</v>
      </c>
      <c r="E11" s="294">
        <f>E7*'Distinta base aggiornata'!$E5</f>
        <v>252776.97095058349</v>
      </c>
      <c r="F11" s="294">
        <f>F7*'Distinta base aggiornata'!$E5</f>
        <v>232247.48936170214</v>
      </c>
      <c r="G11" s="294">
        <f>G7*'Distinta base aggiornata'!$E5</f>
        <v>232247.48936170212</v>
      </c>
      <c r="H11" s="393">
        <f>H7*'Distinta base aggiornata'!$E5</f>
        <v>243306.89361702104</v>
      </c>
      <c r="I11" s="294">
        <f>I7*'Distinta base aggiornata'!$E5</f>
        <v>213906.89361702127</v>
      </c>
      <c r="J11" s="294">
        <f>J7*'Distinta base aggiornata'!$E5</f>
        <v>132712.85106382976</v>
      </c>
      <c r="K11" s="294">
        <f>K7*'Distinta base aggiornata'!$E5</f>
        <v>228759.75289507554</v>
      </c>
      <c r="L11" s="294">
        <f>L7*'Distinta base aggiornata'!$E5</f>
        <v>201786.90254188405</v>
      </c>
      <c r="M11" s="294">
        <f>M7*'Distinta base aggiornata'!$E5</f>
        <v>232247.48936170212</v>
      </c>
      <c r="N11" s="294">
        <f>N7*'Distinta base aggiornata'!$E5</f>
        <v>103312.85106382979</v>
      </c>
      <c r="O11" s="156">
        <f t="shared" si="0"/>
        <v>2497807.9522817889</v>
      </c>
    </row>
    <row r="12" spans="2:15" ht="16" x14ac:dyDescent="0.15">
      <c r="B12" s="232" t="s">
        <v>214</v>
      </c>
      <c r="C12" s="294">
        <f>C8*'Distinta base aggiornata'!$E6</f>
        <v>3981366.9521157448</v>
      </c>
      <c r="D12" s="294">
        <f>D8*'Distinta base aggiornata'!$E6</f>
        <v>4508640.7966119507</v>
      </c>
      <c r="E12" s="294">
        <f>E8*'Distinta base aggiornata'!$E6</f>
        <v>5055515.8264943808</v>
      </c>
      <c r="F12" s="294">
        <f>F8*'Distinta base aggiornata'!$E6</f>
        <v>4644928.1108017024</v>
      </c>
      <c r="G12" s="294">
        <f>G8*'Distinta base aggiornata'!$E6</f>
        <v>4644928.1108017014</v>
      </c>
      <c r="H12" s="393">
        <f>H8*'Distinta base aggiornata'!$E6</f>
        <v>4866115.1636970174</v>
      </c>
      <c r="I12" s="294">
        <f>I8*'Distinta base aggiornata'!$E6</f>
        <v>4278117.907697021</v>
      </c>
      <c r="J12" s="294">
        <f>J8*'Distinta base aggiornata'!$E6</f>
        <v>2654244.6347438297</v>
      </c>
      <c r="K12" s="294">
        <f>K8*'Distinta base aggiornata'!$E6</f>
        <v>4575173.7069912404</v>
      </c>
      <c r="L12" s="294">
        <f>L8*'Distinta base aggiornata'!$E6</f>
        <v>4035719.2173934439</v>
      </c>
      <c r="M12" s="294">
        <f>M8*'Distinta base aggiornata'!$E6</f>
        <v>4644928.1108017014</v>
      </c>
      <c r="N12" s="294">
        <f>N8*'Distinta base aggiornata'!$E6</f>
        <v>2066247.3787438299</v>
      </c>
      <c r="O12" s="156">
        <f t="shared" si="0"/>
        <v>49955925.916893564</v>
      </c>
    </row>
    <row r="13" spans="2:15" ht="16" x14ac:dyDescent="0.15">
      <c r="B13" s="232" t="s">
        <v>215</v>
      </c>
      <c r="C13" s="294">
        <f>C9*'Distinta base aggiornata'!$E7</f>
        <v>1592554.2127659575</v>
      </c>
      <c r="D13" s="294">
        <f>D9*'Distinta base aggiornata'!$E7</f>
        <v>1803464.7348135428</v>
      </c>
      <c r="E13" s="294">
        <f>E9*'Distinta base aggiornata'!$E7</f>
        <v>2022215.7676046679</v>
      </c>
      <c r="F13" s="294">
        <f>F9*'Distinta base aggiornata'!$E7</f>
        <v>1857979.9148936169</v>
      </c>
      <c r="G13" s="294">
        <f>G9*'Distinta base aggiornata'!$E7</f>
        <v>1857979.9148936169</v>
      </c>
      <c r="H13" s="393">
        <f>H9*'Distinta base aggiornata'!$E7</f>
        <v>1946455.1489361683</v>
      </c>
      <c r="I13" s="294">
        <f>I9*'Distinta base aggiornata'!$E7</f>
        <v>1711255.1489361702</v>
      </c>
      <c r="J13" s="294">
        <f>J9*'Distinta base aggiornata'!$E7</f>
        <v>1061702.8085106383</v>
      </c>
      <c r="K13" s="294">
        <f>K9*'Distinta base aggiornata'!$E7</f>
        <v>1830078.0231606043</v>
      </c>
      <c r="L13" s="294">
        <f>L9*'Distinta base aggiornata'!$E7</f>
        <v>1614295.2203350724</v>
      </c>
      <c r="M13" s="294">
        <f>M9*'Distinta base aggiornata'!$E7</f>
        <v>1857979.9148936169</v>
      </c>
      <c r="N13" s="294">
        <f>N9*'Distinta base aggiornata'!$E7</f>
        <v>826502.80851063831</v>
      </c>
      <c r="O13" s="156">
        <f t="shared" si="0"/>
        <v>19982463.618254311</v>
      </c>
    </row>
    <row r="14" spans="2:15" ht="17" thickBot="1" x14ac:dyDescent="0.2">
      <c r="B14" s="380" t="s">
        <v>228</v>
      </c>
      <c r="C14" s="381">
        <f>SUM(C11:C13)</f>
        <v>5772990.4414774468</v>
      </c>
      <c r="D14" s="381">
        <f>SUM(D11:D13)</f>
        <v>6537538.6232771864</v>
      </c>
      <c r="E14" s="381">
        <f t="shared" ref="E14:O14" si="1">SUM(E11:E13)</f>
        <v>7330508.5650496325</v>
      </c>
      <c r="F14" s="381">
        <f t="shared" si="1"/>
        <v>6735155.5150570218</v>
      </c>
      <c r="G14" s="381">
        <f t="shared" si="1"/>
        <v>6735155.5150570208</v>
      </c>
      <c r="H14" s="394">
        <f t="shared" si="1"/>
        <v>7055877.2062502066</v>
      </c>
      <c r="I14" s="381">
        <f t="shared" si="1"/>
        <v>6203279.9502502121</v>
      </c>
      <c r="J14" s="381">
        <f t="shared" si="1"/>
        <v>3848660.2943182979</v>
      </c>
      <c r="K14" s="381">
        <f t="shared" si="1"/>
        <v>6634011.483046921</v>
      </c>
      <c r="L14" s="381">
        <f t="shared" si="1"/>
        <v>5851801.3402704</v>
      </c>
      <c r="M14" s="381">
        <f t="shared" si="1"/>
        <v>6735155.5150570208</v>
      </c>
      <c r="N14" s="381">
        <f t="shared" si="1"/>
        <v>2996063.0383182978</v>
      </c>
      <c r="O14" s="382">
        <f t="shared" si="1"/>
        <v>72436197.487429664</v>
      </c>
    </row>
    <row r="15" spans="2:15" ht="14" thickBot="1" x14ac:dyDescent="0.2"/>
    <row r="16" spans="2:15" ht="17" thickBot="1" x14ac:dyDescent="0.2">
      <c r="B16" s="383" t="s">
        <v>216</v>
      </c>
      <c r="C16" s="384">
        <f>C14/C5</f>
        <v>108.74965</v>
      </c>
      <c r="D16" s="384">
        <f t="shared" ref="D16:O16" si="2">D14/D5</f>
        <v>108.74965</v>
      </c>
      <c r="E16" s="384">
        <f t="shared" si="2"/>
        <v>108.74965</v>
      </c>
      <c r="F16" s="384">
        <f t="shared" si="2"/>
        <v>108.74965</v>
      </c>
      <c r="G16" s="384">
        <f t="shared" si="2"/>
        <v>108.74965</v>
      </c>
      <c r="H16" s="395">
        <f t="shared" si="2"/>
        <v>108.74965</v>
      </c>
      <c r="I16" s="384">
        <f t="shared" si="2"/>
        <v>108.74964999999999</v>
      </c>
      <c r="J16" s="384">
        <f t="shared" si="2"/>
        <v>108.74965</v>
      </c>
      <c r="K16" s="384">
        <f t="shared" si="2"/>
        <v>108.74965</v>
      </c>
      <c r="L16" s="384">
        <f t="shared" si="2"/>
        <v>108.74965</v>
      </c>
      <c r="M16" s="384">
        <f t="shared" si="2"/>
        <v>108.74965</v>
      </c>
      <c r="N16" s="384">
        <f t="shared" si="2"/>
        <v>108.74965</v>
      </c>
      <c r="O16" s="385">
        <f t="shared" si="2"/>
        <v>108.74965</v>
      </c>
    </row>
    <row r="18" spans="2:15" ht="14" thickBot="1" x14ac:dyDescent="0.2"/>
    <row r="19" spans="2:15" ht="16" x14ac:dyDescent="0.15">
      <c r="B19" s="222"/>
      <c r="C19" s="402" t="s">
        <v>85</v>
      </c>
      <c r="D19" s="403"/>
      <c r="E19" s="403"/>
      <c r="F19" s="403"/>
      <c r="G19" s="403"/>
      <c r="H19" s="403"/>
      <c r="I19" s="403"/>
      <c r="J19" s="403"/>
      <c r="K19" s="403"/>
      <c r="L19" s="403"/>
      <c r="M19" s="403"/>
      <c r="N19" s="403"/>
      <c r="O19" s="405"/>
    </row>
    <row r="20" spans="2:15" ht="16" x14ac:dyDescent="0.15">
      <c r="B20" s="231"/>
      <c r="C20" s="229" t="s">
        <v>100</v>
      </c>
      <c r="D20" s="229" t="s">
        <v>101</v>
      </c>
      <c r="E20" s="229" t="s">
        <v>102</v>
      </c>
      <c r="F20" s="229" t="s">
        <v>103</v>
      </c>
      <c r="G20" s="229" t="s">
        <v>104</v>
      </c>
      <c r="H20" s="389" t="s">
        <v>105</v>
      </c>
      <c r="I20" s="229" t="s">
        <v>106</v>
      </c>
      <c r="J20" s="229" t="s">
        <v>107</v>
      </c>
      <c r="K20" s="229" t="s">
        <v>108</v>
      </c>
      <c r="L20" s="229" t="s">
        <v>109</v>
      </c>
      <c r="M20" s="229" t="s">
        <v>110</v>
      </c>
      <c r="N20" s="229" t="s">
        <v>111</v>
      </c>
      <c r="O20" s="234" t="s">
        <v>68</v>
      </c>
    </row>
    <row r="21" spans="2:15" ht="16" x14ac:dyDescent="0.15">
      <c r="B21" s="268"/>
      <c r="C21" s="100"/>
      <c r="D21" s="100"/>
      <c r="E21" s="100"/>
      <c r="F21" s="100"/>
      <c r="G21" s="100"/>
      <c r="H21" s="390"/>
      <c r="I21" s="100"/>
      <c r="J21" s="100"/>
      <c r="K21" s="100"/>
      <c r="L21" s="100"/>
      <c r="M21" s="100"/>
      <c r="N21" s="100"/>
      <c r="O21" s="230"/>
    </row>
    <row r="22" spans="2:15" ht="16" x14ac:dyDescent="0.15">
      <c r="B22" s="378" t="s">
        <v>217</v>
      </c>
      <c r="C22" s="269">
        <f>'Tab 4 v2'!C28</f>
        <v>3608.3732687165466</v>
      </c>
      <c r="D22" s="269">
        <f>'Tab 4 v2'!D28</f>
        <v>3741.1687639396141</v>
      </c>
      <c r="E22" s="269">
        <f>'Tab 4 v2'!E28</f>
        <v>3919.3196574605463</v>
      </c>
      <c r="F22" s="269">
        <f>'Tab 4 v2'!F28</f>
        <v>3919.3196574605317</v>
      </c>
      <c r="G22" s="269">
        <f>'Tab 4 v2'!G28</f>
        <v>2503.4253543994564</v>
      </c>
      <c r="H22" s="391">
        <f>'Tab 4 v2'!H28</f>
        <v>4551.6595744680817</v>
      </c>
      <c r="I22" s="269">
        <f>'Tab 4 v2'!I28</f>
        <v>4001.6595744680844</v>
      </c>
      <c r="J22" s="269">
        <f>'Tab 4 v2'!J28</f>
        <v>2482.7234042553191</v>
      </c>
      <c r="K22" s="269">
        <f>'Tab 4 v2'!K28</f>
        <v>3008.4665511662315</v>
      </c>
      <c r="L22" s="269">
        <f>'Tab 4 v2'!L28</f>
        <v>4344.765957446808</v>
      </c>
      <c r="M22" s="269">
        <f>'Tab 4 v2'!M28</f>
        <v>4344.765957446808</v>
      </c>
      <c r="N22" s="269">
        <f>'Tab 4 v2'!N28</f>
        <v>1932.7234042553191</v>
      </c>
      <c r="O22" s="346">
        <f>SUM(C22:N22)</f>
        <v>42358.37112548334</v>
      </c>
    </row>
    <row r="23" spans="2:15" ht="16" x14ac:dyDescent="0.15">
      <c r="B23" s="135"/>
      <c r="C23" s="100"/>
      <c r="D23" s="100"/>
      <c r="E23" s="100"/>
      <c r="F23" s="100"/>
      <c r="G23" s="100"/>
      <c r="H23" s="390"/>
      <c r="I23" s="100"/>
      <c r="J23" s="100"/>
      <c r="K23" s="100"/>
      <c r="L23" s="100"/>
      <c r="M23" s="100"/>
      <c r="N23" s="100"/>
      <c r="O23" s="230"/>
    </row>
    <row r="24" spans="2:15" ht="16" x14ac:dyDescent="0.15">
      <c r="B24" s="232" t="s">
        <v>218</v>
      </c>
      <c r="C24" s="224">
        <f>'Distinta base aggiornata'!$D12*'Tab. 7'!C$22</f>
        <v>1804.1866343582733</v>
      </c>
      <c r="D24" s="224">
        <f>'Distinta base aggiornata'!$D12*'Tab. 7'!D$22</f>
        <v>1870.5843819698071</v>
      </c>
      <c r="E24" s="224">
        <f>'Distinta base aggiornata'!$D12*'Tab. 7'!E$22</f>
        <v>1959.6598287302731</v>
      </c>
      <c r="F24" s="224">
        <f>'Distinta base aggiornata'!$D12*'Tab. 7'!F$22</f>
        <v>1959.6598287302659</v>
      </c>
      <c r="G24" s="224">
        <f>'Distinta base aggiornata'!$D12*'Tab. 7'!G$22</f>
        <v>1251.7126771997282</v>
      </c>
      <c r="H24" s="392">
        <f>'Distinta base aggiornata'!$D12*'Tab. 7'!H$22</f>
        <v>2275.8297872340409</v>
      </c>
      <c r="I24" s="224">
        <f>'Distinta base aggiornata'!$D12*'Tab. 7'!I$22</f>
        <v>2000.8297872340422</v>
      </c>
      <c r="J24" s="224">
        <f>'Distinta base aggiornata'!$D12*'Tab. 7'!J$22</f>
        <v>1241.3617021276596</v>
      </c>
      <c r="K24" s="224">
        <f>'Distinta base aggiornata'!$D12*'Tab. 7'!K$22</f>
        <v>1504.2332755831158</v>
      </c>
      <c r="L24" s="224">
        <f>'Distinta base aggiornata'!$D12*'Tab. 7'!L$22</f>
        <v>2172.382978723404</v>
      </c>
      <c r="M24" s="224">
        <f>'Distinta base aggiornata'!$D12*'Tab. 7'!M$22</f>
        <v>2172.382978723404</v>
      </c>
      <c r="N24" s="224">
        <f>'Distinta base aggiornata'!$D12*'Tab. 7'!N$22</f>
        <v>966.36170212765956</v>
      </c>
      <c r="O24" s="152">
        <f>SUM(C24:N24)</f>
        <v>21179.18556274167</v>
      </c>
    </row>
    <row r="25" spans="2:15" ht="16" x14ac:dyDescent="0.15">
      <c r="B25" s="232" t="s">
        <v>219</v>
      </c>
      <c r="C25" s="224">
        <f>'Distinta base aggiornata'!$D13*'Tab. 7'!C$22</f>
        <v>7216.7465374330932</v>
      </c>
      <c r="D25" s="224">
        <f>'Distinta base aggiornata'!$D13*'Tab. 7'!D$22</f>
        <v>7482.3375278792282</v>
      </c>
      <c r="E25" s="224">
        <f>'Distinta base aggiornata'!$D13*'Tab. 7'!E$22</f>
        <v>7838.6393149210926</v>
      </c>
      <c r="F25" s="224">
        <f>'Distinta base aggiornata'!$D13*'Tab. 7'!F$22</f>
        <v>7838.6393149210635</v>
      </c>
      <c r="G25" s="224">
        <f>'Distinta base aggiornata'!$D13*'Tab. 7'!G$22</f>
        <v>5006.8507087989128</v>
      </c>
      <c r="H25" s="392">
        <f>'Distinta base aggiornata'!$D13*'Tab. 7'!H$22</f>
        <v>9103.3191489361634</v>
      </c>
      <c r="I25" s="224">
        <f>'Distinta base aggiornata'!$D13*'Tab. 7'!I$22</f>
        <v>8003.3191489361689</v>
      </c>
      <c r="J25" s="224">
        <f>'Distinta base aggiornata'!$D13*'Tab. 7'!J$22</f>
        <v>4965.4468085106382</v>
      </c>
      <c r="K25" s="224">
        <f>'Distinta base aggiornata'!$D13*'Tab. 7'!K$22</f>
        <v>6016.933102332463</v>
      </c>
      <c r="L25" s="224">
        <f>'Distinta base aggiornata'!$D13*'Tab. 7'!L$22</f>
        <v>8689.531914893616</v>
      </c>
      <c r="M25" s="224">
        <f>'Distinta base aggiornata'!$D13*'Tab. 7'!M$22</f>
        <v>8689.531914893616</v>
      </c>
      <c r="N25" s="224">
        <f>'Distinta base aggiornata'!$D13*'Tab. 7'!N$22</f>
        <v>3865.4468085106382</v>
      </c>
      <c r="O25" s="152">
        <f t="shared" ref="O25:O34" si="3">SUM(C25:N25)</f>
        <v>84716.742250966679</v>
      </c>
    </row>
    <row r="26" spans="2:15" ht="16" x14ac:dyDescent="0.15">
      <c r="B26" s="232" t="s">
        <v>212</v>
      </c>
      <c r="C26" s="224">
        <f>'Distinta base aggiornata'!$D14*'Tab. 7'!C$22</f>
        <v>2886.6986149732375</v>
      </c>
      <c r="D26" s="224">
        <f>'Distinta base aggiornata'!$D14*'Tab. 7'!D$22</f>
        <v>2992.9350111516915</v>
      </c>
      <c r="E26" s="224">
        <f>'Distinta base aggiornata'!$D14*'Tab. 7'!E$22</f>
        <v>3135.455725968437</v>
      </c>
      <c r="F26" s="224">
        <f>'Distinta base aggiornata'!$D14*'Tab. 7'!F$22</f>
        <v>3135.4557259684257</v>
      </c>
      <c r="G26" s="224">
        <f>'Distinta base aggiornata'!$D14*'Tab. 7'!G$22</f>
        <v>2002.7402835195653</v>
      </c>
      <c r="H26" s="392">
        <f>'Distinta base aggiornata'!$D14*'Tab. 7'!H$22</f>
        <v>3641.3276595744655</v>
      </c>
      <c r="I26" s="224">
        <f>'Distinta base aggiornata'!$D14*'Tab. 7'!I$22</f>
        <v>3201.3276595744678</v>
      </c>
      <c r="J26" s="224">
        <f>'Distinta base aggiornata'!$D14*'Tab. 7'!J$22</f>
        <v>1986.1787234042554</v>
      </c>
      <c r="K26" s="224">
        <f>'Distinta base aggiornata'!$D14*'Tab. 7'!K$22</f>
        <v>2406.7732409329851</v>
      </c>
      <c r="L26" s="224">
        <f>'Distinta base aggiornata'!$D14*'Tab. 7'!L$22</f>
        <v>3475.8127659574466</v>
      </c>
      <c r="M26" s="224">
        <f>'Distinta base aggiornata'!$D14*'Tab. 7'!M$22</f>
        <v>3475.8127659574466</v>
      </c>
      <c r="N26" s="224">
        <f>'Distinta base aggiornata'!$D14*'Tab. 7'!N$22</f>
        <v>1546.1787234042554</v>
      </c>
      <c r="O26" s="152">
        <f t="shared" si="3"/>
        <v>33886.696900386676</v>
      </c>
    </row>
    <row r="27" spans="2:15" ht="16" x14ac:dyDescent="0.15">
      <c r="B27" s="232" t="s">
        <v>220</v>
      </c>
      <c r="C27" s="224">
        <f>'Distinta base aggiornata'!$D15*'Tab. 7'!C$22</f>
        <v>10825.11980614964</v>
      </c>
      <c r="D27" s="224">
        <f>'Distinta base aggiornata'!$D15*'Tab. 7'!D$22</f>
        <v>11223.506291818841</v>
      </c>
      <c r="E27" s="224">
        <f>'Distinta base aggiornata'!$D15*'Tab. 7'!E$22</f>
        <v>11757.958972381639</v>
      </c>
      <c r="F27" s="224">
        <f>'Distinta base aggiornata'!$D15*'Tab. 7'!F$22</f>
        <v>11757.958972381595</v>
      </c>
      <c r="G27" s="224">
        <f>'Distinta base aggiornata'!$D15*'Tab. 7'!G$22</f>
        <v>7510.2760631983692</v>
      </c>
      <c r="H27" s="392">
        <f>'Distinta base aggiornata'!$D15*'Tab. 7'!H$22</f>
        <v>13654.978723404245</v>
      </c>
      <c r="I27" s="224">
        <f>'Distinta base aggiornata'!$D15*'Tab. 7'!I$22</f>
        <v>12004.978723404252</v>
      </c>
      <c r="J27" s="224">
        <f>'Distinta base aggiornata'!$D15*'Tab. 7'!J$22</f>
        <v>7448.1702127659573</v>
      </c>
      <c r="K27" s="224">
        <f>'Distinta base aggiornata'!$D15*'Tab. 7'!K$22</f>
        <v>9025.3996534986945</v>
      </c>
      <c r="L27" s="224">
        <f>'Distinta base aggiornata'!$D15*'Tab. 7'!L$22</f>
        <v>13034.297872340423</v>
      </c>
      <c r="M27" s="224">
        <f>'Distinta base aggiornata'!$D15*'Tab. 7'!M$22</f>
        <v>13034.297872340423</v>
      </c>
      <c r="N27" s="224">
        <f>'Distinta base aggiornata'!$D15*'Tab. 7'!N$22</f>
        <v>5798.1702127659573</v>
      </c>
      <c r="O27" s="152">
        <f t="shared" si="3"/>
        <v>127075.11337645003</v>
      </c>
    </row>
    <row r="28" spans="2:15" ht="16" x14ac:dyDescent="0.15">
      <c r="B28" s="232" t="s">
        <v>221</v>
      </c>
      <c r="C28" s="224">
        <f>'Distinta base aggiornata'!$D16*'Tab. 7'!C$22</f>
        <v>3608.3732687165466</v>
      </c>
      <c r="D28" s="224">
        <f>'Distinta base aggiornata'!$D16*'Tab. 7'!D$22</f>
        <v>3741.1687639396141</v>
      </c>
      <c r="E28" s="224">
        <f>'Distinta base aggiornata'!$D16*'Tab. 7'!E$22</f>
        <v>3919.3196574605463</v>
      </c>
      <c r="F28" s="224">
        <f>'Distinta base aggiornata'!$D16*'Tab. 7'!F$22</f>
        <v>3919.3196574605317</v>
      </c>
      <c r="G28" s="224">
        <f>'Distinta base aggiornata'!$D16*'Tab. 7'!G$22</f>
        <v>2503.4253543994564</v>
      </c>
      <c r="H28" s="392">
        <f>'Distinta base aggiornata'!$D16*'Tab. 7'!H$22</f>
        <v>4551.6595744680817</v>
      </c>
      <c r="I28" s="224">
        <f>'Distinta base aggiornata'!$D16*'Tab. 7'!I$22</f>
        <v>4001.6595744680844</v>
      </c>
      <c r="J28" s="224">
        <f>'Distinta base aggiornata'!$D16*'Tab. 7'!J$22</f>
        <v>2482.7234042553191</v>
      </c>
      <c r="K28" s="224">
        <f>'Distinta base aggiornata'!$D16*'Tab. 7'!K$22</f>
        <v>3008.4665511662315</v>
      </c>
      <c r="L28" s="224">
        <f>'Distinta base aggiornata'!$D16*'Tab. 7'!L$22</f>
        <v>4344.765957446808</v>
      </c>
      <c r="M28" s="224">
        <f>'Distinta base aggiornata'!$D16*'Tab. 7'!M$22</f>
        <v>4344.765957446808</v>
      </c>
      <c r="N28" s="224">
        <f>'Distinta base aggiornata'!$D16*'Tab. 7'!N$22</f>
        <v>1932.7234042553191</v>
      </c>
      <c r="O28" s="152">
        <f t="shared" si="3"/>
        <v>42358.37112548334</v>
      </c>
    </row>
    <row r="29" spans="2:15" ht="16" x14ac:dyDescent="0.15">
      <c r="B29" s="232"/>
      <c r="H29" s="371"/>
      <c r="O29" s="152"/>
    </row>
    <row r="30" spans="2:15" ht="16" x14ac:dyDescent="0.15">
      <c r="B30" s="232" t="s">
        <v>222</v>
      </c>
      <c r="C30" s="294">
        <f>C24*'Distinta base aggiornata'!$E12</f>
        <v>90209.331717913665</v>
      </c>
      <c r="D30" s="294">
        <f>D24*'Distinta base aggiornata'!$E12</f>
        <v>93529.219098490357</v>
      </c>
      <c r="E30" s="294">
        <f>E24*'Distinta base aggiornata'!$E12</f>
        <v>97982.991436513665</v>
      </c>
      <c r="F30" s="294">
        <f>F24*'Distinta base aggiornata'!$E12</f>
        <v>97982.991436513286</v>
      </c>
      <c r="G30" s="294">
        <f>G24*'Distinta base aggiornata'!$E12</f>
        <v>62585.63385998641</v>
      </c>
      <c r="H30" s="393">
        <f>H24*'Distinta base aggiornata'!$E12</f>
        <v>113791.48936170204</v>
      </c>
      <c r="I30" s="294">
        <f>I24*'Distinta base aggiornata'!$E12</f>
        <v>100041.48936170212</v>
      </c>
      <c r="J30" s="294">
        <f>J24*'Distinta base aggiornata'!$E12</f>
        <v>62068.085106382976</v>
      </c>
      <c r="K30" s="294">
        <f>K24*'Distinta base aggiornata'!$E12</f>
        <v>75211.663779155788</v>
      </c>
      <c r="L30" s="294">
        <f>L24*'Distinta base aggiornata'!$E12</f>
        <v>108619.1489361702</v>
      </c>
      <c r="M30" s="294">
        <f>M24*'Distinta base aggiornata'!$E12</f>
        <v>108619.1489361702</v>
      </c>
      <c r="N30" s="294">
        <f>N24*'Distinta base aggiornata'!$E12</f>
        <v>48318.085106382976</v>
      </c>
      <c r="O30" s="156">
        <f t="shared" si="3"/>
        <v>1058959.2781370836</v>
      </c>
    </row>
    <row r="31" spans="2:15" ht="16" x14ac:dyDescent="0.15">
      <c r="B31" s="232" t="s">
        <v>223</v>
      </c>
      <c r="C31" s="294">
        <f>C25*'Distinta base aggiornata'!$E13</f>
        <v>108251.1980614964</v>
      </c>
      <c r="D31" s="294">
        <f>D25*'Distinta base aggiornata'!$E13</f>
        <v>112235.06291818843</v>
      </c>
      <c r="E31" s="294">
        <f>E25*'Distinta base aggiornata'!$E13</f>
        <v>117579.58972381639</v>
      </c>
      <c r="F31" s="294">
        <f>F25*'Distinta base aggiornata'!$E13</f>
        <v>117579.58972381595</v>
      </c>
      <c r="G31" s="294">
        <f>G25*'Distinta base aggiornata'!$E13</f>
        <v>75102.760631983692</v>
      </c>
      <c r="H31" s="393">
        <f>H25*'Distinta base aggiornata'!$E13</f>
        <v>136549.78723404245</v>
      </c>
      <c r="I31" s="294">
        <f>I25*'Distinta base aggiornata'!$E13</f>
        <v>120049.78723404254</v>
      </c>
      <c r="J31" s="294">
        <f>J25*'Distinta base aggiornata'!$E13</f>
        <v>74481.702127659577</v>
      </c>
      <c r="K31" s="294">
        <f>K25*'Distinta base aggiornata'!$E13</f>
        <v>90253.996534986945</v>
      </c>
      <c r="L31" s="294">
        <f>L25*'Distinta base aggiornata'!$E13</f>
        <v>130342.97872340425</v>
      </c>
      <c r="M31" s="294">
        <f>M25*'Distinta base aggiornata'!$E13</f>
        <v>130342.97872340425</v>
      </c>
      <c r="N31" s="294">
        <f>N25*'Distinta base aggiornata'!$E13</f>
        <v>57981.702127659577</v>
      </c>
      <c r="O31" s="156">
        <f t="shared" si="3"/>
        <v>1270751.1337645003</v>
      </c>
    </row>
    <row r="32" spans="2:15" ht="16" x14ac:dyDescent="0.15">
      <c r="B32" s="232" t="s">
        <v>215</v>
      </c>
      <c r="C32" s="294">
        <f>C26*'Distinta base aggiornata'!$E14</f>
        <v>86600.958449197118</v>
      </c>
      <c r="D32" s="294">
        <f>D26*'Distinta base aggiornata'!$E14</f>
        <v>89788.050334550746</v>
      </c>
      <c r="E32" s="294">
        <f>E26*'Distinta base aggiornata'!$E14</f>
        <v>94063.671779053111</v>
      </c>
      <c r="F32" s="294">
        <f>F26*'Distinta base aggiornata'!$E14</f>
        <v>94063.671779052776</v>
      </c>
      <c r="G32" s="294">
        <f>G26*'Distinta base aggiornata'!$E14</f>
        <v>60082.208505586961</v>
      </c>
      <c r="H32" s="393">
        <f>H26*'Distinta base aggiornata'!$E14</f>
        <v>109239.82978723396</v>
      </c>
      <c r="I32" s="294">
        <f>I26*'Distinta base aggiornata'!$E14</f>
        <v>96039.829787234034</v>
      </c>
      <c r="J32" s="294">
        <f>J26*'Distinta base aggiornata'!$E14</f>
        <v>59585.361702127659</v>
      </c>
      <c r="K32" s="294">
        <f>K26*'Distinta base aggiornata'!$E14</f>
        <v>72203.197227989556</v>
      </c>
      <c r="L32" s="294">
        <f>L26*'Distinta base aggiornata'!$E14</f>
        <v>104274.3829787234</v>
      </c>
      <c r="M32" s="294">
        <f>M26*'Distinta base aggiornata'!$E14</f>
        <v>104274.3829787234</v>
      </c>
      <c r="N32" s="294">
        <f>N26*'Distinta base aggiornata'!$E14</f>
        <v>46385.361702127659</v>
      </c>
      <c r="O32" s="156">
        <f t="shared" si="3"/>
        <v>1016600.9070116002</v>
      </c>
    </row>
    <row r="33" spans="2:16" ht="16" x14ac:dyDescent="0.15">
      <c r="B33" s="232" t="s">
        <v>224</v>
      </c>
      <c r="C33" s="294">
        <f>C27*'Distinta base aggiornata'!$E15</f>
        <v>216502.3961229928</v>
      </c>
      <c r="D33" s="294">
        <f>D27*'Distinta base aggiornata'!$E15</f>
        <v>224470.12583637683</v>
      </c>
      <c r="E33" s="294">
        <f>E27*'Distinta base aggiornata'!$E15</f>
        <v>235159.17944763278</v>
      </c>
      <c r="F33" s="294">
        <f>F27*'Distinta base aggiornata'!$E15</f>
        <v>235159.1794476319</v>
      </c>
      <c r="G33" s="294">
        <f>G27*'Distinta base aggiornata'!$E15</f>
        <v>150205.52126396738</v>
      </c>
      <c r="H33" s="393">
        <f>H27*'Distinta base aggiornata'!$E15</f>
        <v>273099.5744680849</v>
      </c>
      <c r="I33" s="294">
        <f>I27*'Distinta base aggiornata'!$E15</f>
        <v>240099.57446808505</v>
      </c>
      <c r="J33" s="294">
        <f>J27*'Distinta base aggiornata'!$E15</f>
        <v>148963.40425531915</v>
      </c>
      <c r="K33" s="294">
        <f>K27*'Distinta base aggiornata'!$E15</f>
        <v>180507.99306997389</v>
      </c>
      <c r="L33" s="294">
        <f>L27*'Distinta base aggiornata'!$E15</f>
        <v>260685.95744680846</v>
      </c>
      <c r="M33" s="294">
        <f>M27*'Distinta base aggiornata'!$E15</f>
        <v>260685.95744680846</v>
      </c>
      <c r="N33" s="294">
        <f>N27*'Distinta base aggiornata'!$E15</f>
        <v>115963.40425531915</v>
      </c>
      <c r="O33" s="156">
        <f t="shared" si="3"/>
        <v>2541502.2675290005</v>
      </c>
    </row>
    <row r="34" spans="2:16" ht="16" x14ac:dyDescent="0.15">
      <c r="B34" s="232" t="s">
        <v>225</v>
      </c>
      <c r="C34" s="294">
        <f>C28*'Distinta base aggiornata'!$E16</f>
        <v>180418.66343582733</v>
      </c>
      <c r="D34" s="294">
        <f>D28*'Distinta base aggiornata'!$E16</f>
        <v>187058.43819698071</v>
      </c>
      <c r="E34" s="294">
        <f>E28*'Distinta base aggiornata'!$E16</f>
        <v>195965.98287302733</v>
      </c>
      <c r="F34" s="294">
        <f>F28*'Distinta base aggiornata'!$E16</f>
        <v>195965.98287302657</v>
      </c>
      <c r="G34" s="294">
        <f>G28*'Distinta base aggiornata'!$E16</f>
        <v>125171.26771997282</v>
      </c>
      <c r="H34" s="393">
        <f>H28*'Distinta base aggiornata'!$E16</f>
        <v>227582.97872340409</v>
      </c>
      <c r="I34" s="294">
        <f>I28*'Distinta base aggiornata'!$E16</f>
        <v>200082.97872340423</v>
      </c>
      <c r="J34" s="294">
        <f>J28*'Distinta base aggiornata'!$E16</f>
        <v>124136.17021276595</v>
      </c>
      <c r="K34" s="294">
        <f>K28*'Distinta base aggiornata'!$E16</f>
        <v>150423.32755831158</v>
      </c>
      <c r="L34" s="294">
        <f>L28*'Distinta base aggiornata'!$E16</f>
        <v>217238.29787234039</v>
      </c>
      <c r="M34" s="294">
        <f>M28*'Distinta base aggiornata'!$E16</f>
        <v>217238.29787234039</v>
      </c>
      <c r="N34" s="294">
        <f>N28*'Distinta base aggiornata'!$E16</f>
        <v>96636.170212765952</v>
      </c>
      <c r="O34" s="156">
        <f t="shared" si="3"/>
        <v>2117918.5562741673</v>
      </c>
    </row>
    <row r="35" spans="2:16" ht="17" thickBot="1" x14ac:dyDescent="0.2">
      <c r="B35" s="380" t="s">
        <v>227</v>
      </c>
      <c r="C35" s="381">
        <f t="shared" ref="C35:N35" si="4">SUM(C30:C34)</f>
        <v>681982.54778742732</v>
      </c>
      <c r="D35" s="381">
        <f t="shared" si="4"/>
        <v>707080.89638458705</v>
      </c>
      <c r="E35" s="381">
        <f t="shared" si="4"/>
        <v>740751.41526004323</v>
      </c>
      <c r="F35" s="381">
        <f t="shared" si="4"/>
        <v>740751.41526004043</v>
      </c>
      <c r="G35" s="381">
        <f t="shared" si="4"/>
        <v>473147.39198149723</v>
      </c>
      <c r="H35" s="394">
        <f t="shared" si="4"/>
        <v>860263.65957446746</v>
      </c>
      <c r="I35" s="381">
        <f t="shared" si="4"/>
        <v>756313.65957446792</v>
      </c>
      <c r="J35" s="381">
        <f t="shared" si="4"/>
        <v>469234.72340425535</v>
      </c>
      <c r="K35" s="381">
        <f t="shared" si="4"/>
        <v>568600.17817041767</v>
      </c>
      <c r="L35" s="381">
        <f t="shared" si="4"/>
        <v>821160.76595744665</v>
      </c>
      <c r="M35" s="381">
        <f t="shared" si="4"/>
        <v>821160.76595744665</v>
      </c>
      <c r="N35" s="381">
        <f t="shared" si="4"/>
        <v>365284.72340425535</v>
      </c>
      <c r="O35" s="382">
        <f>SUM(O30:O34)</f>
        <v>8005732.1427163519</v>
      </c>
    </row>
    <row r="36" spans="2:16" ht="14" thickBot="1" x14ac:dyDescent="0.2">
      <c r="H36" s="371"/>
    </row>
    <row r="37" spans="2:16" ht="17" thickBot="1" x14ac:dyDescent="0.2">
      <c r="B37" s="383" t="s">
        <v>216</v>
      </c>
      <c r="C37" s="384">
        <f>C35/C22</f>
        <v>189</v>
      </c>
      <c r="D37" s="384">
        <f t="shared" ref="D37:O37" si="5">D35/D22</f>
        <v>189</v>
      </c>
      <c r="E37" s="384">
        <f t="shared" si="5"/>
        <v>189</v>
      </c>
      <c r="F37" s="384">
        <f t="shared" si="5"/>
        <v>188.99999999999997</v>
      </c>
      <c r="G37" s="384">
        <f t="shared" si="5"/>
        <v>189</v>
      </c>
      <c r="H37" s="395">
        <f t="shared" si="5"/>
        <v>189</v>
      </c>
      <c r="I37" s="384">
        <f t="shared" si="5"/>
        <v>189</v>
      </c>
      <c r="J37" s="384">
        <f t="shared" si="5"/>
        <v>189</v>
      </c>
      <c r="K37" s="384">
        <f t="shared" si="5"/>
        <v>188.99999999999997</v>
      </c>
      <c r="L37" s="384">
        <f t="shared" si="5"/>
        <v>189</v>
      </c>
      <c r="M37" s="384">
        <f t="shared" si="5"/>
        <v>189</v>
      </c>
      <c r="N37" s="384">
        <f t="shared" si="5"/>
        <v>189.00000000000003</v>
      </c>
      <c r="O37" s="385">
        <f t="shared" si="5"/>
        <v>189.00000000000003</v>
      </c>
    </row>
    <row r="39" spans="2:16" ht="14" thickBot="1" x14ac:dyDescent="0.2"/>
    <row r="40" spans="2:16" ht="16" x14ac:dyDescent="0.15">
      <c r="B40" s="377"/>
      <c r="C40" s="403" t="s">
        <v>85</v>
      </c>
      <c r="D40" s="403"/>
      <c r="E40" s="403"/>
      <c r="F40" s="403"/>
      <c r="G40" s="403"/>
      <c r="H40" s="403"/>
      <c r="I40" s="403"/>
      <c r="J40" s="403"/>
      <c r="K40" s="403"/>
      <c r="L40" s="403"/>
      <c r="M40" s="403"/>
      <c r="N40" s="403"/>
      <c r="O40" s="404"/>
      <c r="P40" s="370"/>
    </row>
    <row r="41" spans="2:16" ht="17" thickBot="1" x14ac:dyDescent="0.2">
      <c r="B41" s="231"/>
      <c r="C41" s="229" t="s">
        <v>100</v>
      </c>
      <c r="D41" s="229" t="s">
        <v>101</v>
      </c>
      <c r="E41" s="229" t="s">
        <v>102</v>
      </c>
      <c r="F41" s="229" t="s">
        <v>103</v>
      </c>
      <c r="G41" s="229" t="s">
        <v>104</v>
      </c>
      <c r="H41" s="389" t="s">
        <v>105</v>
      </c>
      <c r="I41" s="229" t="s">
        <v>106</v>
      </c>
      <c r="J41" s="229" t="s">
        <v>107</v>
      </c>
      <c r="K41" s="229" t="s">
        <v>108</v>
      </c>
      <c r="L41" s="229" t="s">
        <v>109</v>
      </c>
      <c r="M41" s="229" t="s">
        <v>110</v>
      </c>
      <c r="N41" s="229" t="s">
        <v>111</v>
      </c>
      <c r="O41" s="396" t="s">
        <v>68</v>
      </c>
    </row>
    <row r="42" spans="2:16" ht="16" x14ac:dyDescent="0.15">
      <c r="B42" s="386" t="s">
        <v>214</v>
      </c>
      <c r="C42" s="387">
        <f t="shared" ref="C42:N42" si="6">C12</f>
        <v>3981366.9521157448</v>
      </c>
      <c r="D42" s="387">
        <f t="shared" si="6"/>
        <v>4508640.7966119507</v>
      </c>
      <c r="E42" s="387">
        <f t="shared" si="6"/>
        <v>5055515.8264943808</v>
      </c>
      <c r="F42" s="387">
        <f t="shared" si="6"/>
        <v>4644928.1108017024</v>
      </c>
      <c r="G42" s="387">
        <f t="shared" si="6"/>
        <v>4644928.1108017014</v>
      </c>
      <c r="H42" s="399">
        <f t="shared" si="6"/>
        <v>4866115.1636970174</v>
      </c>
      <c r="I42" s="387">
        <f t="shared" si="6"/>
        <v>4278117.907697021</v>
      </c>
      <c r="J42" s="387">
        <f t="shared" si="6"/>
        <v>2654244.6347438297</v>
      </c>
      <c r="K42" s="387">
        <f t="shared" si="6"/>
        <v>4575173.7069912404</v>
      </c>
      <c r="L42" s="387">
        <f t="shared" si="6"/>
        <v>4035719.2173934439</v>
      </c>
      <c r="M42" s="387">
        <f t="shared" si="6"/>
        <v>4644928.1108017014</v>
      </c>
      <c r="N42" s="387">
        <f t="shared" si="6"/>
        <v>2066247.3787438299</v>
      </c>
      <c r="O42" s="397">
        <f t="shared" ref="O42:O48" si="7">SUM(C42:N42)</f>
        <v>49955925.916893564</v>
      </c>
    </row>
    <row r="43" spans="2:16" ht="16" x14ac:dyDescent="0.15">
      <c r="B43" s="232" t="s">
        <v>215</v>
      </c>
      <c r="C43" s="294">
        <f t="shared" ref="C43:N43" si="8">C13+C32</f>
        <v>1679155.1712151547</v>
      </c>
      <c r="D43" s="294">
        <f t="shared" si="8"/>
        <v>1893252.7851480935</v>
      </c>
      <c r="E43" s="294">
        <f t="shared" si="8"/>
        <v>2116279.439383721</v>
      </c>
      <c r="F43" s="294">
        <f t="shared" si="8"/>
        <v>1952043.5866726697</v>
      </c>
      <c r="G43" s="294">
        <f t="shared" si="8"/>
        <v>1918062.1233992039</v>
      </c>
      <c r="H43" s="393">
        <f t="shared" si="8"/>
        <v>2055694.9787234021</v>
      </c>
      <c r="I43" s="294">
        <f t="shared" si="8"/>
        <v>1807294.9787234042</v>
      </c>
      <c r="J43" s="294">
        <f t="shared" si="8"/>
        <v>1121288.1702127659</v>
      </c>
      <c r="K43" s="294">
        <f t="shared" si="8"/>
        <v>1902281.2203885939</v>
      </c>
      <c r="L43" s="294">
        <f t="shared" si="8"/>
        <v>1718569.6033137958</v>
      </c>
      <c r="M43" s="294">
        <f t="shared" si="8"/>
        <v>1962254.2978723403</v>
      </c>
      <c r="N43" s="294">
        <f t="shared" si="8"/>
        <v>872888.17021276592</v>
      </c>
      <c r="O43" s="379">
        <f t="shared" si="7"/>
        <v>20999064.525265906</v>
      </c>
    </row>
    <row r="44" spans="2:16" ht="16" x14ac:dyDescent="0.15">
      <c r="B44" s="232" t="s">
        <v>224</v>
      </c>
      <c r="C44" s="294">
        <f t="shared" ref="C44:N44" si="9">C33</f>
        <v>216502.3961229928</v>
      </c>
      <c r="D44" s="294">
        <f t="shared" si="9"/>
        <v>224470.12583637683</v>
      </c>
      <c r="E44" s="294">
        <f t="shared" si="9"/>
        <v>235159.17944763278</v>
      </c>
      <c r="F44" s="294">
        <f t="shared" si="9"/>
        <v>235159.1794476319</v>
      </c>
      <c r="G44" s="294">
        <f t="shared" si="9"/>
        <v>150205.52126396738</v>
      </c>
      <c r="H44" s="393">
        <f t="shared" si="9"/>
        <v>273099.5744680849</v>
      </c>
      <c r="I44" s="294">
        <f t="shared" si="9"/>
        <v>240099.57446808505</v>
      </c>
      <c r="J44" s="294">
        <f t="shared" si="9"/>
        <v>148963.40425531915</v>
      </c>
      <c r="K44" s="294">
        <f t="shared" si="9"/>
        <v>180507.99306997389</v>
      </c>
      <c r="L44" s="294">
        <f t="shared" si="9"/>
        <v>260685.95744680846</v>
      </c>
      <c r="M44" s="294">
        <f t="shared" si="9"/>
        <v>260685.95744680846</v>
      </c>
      <c r="N44" s="294">
        <f t="shared" si="9"/>
        <v>115963.40425531915</v>
      </c>
      <c r="O44" s="379">
        <f>SUM(C44:N44)</f>
        <v>2541502.2675290005</v>
      </c>
    </row>
    <row r="45" spans="2:16" ht="16" x14ac:dyDescent="0.15">
      <c r="B45" s="232" t="s">
        <v>213</v>
      </c>
      <c r="C45" s="294">
        <f t="shared" ref="C45:N45" si="10">C11</f>
        <v>199069.27659574465</v>
      </c>
      <c r="D45" s="294">
        <f t="shared" si="10"/>
        <v>225433.09185169285</v>
      </c>
      <c r="E45" s="294">
        <f t="shared" si="10"/>
        <v>252776.97095058349</v>
      </c>
      <c r="F45" s="294">
        <f t="shared" si="10"/>
        <v>232247.48936170214</v>
      </c>
      <c r="G45" s="294">
        <f t="shared" si="10"/>
        <v>232247.48936170212</v>
      </c>
      <c r="H45" s="393">
        <f t="shared" si="10"/>
        <v>243306.89361702104</v>
      </c>
      <c r="I45" s="294">
        <f t="shared" si="10"/>
        <v>213906.89361702127</v>
      </c>
      <c r="J45" s="294">
        <f t="shared" si="10"/>
        <v>132712.85106382976</v>
      </c>
      <c r="K45" s="294">
        <f t="shared" si="10"/>
        <v>228759.75289507554</v>
      </c>
      <c r="L45" s="294">
        <f t="shared" si="10"/>
        <v>201786.90254188405</v>
      </c>
      <c r="M45" s="294">
        <f t="shared" si="10"/>
        <v>232247.48936170212</v>
      </c>
      <c r="N45" s="294">
        <f t="shared" si="10"/>
        <v>103312.85106382979</v>
      </c>
      <c r="O45" s="379">
        <f>SUM(C45:N45)</f>
        <v>2497807.9522817889</v>
      </c>
    </row>
    <row r="46" spans="2:16" ht="16" x14ac:dyDescent="0.15">
      <c r="B46" s="232" t="s">
        <v>225</v>
      </c>
      <c r="C46" s="294">
        <f t="shared" ref="C46:N46" si="11">C34</f>
        <v>180418.66343582733</v>
      </c>
      <c r="D46" s="294">
        <f t="shared" si="11"/>
        <v>187058.43819698071</v>
      </c>
      <c r="E46" s="294">
        <f t="shared" si="11"/>
        <v>195965.98287302733</v>
      </c>
      <c r="F46" s="294">
        <f t="shared" si="11"/>
        <v>195965.98287302657</v>
      </c>
      <c r="G46" s="294">
        <f t="shared" si="11"/>
        <v>125171.26771997282</v>
      </c>
      <c r="H46" s="393">
        <f t="shared" si="11"/>
        <v>227582.97872340409</v>
      </c>
      <c r="I46" s="294">
        <f t="shared" si="11"/>
        <v>200082.97872340423</v>
      </c>
      <c r="J46" s="294">
        <f t="shared" si="11"/>
        <v>124136.17021276595</v>
      </c>
      <c r="K46" s="294">
        <f t="shared" si="11"/>
        <v>150423.32755831158</v>
      </c>
      <c r="L46" s="294">
        <f t="shared" si="11"/>
        <v>217238.29787234039</v>
      </c>
      <c r="M46" s="294">
        <f t="shared" si="11"/>
        <v>217238.29787234039</v>
      </c>
      <c r="N46" s="294">
        <f t="shared" si="11"/>
        <v>96636.170212765952</v>
      </c>
      <c r="O46" s="379">
        <f>SUM(C46:N46)</f>
        <v>2117918.5562741673</v>
      </c>
    </row>
    <row r="47" spans="2:16" ht="16" x14ac:dyDescent="0.15">
      <c r="B47" s="232" t="s">
        <v>223</v>
      </c>
      <c r="C47" s="294">
        <f t="shared" ref="C47:N47" si="12">C31</f>
        <v>108251.1980614964</v>
      </c>
      <c r="D47" s="294">
        <f t="shared" si="12"/>
        <v>112235.06291818843</v>
      </c>
      <c r="E47" s="294">
        <f t="shared" si="12"/>
        <v>117579.58972381639</v>
      </c>
      <c r="F47" s="294">
        <f t="shared" si="12"/>
        <v>117579.58972381595</v>
      </c>
      <c r="G47" s="294">
        <f t="shared" si="12"/>
        <v>75102.760631983692</v>
      </c>
      <c r="H47" s="393">
        <f t="shared" si="12"/>
        <v>136549.78723404245</v>
      </c>
      <c r="I47" s="294">
        <f t="shared" si="12"/>
        <v>120049.78723404254</v>
      </c>
      <c r="J47" s="294">
        <f t="shared" si="12"/>
        <v>74481.702127659577</v>
      </c>
      <c r="K47" s="294">
        <f t="shared" si="12"/>
        <v>90253.996534986945</v>
      </c>
      <c r="L47" s="294">
        <f t="shared" si="12"/>
        <v>130342.97872340425</v>
      </c>
      <c r="M47" s="294">
        <f t="shared" si="12"/>
        <v>130342.97872340425</v>
      </c>
      <c r="N47" s="294">
        <f t="shared" si="12"/>
        <v>57981.702127659577</v>
      </c>
      <c r="O47" s="379">
        <f>SUM(C47:N47)</f>
        <v>1270751.1337645003</v>
      </c>
    </row>
    <row r="48" spans="2:16" ht="16" x14ac:dyDescent="0.15">
      <c r="B48" s="232" t="s">
        <v>222</v>
      </c>
      <c r="C48" s="294">
        <f>C30</f>
        <v>90209.331717913665</v>
      </c>
      <c r="D48" s="294">
        <f t="shared" ref="D48:N48" si="13">D30</f>
        <v>93529.219098490357</v>
      </c>
      <c r="E48" s="294">
        <f t="shared" si="13"/>
        <v>97982.991436513665</v>
      </c>
      <c r="F48" s="294">
        <f t="shared" si="13"/>
        <v>97982.991436513286</v>
      </c>
      <c r="G48" s="294">
        <f t="shared" si="13"/>
        <v>62585.63385998641</v>
      </c>
      <c r="H48" s="393">
        <f t="shared" si="13"/>
        <v>113791.48936170204</v>
      </c>
      <c r="I48" s="294">
        <f t="shared" si="13"/>
        <v>100041.48936170212</v>
      </c>
      <c r="J48" s="294">
        <f t="shared" si="13"/>
        <v>62068.085106382976</v>
      </c>
      <c r="K48" s="294">
        <f t="shared" si="13"/>
        <v>75211.663779155788</v>
      </c>
      <c r="L48" s="294">
        <f t="shared" si="13"/>
        <v>108619.1489361702</v>
      </c>
      <c r="M48" s="294">
        <f t="shared" si="13"/>
        <v>108619.1489361702</v>
      </c>
      <c r="N48" s="294">
        <f t="shared" si="13"/>
        <v>48318.085106382976</v>
      </c>
      <c r="O48" s="379">
        <f t="shared" si="7"/>
        <v>1058959.2781370836</v>
      </c>
    </row>
    <row r="49" spans="2:15" ht="17" thickBot="1" x14ac:dyDescent="0.2">
      <c r="B49" s="380" t="s">
        <v>226</v>
      </c>
      <c r="C49" s="381">
        <f t="shared" ref="C49:O49" si="14">SUM(C42:C48)</f>
        <v>6454972.9892648738</v>
      </c>
      <c r="D49" s="381">
        <f t="shared" si="14"/>
        <v>7244619.519661773</v>
      </c>
      <c r="E49" s="381">
        <f t="shared" si="14"/>
        <v>8071259.9803096764</v>
      </c>
      <c r="F49" s="381">
        <f t="shared" si="14"/>
        <v>7475906.930317062</v>
      </c>
      <c r="G49" s="381">
        <f t="shared" si="14"/>
        <v>7208302.9070385182</v>
      </c>
      <c r="H49" s="394">
        <f t="shared" si="14"/>
        <v>7916140.8658246743</v>
      </c>
      <c r="I49" s="381">
        <f t="shared" si="14"/>
        <v>6959593.6098246798</v>
      </c>
      <c r="J49" s="381">
        <f t="shared" si="14"/>
        <v>4317895.0177225536</v>
      </c>
      <c r="K49" s="381">
        <f t="shared" si="14"/>
        <v>7202611.6612173384</v>
      </c>
      <c r="L49" s="381">
        <f t="shared" si="14"/>
        <v>6672962.1062278459</v>
      </c>
      <c r="M49" s="381">
        <f t="shared" si="14"/>
        <v>7556316.2810144676</v>
      </c>
      <c r="N49" s="381">
        <f t="shared" si="14"/>
        <v>3361347.7617225535</v>
      </c>
      <c r="O49" s="398">
        <f t="shared" si="14"/>
        <v>80441929.630146012</v>
      </c>
    </row>
    <row r="52" spans="2:15" x14ac:dyDescent="0.15">
      <c r="O52" s="388" t="e">
        <f>+O49-#REF!</f>
        <v>#REF!</v>
      </c>
    </row>
  </sheetData>
  <mergeCells count="3">
    <mergeCell ref="C2:O2"/>
    <mergeCell ref="C19:O19"/>
    <mergeCell ref="C40:O4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B70EB-2C20-7349-B059-1C993E213A2F}">
  <sheetPr codeName="Foglio13">
    <pageSetUpPr fitToPage="1"/>
  </sheetPr>
  <dimension ref="B2:Q69"/>
  <sheetViews>
    <sheetView showGridLines="0" zoomScale="210" zoomScaleNormal="210" workbookViewId="0">
      <selection activeCell="C15" sqref="C15"/>
    </sheetView>
  </sheetViews>
  <sheetFormatPr baseColWidth="10" defaultRowHeight="13" x14ac:dyDescent="0.15"/>
  <cols>
    <col min="2" max="2" width="29" bestFit="1" customWidth="1"/>
    <col min="6" max="15" width="10.83203125" customWidth="1"/>
    <col min="16" max="16" width="2.1640625" customWidth="1"/>
    <col min="17" max="17" width="10.83203125" customWidth="1"/>
  </cols>
  <sheetData>
    <row r="2" spans="2:17" ht="16" x14ac:dyDescent="0.15">
      <c r="B2" s="74" t="s">
        <v>237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</row>
    <row r="3" spans="2:17" x14ac:dyDescent="0.15"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</row>
    <row r="4" spans="2:17" ht="14" thickBot="1" x14ac:dyDescent="0.2"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</row>
    <row r="5" spans="2:17" ht="16" x14ac:dyDescent="0.15">
      <c r="B5" s="222"/>
      <c r="C5" s="402" t="s">
        <v>85</v>
      </c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5"/>
      <c r="Q5" s="278" t="s">
        <v>126</v>
      </c>
    </row>
    <row r="6" spans="2:17" ht="16" x14ac:dyDescent="0.15">
      <c r="B6" s="231"/>
      <c r="C6" s="229" t="s">
        <v>100</v>
      </c>
      <c r="D6" s="229" t="s">
        <v>101</v>
      </c>
      <c r="E6" s="229" t="s">
        <v>102</v>
      </c>
      <c r="F6" s="229" t="s">
        <v>103</v>
      </c>
      <c r="G6" s="229" t="s">
        <v>104</v>
      </c>
      <c r="H6" s="229" t="s">
        <v>105</v>
      </c>
      <c r="I6" s="229" t="s">
        <v>106</v>
      </c>
      <c r="J6" s="229" t="s">
        <v>107</v>
      </c>
      <c r="K6" s="229" t="s">
        <v>108</v>
      </c>
      <c r="L6" s="229" t="s">
        <v>109</v>
      </c>
      <c r="M6" s="229" t="s">
        <v>110</v>
      </c>
      <c r="N6" s="229" t="s">
        <v>111</v>
      </c>
      <c r="O6" s="234" t="s">
        <v>68</v>
      </c>
      <c r="Q6" s="279" t="s">
        <v>100</v>
      </c>
    </row>
    <row r="7" spans="2:17" ht="16" x14ac:dyDescent="0.15">
      <c r="B7" s="268" t="s">
        <v>128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230"/>
      <c r="Q7" s="143"/>
    </row>
    <row r="8" spans="2:17" ht="16" x14ac:dyDescent="0.15">
      <c r="B8" s="270" t="s">
        <v>118</v>
      </c>
      <c r="C8" s="269">
        <f>VLOOKUP(B7,'Distinta base aggiornata'!$B$38:$C$44,2,0)</f>
        <v>49000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230"/>
      <c r="Q8" s="143"/>
    </row>
    <row r="9" spans="2:17" ht="16" x14ac:dyDescent="0.15">
      <c r="B9" s="270" t="s">
        <v>147</v>
      </c>
      <c r="C9" s="269">
        <f>VLOOKUP(B7,'Distinta base aggiornata'!$B$25:$D$31,2,0)</f>
        <v>30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230"/>
      <c r="Q9" s="143"/>
    </row>
    <row r="10" spans="2:17" ht="16" x14ac:dyDescent="0.15">
      <c r="B10" s="270" t="s">
        <v>148</v>
      </c>
      <c r="C10" s="269">
        <f>VLOOKUP(B7,'Distinta base aggiornata'!$B$25:$D$31,3,0)</f>
        <v>45000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230"/>
      <c r="Q10" s="143"/>
    </row>
    <row r="11" spans="2:17" ht="16" x14ac:dyDescent="0.15">
      <c r="B11" s="135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230"/>
      <c r="Q11" s="143"/>
    </row>
    <row r="12" spans="2:17" ht="16" x14ac:dyDescent="0.15">
      <c r="B12" s="135" t="s">
        <v>117</v>
      </c>
      <c r="C12" s="239">
        <f>+C8</f>
        <v>49000</v>
      </c>
      <c r="D12" s="224">
        <f>+C14</f>
        <v>45086.618370338569</v>
      </c>
      <c r="E12" s="224">
        <f t="shared" ref="E12:N12" si="0">+D14</f>
        <v>50555.394190116698</v>
      </c>
      <c r="F12" s="224">
        <f t="shared" si="0"/>
        <v>46449.497872340427</v>
      </c>
      <c r="G12" s="224">
        <f t="shared" si="0"/>
        <v>46449.49787234042</v>
      </c>
      <c r="H12" s="224">
        <f t="shared" si="0"/>
        <v>48661.37872340421</v>
      </c>
      <c r="I12" s="224">
        <f t="shared" si="0"/>
        <v>45000</v>
      </c>
      <c r="J12" s="224">
        <f t="shared" si="0"/>
        <v>45000</v>
      </c>
      <c r="K12" s="224">
        <f t="shared" si="0"/>
        <v>45751.950579015109</v>
      </c>
      <c r="L12" s="224">
        <f t="shared" si="0"/>
        <v>45000</v>
      </c>
      <c r="M12" s="224">
        <f t="shared" si="0"/>
        <v>46449.49787234042</v>
      </c>
      <c r="N12" s="224">
        <f t="shared" si="0"/>
        <v>45000</v>
      </c>
      <c r="O12" s="152"/>
      <c r="Q12" s="280"/>
    </row>
    <row r="13" spans="2:17" ht="16" x14ac:dyDescent="0.15">
      <c r="B13" s="232" t="s">
        <v>149</v>
      </c>
      <c r="C13" s="224">
        <f>IFERROR(VLOOKUP($B7,'Distinta base aggiornata'!$B$5:$D$7,3,0),0)*'Tab 4 v2'!C$15+IFERROR(VLOOKUP($B7,'Distinta base aggiornata'!$B$12:$D$16,3,0),0)*'Tab 4 v2'!C$28</f>
        <v>39813.855319148934</v>
      </c>
      <c r="D13" s="224">
        <f>IFERROR(VLOOKUP($B7,'Distinta base aggiornata'!$B$5:$D$7,3,0),0)*'Tab 4 v2'!D$15+IFERROR(VLOOKUP($B7,'Distinta base aggiornata'!$B$12:$D$16,3,0),0)*'Tab 4 v2'!D$28</f>
        <v>45086.618370338569</v>
      </c>
      <c r="E13" s="224">
        <f>IFERROR(VLOOKUP($B7,'Distinta base aggiornata'!$B$5:$D$7,3,0),0)*'Tab 4 v2'!E$15+IFERROR(VLOOKUP($B7,'Distinta base aggiornata'!$B$12:$D$16,3,0),0)*'Tab 4 v2'!E$28</f>
        <v>50555.394190116698</v>
      </c>
      <c r="F13" s="224">
        <f>IFERROR(VLOOKUP($B7,'Distinta base aggiornata'!$B$5:$D$7,3,0),0)*'Tab 4 v2'!F$15+IFERROR(VLOOKUP($B7,'Distinta base aggiornata'!$B$12:$D$16,3,0),0)*'Tab 4 v2'!F$28</f>
        <v>46449.497872340427</v>
      </c>
      <c r="G13" s="224">
        <f>IFERROR(VLOOKUP($B7,'Distinta base aggiornata'!$B$5:$D$7,3,0),0)*'Tab 4 v2'!G$15+IFERROR(VLOOKUP($B7,'Distinta base aggiornata'!$B$12:$D$16,3,0),0)*'Tab 4 v2'!G$28</f>
        <v>46449.49787234042</v>
      </c>
      <c r="H13" s="224">
        <f>IFERROR(VLOOKUP($B7,'Distinta base aggiornata'!$B$5:$D$7,3,0),0)*'Tab 4 v2'!H$15+IFERROR(VLOOKUP($B7,'Distinta base aggiornata'!$B$12:$D$16,3,0),0)*'Tab 4 v2'!H$28</f>
        <v>48661.37872340421</v>
      </c>
      <c r="I13" s="224">
        <f>IFERROR(VLOOKUP($B7,'Distinta base aggiornata'!$B$5:$D$7,3,0),0)*'Tab 4 v2'!I$15+IFERROR(VLOOKUP($B7,'Distinta base aggiornata'!$B$12:$D$16,3,0),0)*'Tab 4 v2'!I$28</f>
        <v>42781.378723404254</v>
      </c>
      <c r="J13" s="224">
        <f>IFERROR(VLOOKUP($B7,'Distinta base aggiornata'!$B$5:$D$7,3,0),0)*'Tab 4 v2'!J$15+IFERROR(VLOOKUP($B7,'Distinta base aggiornata'!$B$12:$D$16,3,0),0)*'Tab 4 v2'!J$28</f>
        <v>26542.570212765953</v>
      </c>
      <c r="K13" s="224">
        <f>IFERROR(VLOOKUP($B7,'Distinta base aggiornata'!$B$5:$D$7,3,0),0)*'Tab 4 v2'!K$15+IFERROR(VLOOKUP($B7,'Distinta base aggiornata'!$B$12:$D$16,3,0),0)*'Tab 4 v2'!K$28</f>
        <v>45751.950579015109</v>
      </c>
      <c r="L13" s="224">
        <f>IFERROR(VLOOKUP($B7,'Distinta base aggiornata'!$B$5:$D$7,3,0),0)*'Tab 4 v2'!L$15+IFERROR(VLOOKUP($B7,'Distinta base aggiornata'!$B$12:$D$16,3,0),0)*'Tab 4 v2'!L$28</f>
        <v>40357.380508376809</v>
      </c>
      <c r="M13" s="224">
        <f>IFERROR(VLOOKUP($B7,'Distinta base aggiornata'!$B$5:$D$7,3,0),0)*'Tab 4 v2'!M$15+IFERROR(VLOOKUP($B7,'Distinta base aggiornata'!$B$12:$D$16,3,0),0)*'Tab 4 v2'!M$28</f>
        <v>46449.49787234042</v>
      </c>
      <c r="N13" s="224">
        <f>IFERROR(VLOOKUP($B7,'Distinta base aggiornata'!$B$5:$D$7,3,0),0)*'Tab 4 v2'!N$15+IFERROR(VLOOKUP($B7,'Distinta base aggiornata'!$B$12:$D$16,3,0),0)*'Tab 4 v2'!N$28</f>
        <v>20662.570212765957</v>
      </c>
      <c r="O13" s="152">
        <f>SUM(C13:N13)</f>
        <v>499561.59045635775</v>
      </c>
      <c r="Q13" s="280">
        <f>IFERROR(VLOOKUP($B7,'Distinta base aggiornata'!$B$5:$D$7,3,0),0)*'Tab 4 v2'!Q$15+IFERROR(VLOOKUP($B7,'Distinta base aggiornata'!$B$12:$D$16,3,0),0)*'Tab 4 v2'!Q$28</f>
        <v>49223.314925869949</v>
      </c>
    </row>
    <row r="14" spans="2:17" ht="17" thickBot="1" x14ac:dyDescent="0.2">
      <c r="B14" s="232" t="s">
        <v>122</v>
      </c>
      <c r="C14" s="224">
        <f>+IF(D13&gt;=$C10,D13,$C10)</f>
        <v>45086.618370338569</v>
      </c>
      <c r="D14" s="224">
        <f t="shared" ref="D14:G14" si="1">+IF(E13&gt;=$C10,E13,$C10)</f>
        <v>50555.394190116698</v>
      </c>
      <c r="E14" s="224">
        <f t="shared" si="1"/>
        <v>46449.497872340427</v>
      </c>
      <c r="F14" s="224">
        <f t="shared" si="1"/>
        <v>46449.49787234042</v>
      </c>
      <c r="G14" s="224">
        <f t="shared" si="1"/>
        <v>48661.37872340421</v>
      </c>
      <c r="H14" s="224">
        <f>+IF(I13&gt;=$C10,I13,$C10)</f>
        <v>45000</v>
      </c>
      <c r="I14" s="224">
        <f>+IF(J13&gt;=$C10,J13,$C10)</f>
        <v>45000</v>
      </c>
      <c r="J14" s="224">
        <f>+IF(K13&gt;=$C10,K13,$C10)</f>
        <v>45751.950579015109</v>
      </c>
      <c r="K14" s="224">
        <f t="shared" ref="K14" si="2">+IF(L13&gt;=$C10,L13,$C10)</f>
        <v>45000</v>
      </c>
      <c r="L14" s="224">
        <f>+IF(M13&gt;=$C10,M13,$C10)</f>
        <v>46449.49787234042</v>
      </c>
      <c r="M14" s="224">
        <f t="shared" ref="M14" si="3">+IF(N13&gt;=$C10,N13,$C10)</f>
        <v>45000</v>
      </c>
      <c r="N14" s="224">
        <f>+IF(Q13&gt;=$C10,Q13,$C10)</f>
        <v>49223.314925869949</v>
      </c>
      <c r="O14" s="152"/>
      <c r="Q14" s="281"/>
    </row>
    <row r="15" spans="2:17" ht="17" thickBot="1" x14ac:dyDescent="0.2">
      <c r="B15" s="233" t="s">
        <v>150</v>
      </c>
      <c r="C15" s="228">
        <f>(C14-C12+C13)</f>
        <v>35900.473689487502</v>
      </c>
      <c r="D15" s="228">
        <f t="shared" ref="D15:N15" si="4">(D14-D12+D13)</f>
        <v>50555.394190116698</v>
      </c>
      <c r="E15" s="228">
        <f t="shared" si="4"/>
        <v>46449.497872340427</v>
      </c>
      <c r="F15" s="228">
        <f t="shared" si="4"/>
        <v>46449.49787234042</v>
      </c>
      <c r="G15" s="228">
        <f t="shared" si="4"/>
        <v>48661.37872340421</v>
      </c>
      <c r="H15" s="228">
        <f>(H14-H12+H13)</f>
        <v>45000</v>
      </c>
      <c r="I15" s="228">
        <f t="shared" si="4"/>
        <v>42781.378723404254</v>
      </c>
      <c r="J15" s="228">
        <f t="shared" si="4"/>
        <v>27294.520791781062</v>
      </c>
      <c r="K15" s="228">
        <f t="shared" si="4"/>
        <v>45000</v>
      </c>
      <c r="L15" s="228">
        <f t="shared" si="4"/>
        <v>41806.878380717229</v>
      </c>
      <c r="M15" s="228">
        <f t="shared" si="4"/>
        <v>45000</v>
      </c>
      <c r="N15" s="228">
        <f t="shared" si="4"/>
        <v>24885.885138635906</v>
      </c>
      <c r="O15" s="238">
        <f>SUM(C15:N15)</f>
        <v>499784.90538222773</v>
      </c>
    </row>
    <row r="16" spans="2:17" ht="16" x14ac:dyDescent="0.15">
      <c r="B16" s="268" t="s">
        <v>129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230"/>
      <c r="Q16" s="142"/>
    </row>
    <row r="17" spans="2:17" ht="16" x14ac:dyDescent="0.15">
      <c r="B17" s="270" t="s">
        <v>118</v>
      </c>
      <c r="C17" s="269">
        <f>VLOOKUP(B16,'Distinta base aggiornata'!$B$38:$C$44,2,0)</f>
        <v>60000</v>
      </c>
      <c r="D17" s="100"/>
      <c r="E17" s="100"/>
      <c r="F17" s="100"/>
      <c r="G17" s="100"/>
      <c r="H17" s="297"/>
      <c r="I17" s="297"/>
      <c r="J17" s="100"/>
      <c r="K17" s="100"/>
      <c r="L17" s="100"/>
      <c r="M17" s="100"/>
      <c r="N17" s="100"/>
      <c r="O17" s="230"/>
      <c r="Q17" s="143"/>
    </row>
    <row r="18" spans="2:17" ht="16" x14ac:dyDescent="0.15">
      <c r="B18" s="270" t="s">
        <v>147</v>
      </c>
      <c r="C18" s="269">
        <f>VLOOKUP(B16,'Distinta base aggiornata'!$B$25:$D$31,2,0)</f>
        <v>15</v>
      </c>
      <c r="D18" s="100"/>
      <c r="E18" s="100"/>
      <c r="F18" s="100"/>
      <c r="G18" s="100"/>
      <c r="H18" s="297"/>
      <c r="I18" s="100"/>
      <c r="J18" s="100"/>
      <c r="K18" s="100"/>
      <c r="L18" s="100"/>
      <c r="M18" s="100"/>
      <c r="N18" s="100"/>
      <c r="O18" s="230"/>
      <c r="Q18" s="143"/>
    </row>
    <row r="19" spans="2:17" ht="16" x14ac:dyDescent="0.15">
      <c r="B19" s="270" t="s">
        <v>148</v>
      </c>
      <c r="C19" s="269">
        <f>VLOOKUP(B16,'Distinta base aggiornata'!$B$25:$D$31,3,0)</f>
        <v>60000</v>
      </c>
      <c r="D19" s="100"/>
      <c r="E19" s="100"/>
      <c r="F19" s="100"/>
      <c r="G19" s="100"/>
      <c r="H19" s="297"/>
      <c r="I19" s="100"/>
      <c r="J19" s="100"/>
      <c r="K19" s="100"/>
      <c r="L19" s="100"/>
      <c r="M19" s="100"/>
      <c r="N19" s="100"/>
      <c r="O19" s="230"/>
      <c r="Q19" s="143"/>
    </row>
    <row r="20" spans="2:17" ht="16" x14ac:dyDescent="0.15">
      <c r="B20" s="135"/>
      <c r="C20" s="100"/>
      <c r="D20" s="100"/>
      <c r="E20" s="100"/>
      <c r="F20" s="100"/>
      <c r="G20" s="100"/>
      <c r="H20" s="297"/>
      <c r="I20" s="100"/>
      <c r="J20" s="100"/>
      <c r="K20" s="100"/>
      <c r="L20" s="100"/>
      <c r="M20" s="100"/>
      <c r="N20" s="100"/>
      <c r="O20" s="230"/>
      <c r="Q20" s="143"/>
    </row>
    <row r="21" spans="2:17" ht="16" x14ac:dyDescent="0.15">
      <c r="B21" s="135" t="s">
        <v>117</v>
      </c>
      <c r="C21" s="239">
        <f>+C17</f>
        <v>60000</v>
      </c>
      <c r="D21" s="224">
        <f>+C23</f>
        <v>60000</v>
      </c>
      <c r="E21" s="224">
        <f t="shared" ref="E21" si="5">+D23</f>
        <v>60000</v>
      </c>
      <c r="F21" s="224">
        <f t="shared" ref="F21" si="6">+E23</f>
        <v>60000</v>
      </c>
      <c r="G21" s="224">
        <f t="shared" ref="G21" si="7">+F23</f>
        <v>60000</v>
      </c>
      <c r="H21" s="224">
        <f t="shared" ref="H21" si="8">+G23</f>
        <v>60000</v>
      </c>
      <c r="I21" s="224">
        <f t="shared" ref="I21" si="9">+H23</f>
        <v>60000</v>
      </c>
      <c r="J21" s="224">
        <f t="shared" ref="J21" si="10">+I23</f>
        <v>60000</v>
      </c>
      <c r="K21" s="224">
        <f t="shared" ref="K21" si="11">+J23</f>
        <v>60000</v>
      </c>
      <c r="L21" s="224">
        <f t="shared" ref="L21" si="12">+K23</f>
        <v>60000</v>
      </c>
      <c r="M21" s="224">
        <f t="shared" ref="M21" si="13">+L23</f>
        <v>60000</v>
      </c>
      <c r="N21" s="224">
        <f t="shared" ref="N21" si="14">+M23</f>
        <v>60000</v>
      </c>
      <c r="O21" s="152"/>
      <c r="Q21" s="280"/>
    </row>
    <row r="22" spans="2:17" ht="16" x14ac:dyDescent="0.15">
      <c r="B22" s="232" t="s">
        <v>149</v>
      </c>
      <c r="C22" s="224">
        <f>IFERROR(VLOOKUP($B16,'Distinta base aggiornata'!$B$5:$D$7,3,0),0)*'Tab 4 v2'!C$15+IFERROR(VLOOKUP($B16,'Distinta base aggiornata'!$B$12:$D$16,3,0),0)*'Tab 4 v2'!C$28</f>
        <v>53085.140425531914</v>
      </c>
      <c r="D22" s="224">
        <f>IFERROR(VLOOKUP($B16,'Distinta base aggiornata'!$B$5:$D$7,3,0),0)*'Tab 4 v2'!D$15+IFERROR(VLOOKUP($B16,'Distinta base aggiornata'!$B$12:$D$16,3,0),0)*'Tab 4 v2'!D$28</f>
        <v>60115.491160451427</v>
      </c>
      <c r="E22" s="224">
        <f>IFERROR(VLOOKUP($B16,'Distinta base aggiornata'!$B$5:$D$7,3,0),0)*'Tab 4 v2'!E$15+IFERROR(VLOOKUP($B16,'Distinta base aggiornata'!$B$12:$D$16,3,0),0)*'Tab 4 v2'!E$28</f>
        <v>67407.192253488931</v>
      </c>
      <c r="F22" s="224">
        <f>IFERROR(VLOOKUP($B16,'Distinta base aggiornata'!$B$5:$D$7,3,0),0)*'Tab 4 v2'!F$15+IFERROR(VLOOKUP($B16,'Distinta base aggiornata'!$B$12:$D$16,3,0),0)*'Tab 4 v2'!F$28</f>
        <v>61932.663829787234</v>
      </c>
      <c r="G22" s="224">
        <f>IFERROR(VLOOKUP($B16,'Distinta base aggiornata'!$B$5:$D$7,3,0),0)*'Tab 4 v2'!G$15+IFERROR(VLOOKUP($B16,'Distinta base aggiornata'!$B$12:$D$16,3,0),0)*'Tab 4 v2'!G$28</f>
        <v>61932.663829787227</v>
      </c>
      <c r="H22" s="224">
        <f>IFERROR(VLOOKUP($B16,'Distinta base aggiornata'!$B$5:$D$7,3,0),0)*'Tab 4 v2'!H$15+IFERROR(VLOOKUP($B16,'Distinta base aggiornata'!$B$12:$D$16,3,0),0)*'Tab 4 v2'!H$28</f>
        <v>64881.83829787228</v>
      </c>
      <c r="I22" s="224">
        <f>IFERROR(VLOOKUP($B16,'Distinta base aggiornata'!$B$5:$D$7,3,0),0)*'Tab 4 v2'!I$15+IFERROR(VLOOKUP($B16,'Distinta base aggiornata'!$B$12:$D$16,3,0),0)*'Tab 4 v2'!I$28</f>
        <v>57041.838297872338</v>
      </c>
      <c r="J22" s="224">
        <f>IFERROR(VLOOKUP($B16,'Distinta base aggiornata'!$B$5:$D$7,3,0),0)*'Tab 4 v2'!J$15+IFERROR(VLOOKUP($B16,'Distinta base aggiornata'!$B$12:$D$16,3,0),0)*'Tab 4 v2'!J$28</f>
        <v>35390.093617021274</v>
      </c>
      <c r="K22" s="224">
        <f>IFERROR(VLOOKUP($B16,'Distinta base aggiornata'!$B$5:$D$7,3,0),0)*'Tab 4 v2'!K$15+IFERROR(VLOOKUP($B16,'Distinta base aggiornata'!$B$12:$D$16,3,0),0)*'Tab 4 v2'!K$28</f>
        <v>61002.600772020145</v>
      </c>
      <c r="L22" s="224">
        <f>IFERROR(VLOOKUP($B16,'Distinta base aggiornata'!$B$5:$D$7,3,0),0)*'Tab 4 v2'!L$15+IFERROR(VLOOKUP($B16,'Distinta base aggiornata'!$B$12:$D$16,3,0),0)*'Tab 4 v2'!L$28</f>
        <v>53809.840677835746</v>
      </c>
      <c r="M22" s="224">
        <f>IFERROR(VLOOKUP($B16,'Distinta base aggiornata'!$B$5:$D$7,3,0),0)*'Tab 4 v2'!M$15+IFERROR(VLOOKUP($B16,'Distinta base aggiornata'!$B$12:$D$16,3,0),0)*'Tab 4 v2'!M$28</f>
        <v>61932.663829787227</v>
      </c>
      <c r="N22" s="224">
        <f>IFERROR(VLOOKUP($B16,'Distinta base aggiornata'!$B$5:$D$7,3,0),0)*'Tab 4 v2'!N$15+IFERROR(VLOOKUP($B16,'Distinta base aggiornata'!$B$12:$D$16,3,0),0)*'Tab 4 v2'!N$28</f>
        <v>27550.093617021277</v>
      </c>
      <c r="O22" s="152">
        <f>SUM(C22:N22)</f>
        <v>666082.12060847704</v>
      </c>
      <c r="Q22" s="280">
        <f>IFERROR(VLOOKUP($B16,'Distinta base aggiornata'!$B$5:$D$7,3,0),0)*'Tab 4 v2'!Q$15+IFERROR(VLOOKUP($B16,'Distinta base aggiornata'!$B$12:$D$16,3,0),0)*'Tab 4 v2'!Q$28</f>
        <v>65631.086567826598</v>
      </c>
    </row>
    <row r="23" spans="2:17" ht="17" thickBot="1" x14ac:dyDescent="0.2">
      <c r="B23" s="232" t="s">
        <v>122</v>
      </c>
      <c r="C23" s="224">
        <f>+IF(D22/2&gt;=$C19,D22/2,$C19)</f>
        <v>60000</v>
      </c>
      <c r="D23" s="224">
        <f t="shared" ref="D23:M23" si="15">+IF(E22/2&gt;=$C19,E22/2,$C19)</f>
        <v>60000</v>
      </c>
      <c r="E23" s="224">
        <f t="shared" si="15"/>
        <v>60000</v>
      </c>
      <c r="F23" s="224">
        <f t="shared" si="15"/>
        <v>60000</v>
      </c>
      <c r="G23" s="224">
        <f t="shared" si="15"/>
        <v>60000</v>
      </c>
      <c r="H23" s="224">
        <f t="shared" si="15"/>
        <v>60000</v>
      </c>
      <c r="I23" s="224">
        <f t="shared" si="15"/>
        <v>60000</v>
      </c>
      <c r="J23" s="224">
        <f t="shared" si="15"/>
        <v>60000</v>
      </c>
      <c r="K23" s="224">
        <f t="shared" si="15"/>
        <v>60000</v>
      </c>
      <c r="L23" s="224">
        <f t="shared" si="15"/>
        <v>60000</v>
      </c>
      <c r="M23" s="224">
        <f t="shared" si="15"/>
        <v>60000</v>
      </c>
      <c r="N23" s="224">
        <f>+IF(Q22/2&gt;=$C19,Q22/2,$C19)</f>
        <v>60000</v>
      </c>
      <c r="O23" s="152"/>
      <c r="Q23" s="281"/>
    </row>
    <row r="24" spans="2:17" ht="17" thickBot="1" x14ac:dyDescent="0.2">
      <c r="B24" s="233" t="s">
        <v>150</v>
      </c>
      <c r="C24" s="228">
        <f>(C23-C21+C22)</f>
        <v>53085.140425531914</v>
      </c>
      <c r="D24" s="228">
        <f t="shared" ref="D24:N24" si="16">(D23-D21+D22)</f>
        <v>60115.491160451427</v>
      </c>
      <c r="E24" s="228">
        <f t="shared" si="16"/>
        <v>67407.192253488931</v>
      </c>
      <c r="F24" s="228">
        <f t="shared" si="16"/>
        <v>61932.663829787234</v>
      </c>
      <c r="G24" s="228">
        <f t="shared" si="16"/>
        <v>61932.663829787227</v>
      </c>
      <c r="H24" s="228">
        <f t="shared" si="16"/>
        <v>64881.83829787228</v>
      </c>
      <c r="I24" s="228">
        <f t="shared" si="16"/>
        <v>57041.838297872338</v>
      </c>
      <c r="J24" s="228">
        <f t="shared" si="16"/>
        <v>35390.093617021274</v>
      </c>
      <c r="K24" s="228">
        <f t="shared" si="16"/>
        <v>61002.600772020145</v>
      </c>
      <c r="L24" s="228">
        <f t="shared" si="16"/>
        <v>53809.840677835746</v>
      </c>
      <c r="M24" s="228">
        <f t="shared" si="16"/>
        <v>61932.663829787227</v>
      </c>
      <c r="N24" s="228">
        <f t="shared" si="16"/>
        <v>27550.093617021277</v>
      </c>
      <c r="O24" s="238">
        <f>SUM(C24:N24)</f>
        <v>666082.12060847704</v>
      </c>
    </row>
    <row r="25" spans="2:17" ht="16" x14ac:dyDescent="0.15">
      <c r="B25" s="268" t="s">
        <v>130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230"/>
      <c r="Q25" s="142"/>
    </row>
    <row r="26" spans="2:17" ht="16" x14ac:dyDescent="0.15">
      <c r="B26" s="270" t="s">
        <v>118</v>
      </c>
      <c r="C26" s="269">
        <f>VLOOKUP(B25,'Distinta base aggiornata'!$B$38:$C$44,2,0)</f>
        <v>62800</v>
      </c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230"/>
      <c r="Q26" s="143"/>
    </row>
    <row r="27" spans="2:17" ht="16" x14ac:dyDescent="0.15">
      <c r="B27" s="270" t="s">
        <v>147</v>
      </c>
      <c r="C27" s="269">
        <f>VLOOKUP(B25,'Distinta base aggiornata'!$B$25:$D$31,2,0)</f>
        <v>15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230"/>
      <c r="Q27" s="143"/>
    </row>
    <row r="28" spans="2:17" ht="16" x14ac:dyDescent="0.15">
      <c r="B28" s="270" t="s">
        <v>148</v>
      </c>
      <c r="C28" s="269">
        <f>VLOOKUP(B25,'Distinta base aggiornata'!$B$25:$D$31,3,0)</f>
        <v>62800</v>
      </c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230"/>
      <c r="Q28" s="143"/>
    </row>
    <row r="29" spans="2:17" ht="16" x14ac:dyDescent="0.15">
      <c r="B29" s="135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230"/>
      <c r="Q29" s="143"/>
    </row>
    <row r="30" spans="2:17" ht="16" x14ac:dyDescent="0.15">
      <c r="B30" s="135" t="s">
        <v>117</v>
      </c>
      <c r="C30" s="239">
        <f>+C26</f>
        <v>62800</v>
      </c>
      <c r="D30" s="224">
        <f>+C32</f>
        <v>62800</v>
      </c>
      <c r="E30" s="224">
        <f t="shared" ref="E30" si="17">+D32</f>
        <v>62800</v>
      </c>
      <c r="F30" s="224">
        <f t="shared" ref="F30" si="18">+E32</f>
        <v>62800</v>
      </c>
      <c r="G30" s="224">
        <f t="shared" ref="G30" si="19">+F32</f>
        <v>62800</v>
      </c>
      <c r="H30" s="224">
        <f t="shared" ref="H30" si="20">+G32</f>
        <v>62800</v>
      </c>
      <c r="I30" s="224">
        <f t="shared" ref="I30" si="21">+H32</f>
        <v>62800</v>
      </c>
      <c r="J30" s="224">
        <f t="shared" ref="J30" si="22">+I32</f>
        <v>62800</v>
      </c>
      <c r="K30" s="224">
        <f t="shared" ref="K30" si="23">+J32</f>
        <v>62800</v>
      </c>
      <c r="L30" s="224">
        <f t="shared" ref="L30" si="24">+K32</f>
        <v>62800</v>
      </c>
      <c r="M30" s="224">
        <f t="shared" ref="M30" si="25">+L32</f>
        <v>62800</v>
      </c>
      <c r="N30" s="224">
        <f t="shared" ref="N30" si="26">+M32</f>
        <v>62800</v>
      </c>
      <c r="O30" s="152"/>
      <c r="Q30" s="280"/>
    </row>
    <row r="31" spans="2:17" ht="16" x14ac:dyDescent="0.15">
      <c r="B31" s="232" t="s">
        <v>149</v>
      </c>
      <c r="C31" s="224">
        <f>IFERROR(VLOOKUP($B25,'Distinta base aggiornata'!$B$5:$D$7,3,0),0)*'Tab 4 v2'!C$15+IFERROR(VLOOKUP($B25,'Distinta base aggiornata'!$B$12:$D$16,3,0),0)*'Tab 4 v2'!C$28</f>
        <v>55971.839040505154</v>
      </c>
      <c r="D31" s="224">
        <f>IFERROR(VLOOKUP($B25,'Distinta base aggiornata'!$B$5:$D$7,3,0),0)*'Tab 4 v2'!D$15+IFERROR(VLOOKUP($B25,'Distinta base aggiornata'!$B$12:$D$16,3,0),0)*'Tab 4 v2'!D$28</f>
        <v>63108.426171603118</v>
      </c>
      <c r="E31" s="224">
        <f>IFERROR(VLOOKUP($B25,'Distinta base aggiornata'!$B$5:$D$7,3,0),0)*'Tab 4 v2'!E$15+IFERROR(VLOOKUP($B25,'Distinta base aggiornata'!$B$12:$D$16,3,0),0)*'Tab 4 v2'!E$28</f>
        <v>70542.647979457368</v>
      </c>
      <c r="F31" s="224">
        <f>IFERROR(VLOOKUP($B25,'Distinta base aggiornata'!$B$5:$D$7,3,0),0)*'Tab 4 v2'!F$15+IFERROR(VLOOKUP($B25,'Distinta base aggiornata'!$B$12:$D$16,3,0),0)*'Tab 4 v2'!F$28</f>
        <v>65068.119555755657</v>
      </c>
      <c r="G31" s="224">
        <f>IFERROR(VLOOKUP($B25,'Distinta base aggiornata'!$B$5:$D$7,3,0),0)*'Tab 4 v2'!G$15+IFERROR(VLOOKUP($B25,'Distinta base aggiornata'!$B$12:$D$16,3,0),0)*'Tab 4 v2'!G$28</f>
        <v>63935.404113306795</v>
      </c>
      <c r="H31" s="224">
        <f>IFERROR(VLOOKUP($B25,'Distinta base aggiornata'!$B$5:$D$7,3,0),0)*'Tab 4 v2'!H$15+IFERROR(VLOOKUP($B25,'Distinta base aggiornata'!$B$12:$D$16,3,0),0)*'Tab 4 v2'!H$28</f>
        <v>68523.165957446749</v>
      </c>
      <c r="I31" s="224">
        <f>IFERROR(VLOOKUP($B25,'Distinta base aggiornata'!$B$5:$D$7,3,0),0)*'Tab 4 v2'!I$15+IFERROR(VLOOKUP($B25,'Distinta base aggiornata'!$B$12:$D$16,3,0),0)*'Tab 4 v2'!I$28</f>
        <v>60243.165957446807</v>
      </c>
      <c r="J31" s="224">
        <f>IFERROR(VLOOKUP($B25,'Distinta base aggiornata'!$B$5:$D$7,3,0),0)*'Tab 4 v2'!J$15+IFERROR(VLOOKUP($B25,'Distinta base aggiornata'!$B$12:$D$16,3,0),0)*'Tab 4 v2'!J$28</f>
        <v>37376.27234042553</v>
      </c>
      <c r="K31" s="224">
        <f>IFERROR(VLOOKUP($B25,'Distinta base aggiornata'!$B$5:$D$7,3,0),0)*'Tab 4 v2'!K$15+IFERROR(VLOOKUP($B25,'Distinta base aggiornata'!$B$12:$D$16,3,0),0)*'Tab 4 v2'!K$28</f>
        <v>63409.374012953129</v>
      </c>
      <c r="L31" s="224">
        <f>IFERROR(VLOOKUP($B25,'Distinta base aggiornata'!$B$5:$D$7,3,0),0)*'Tab 4 v2'!L$15+IFERROR(VLOOKUP($B25,'Distinta base aggiornata'!$B$12:$D$16,3,0),0)*'Tab 4 v2'!L$28</f>
        <v>57285.653443793191</v>
      </c>
      <c r="M31" s="224">
        <f>IFERROR(VLOOKUP($B25,'Distinta base aggiornata'!$B$5:$D$7,3,0),0)*'Tab 4 v2'!M$15+IFERROR(VLOOKUP($B25,'Distinta base aggiornata'!$B$12:$D$16,3,0),0)*'Tab 4 v2'!M$28</f>
        <v>65408.476595744673</v>
      </c>
      <c r="N31" s="224">
        <f>IFERROR(VLOOKUP($B25,'Distinta base aggiornata'!$B$5:$D$7,3,0),0)*'Tab 4 v2'!N$15+IFERROR(VLOOKUP($B25,'Distinta base aggiornata'!$B$12:$D$16,3,0),0)*'Tab 4 v2'!N$28</f>
        <v>29096.272340425534</v>
      </c>
      <c r="O31" s="152">
        <f>SUM(C31:N31)</f>
        <v>699968.81750886363</v>
      </c>
      <c r="Q31" s="280">
        <f>IFERROR(VLOOKUP($B25,'Distinta base aggiornata'!$B$5:$D$7,3,0),0)*'Tab 4 v2'!Q$15+IFERROR(VLOOKUP($B25,'Distinta base aggiornata'!$B$12:$D$16,3,0),0)*'Tab 4 v2'!Q$28</f>
        <v>68796.347343031084</v>
      </c>
    </row>
    <row r="32" spans="2:17" ht="17" thickBot="1" x14ac:dyDescent="0.2">
      <c r="B32" s="232" t="s">
        <v>122</v>
      </c>
      <c r="C32" s="224">
        <f>+IF(D31/2&gt;=$C28,D31/2,$C28)</f>
        <v>62800</v>
      </c>
      <c r="D32" s="224">
        <f t="shared" ref="D32:M32" si="27">+IF(E31/2&gt;=$C28,E31/2,$C28)</f>
        <v>62800</v>
      </c>
      <c r="E32" s="224">
        <f t="shared" si="27"/>
        <v>62800</v>
      </c>
      <c r="F32" s="224">
        <f t="shared" si="27"/>
        <v>62800</v>
      </c>
      <c r="G32" s="224">
        <f t="shared" si="27"/>
        <v>62800</v>
      </c>
      <c r="H32" s="224">
        <f t="shared" si="27"/>
        <v>62800</v>
      </c>
      <c r="I32" s="224">
        <f t="shared" si="27"/>
        <v>62800</v>
      </c>
      <c r="J32" s="224">
        <f t="shared" si="27"/>
        <v>62800</v>
      </c>
      <c r="K32" s="224">
        <f t="shared" si="27"/>
        <v>62800</v>
      </c>
      <c r="L32" s="224">
        <f t="shared" si="27"/>
        <v>62800</v>
      </c>
      <c r="M32" s="224">
        <f t="shared" si="27"/>
        <v>62800</v>
      </c>
      <c r="N32" s="224">
        <f>+IF(Q31/2&gt;=$C28,Q31/2,$C28)</f>
        <v>62800</v>
      </c>
      <c r="O32" s="152"/>
      <c r="Q32" s="281"/>
    </row>
    <row r="33" spans="2:17" ht="17" thickBot="1" x14ac:dyDescent="0.2">
      <c r="B33" s="233" t="s">
        <v>150</v>
      </c>
      <c r="C33" s="228">
        <f>(C32-C30+C31)</f>
        <v>55971.839040505154</v>
      </c>
      <c r="D33" s="228">
        <f t="shared" ref="D33:N33" si="28">(D32-D30+D31)</f>
        <v>63108.426171603118</v>
      </c>
      <c r="E33" s="228">
        <f t="shared" si="28"/>
        <v>70542.647979457368</v>
      </c>
      <c r="F33" s="228">
        <f t="shared" si="28"/>
        <v>65068.119555755657</v>
      </c>
      <c r="G33" s="228">
        <f t="shared" si="28"/>
        <v>63935.404113306795</v>
      </c>
      <c r="H33" s="228">
        <f t="shared" si="28"/>
        <v>68523.165957446749</v>
      </c>
      <c r="I33" s="228">
        <f t="shared" si="28"/>
        <v>60243.165957446807</v>
      </c>
      <c r="J33" s="228">
        <f t="shared" si="28"/>
        <v>37376.27234042553</v>
      </c>
      <c r="K33" s="228">
        <f t="shared" si="28"/>
        <v>63409.374012953129</v>
      </c>
      <c r="L33" s="228">
        <f t="shared" si="28"/>
        <v>57285.653443793191</v>
      </c>
      <c r="M33" s="228">
        <f t="shared" si="28"/>
        <v>65408.476595744673</v>
      </c>
      <c r="N33" s="228">
        <f t="shared" si="28"/>
        <v>29096.272340425534</v>
      </c>
      <c r="O33" s="238">
        <f>SUM(C33:N33)</f>
        <v>699968.81750886363</v>
      </c>
    </row>
    <row r="34" spans="2:17" ht="16" x14ac:dyDescent="0.15">
      <c r="B34" s="268" t="s">
        <v>79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230"/>
      <c r="Q34" s="142"/>
    </row>
    <row r="35" spans="2:17" ht="16" x14ac:dyDescent="0.15">
      <c r="B35" s="270" t="s">
        <v>118</v>
      </c>
      <c r="C35" s="269">
        <f>VLOOKUP(B34,'Distinta base aggiornata'!$B$38:$C$44,2,0)</f>
        <v>3500</v>
      </c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230"/>
      <c r="Q35" s="143"/>
    </row>
    <row r="36" spans="2:17" ht="16" x14ac:dyDescent="0.15">
      <c r="B36" s="270" t="s">
        <v>147</v>
      </c>
      <c r="C36" s="269">
        <f>VLOOKUP(B34,'Distinta base aggiornata'!$B$25:$D$31,2,0)</f>
        <v>30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230"/>
      <c r="Q36" s="143"/>
    </row>
    <row r="37" spans="2:17" ht="16" x14ac:dyDescent="0.15">
      <c r="B37" s="270" t="s">
        <v>148</v>
      </c>
      <c r="C37" s="269">
        <f>VLOOKUP(B34,'Distinta base aggiornata'!$B$25:$D$31,3,0)</f>
        <v>3500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230"/>
      <c r="Q37" s="143"/>
    </row>
    <row r="38" spans="2:17" ht="16" x14ac:dyDescent="0.15">
      <c r="B38" s="135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230"/>
      <c r="Q38" s="143"/>
    </row>
    <row r="39" spans="2:17" ht="16" x14ac:dyDescent="0.15">
      <c r="B39" s="135" t="s">
        <v>117</v>
      </c>
      <c r="C39" s="239">
        <f>+C35</f>
        <v>3500</v>
      </c>
      <c r="D39" s="224">
        <f>+C41</f>
        <v>3500</v>
      </c>
      <c r="E39" s="224">
        <f t="shared" ref="E39" si="29">+D41</f>
        <v>3500</v>
      </c>
      <c r="F39" s="224">
        <f t="shared" ref="F39" si="30">+E41</f>
        <v>3500</v>
      </c>
      <c r="G39" s="224">
        <f t="shared" ref="G39" si="31">+F41</f>
        <v>3500</v>
      </c>
      <c r="H39" s="224">
        <f t="shared" ref="H39" si="32">+G41</f>
        <v>3500</v>
      </c>
      <c r="I39" s="224">
        <f t="shared" ref="I39" si="33">+H41</f>
        <v>3500</v>
      </c>
      <c r="J39" s="224">
        <f t="shared" ref="J39" si="34">+I41</f>
        <v>3500</v>
      </c>
      <c r="K39" s="224">
        <f t="shared" ref="K39" si="35">+J41</f>
        <v>3500</v>
      </c>
      <c r="L39" s="224">
        <f t="shared" ref="L39" si="36">+K41</f>
        <v>3500</v>
      </c>
      <c r="M39" s="224">
        <f t="shared" ref="M39" si="37">+L41</f>
        <v>3500</v>
      </c>
      <c r="N39" s="224">
        <f t="shared" ref="N39" si="38">+M41</f>
        <v>3500</v>
      </c>
      <c r="O39" s="152"/>
      <c r="Q39" s="280"/>
    </row>
    <row r="40" spans="2:17" ht="16" x14ac:dyDescent="0.15">
      <c r="B40" s="232" t="s">
        <v>149</v>
      </c>
      <c r="C40" s="224">
        <f>IFERROR(VLOOKUP($B34,'Distinta base aggiornata'!$B$5:$D$7,3,0),0)*'Tab 4 v2'!C$15+IFERROR(VLOOKUP($B34,'Distinta base aggiornata'!$B$12:$D$16,3,0),0)*'Tab 4 v2'!C$28</f>
        <v>1804.1866343582733</v>
      </c>
      <c r="D40" s="224">
        <f>IFERROR(VLOOKUP($B34,'Distinta base aggiornata'!$B$5:$D$7,3,0),0)*'Tab 4 v2'!D$15+IFERROR(VLOOKUP($B34,'Distinta base aggiornata'!$B$12:$D$16,3,0),0)*'Tab 4 v2'!D$28</f>
        <v>1870.5843819698071</v>
      </c>
      <c r="E40" s="224">
        <f>IFERROR(VLOOKUP($B34,'Distinta base aggiornata'!$B$5:$D$7,3,0),0)*'Tab 4 v2'!E$15+IFERROR(VLOOKUP($B34,'Distinta base aggiornata'!$B$12:$D$16,3,0),0)*'Tab 4 v2'!E$28</f>
        <v>1959.6598287302731</v>
      </c>
      <c r="F40" s="224">
        <f>IFERROR(VLOOKUP($B34,'Distinta base aggiornata'!$B$5:$D$7,3,0),0)*'Tab 4 v2'!F$15+IFERROR(VLOOKUP($B34,'Distinta base aggiornata'!$B$12:$D$16,3,0),0)*'Tab 4 v2'!F$28</f>
        <v>1959.6598287302659</v>
      </c>
      <c r="G40" s="224">
        <f>IFERROR(VLOOKUP($B34,'Distinta base aggiornata'!$B$5:$D$7,3,0),0)*'Tab 4 v2'!G$15+IFERROR(VLOOKUP($B34,'Distinta base aggiornata'!$B$12:$D$16,3,0),0)*'Tab 4 v2'!G$28</f>
        <v>1251.7126771997282</v>
      </c>
      <c r="H40" s="224">
        <f>IFERROR(VLOOKUP($B34,'Distinta base aggiornata'!$B$5:$D$7,3,0),0)*'Tab 4 v2'!H$15+IFERROR(VLOOKUP($B34,'Distinta base aggiornata'!$B$12:$D$16,3,0),0)*'Tab 4 v2'!H$28</f>
        <v>2275.8297872340409</v>
      </c>
      <c r="I40" s="224">
        <f>IFERROR(VLOOKUP($B34,'Distinta base aggiornata'!$B$5:$D$7,3,0),0)*'Tab 4 v2'!I$15+IFERROR(VLOOKUP($B34,'Distinta base aggiornata'!$B$12:$D$16,3,0),0)*'Tab 4 v2'!I$28</f>
        <v>2000.8297872340422</v>
      </c>
      <c r="J40" s="224">
        <f>IFERROR(VLOOKUP($B34,'Distinta base aggiornata'!$B$5:$D$7,3,0),0)*'Tab 4 v2'!J$15+IFERROR(VLOOKUP($B34,'Distinta base aggiornata'!$B$12:$D$16,3,0),0)*'Tab 4 v2'!J$28</f>
        <v>1241.3617021276596</v>
      </c>
      <c r="K40" s="224">
        <f>IFERROR(VLOOKUP($B34,'Distinta base aggiornata'!$B$5:$D$7,3,0),0)*'Tab 4 v2'!K$15+IFERROR(VLOOKUP($B34,'Distinta base aggiornata'!$B$12:$D$16,3,0),0)*'Tab 4 v2'!K$28</f>
        <v>1504.2332755831158</v>
      </c>
      <c r="L40" s="224">
        <f>IFERROR(VLOOKUP($B34,'Distinta base aggiornata'!$B$5:$D$7,3,0),0)*'Tab 4 v2'!L$15+IFERROR(VLOOKUP($B34,'Distinta base aggiornata'!$B$12:$D$16,3,0),0)*'Tab 4 v2'!L$28</f>
        <v>2172.382978723404</v>
      </c>
      <c r="M40" s="224">
        <f>IFERROR(VLOOKUP($B34,'Distinta base aggiornata'!$B$5:$D$7,3,0),0)*'Tab 4 v2'!M$15+IFERROR(VLOOKUP($B34,'Distinta base aggiornata'!$B$12:$D$16,3,0),0)*'Tab 4 v2'!M$28</f>
        <v>2172.382978723404</v>
      </c>
      <c r="N40" s="224">
        <f>IFERROR(VLOOKUP($B34,'Distinta base aggiornata'!$B$5:$D$7,3,0),0)*'Tab 4 v2'!N$15+IFERROR(VLOOKUP($B34,'Distinta base aggiornata'!$B$12:$D$16,3,0),0)*'Tab 4 v2'!N$28</f>
        <v>966.36170212765956</v>
      </c>
      <c r="O40" s="152">
        <f>SUM(C40:N40)</f>
        <v>21179.18556274167</v>
      </c>
      <c r="Q40" s="280">
        <f>IFERROR(VLOOKUP($B34,'Distinta base aggiornata'!$B$5:$D$7,3,0),0)*'Tab 4 v2'!Q$15+IFERROR(VLOOKUP($B34,'Distinta base aggiornata'!$B$12:$D$16,3,0),0)*'Tab 4 v2'!Q$28</f>
        <v>1978.2879845028024</v>
      </c>
    </row>
    <row r="41" spans="2:17" ht="17" thickBot="1" x14ac:dyDescent="0.2">
      <c r="B41" s="232" t="s">
        <v>122</v>
      </c>
      <c r="C41" s="224">
        <f>+IF(D40&gt;=$C37,D40,$C37)</f>
        <v>3500</v>
      </c>
      <c r="D41" s="224">
        <f t="shared" ref="D41:G41" si="39">+IF(E40&gt;=$C37,E40,$C37)</f>
        <v>3500</v>
      </c>
      <c r="E41" s="224">
        <f t="shared" si="39"/>
        <v>3500</v>
      </c>
      <c r="F41" s="224">
        <f t="shared" si="39"/>
        <v>3500</v>
      </c>
      <c r="G41" s="224">
        <f t="shared" si="39"/>
        <v>3500</v>
      </c>
      <c r="H41" s="224">
        <f>+IF(I40&gt;=$C37,I40,$C37)</f>
        <v>3500</v>
      </c>
      <c r="I41" s="224">
        <f>+IF(J40&gt;=$C37,J40,$C37)</f>
        <v>3500</v>
      </c>
      <c r="J41" s="224">
        <f>+IF(K40&gt;=$C37,K40,$C37)</f>
        <v>3500</v>
      </c>
      <c r="K41" s="224">
        <f t="shared" ref="K41" si="40">+IF(L40&gt;=$C37,L40,$C37)</f>
        <v>3500</v>
      </c>
      <c r="L41" s="224">
        <f>+IF(M40&gt;=$C37,M40,$C37)</f>
        <v>3500</v>
      </c>
      <c r="M41" s="224">
        <f t="shared" ref="M41" si="41">+IF(N40&gt;=$C37,N40,$C37)</f>
        <v>3500</v>
      </c>
      <c r="N41" s="224">
        <f>+IF(Q40&gt;=$C37,Q40,$C37)</f>
        <v>3500</v>
      </c>
      <c r="O41" s="152"/>
      <c r="Q41" s="281"/>
    </row>
    <row r="42" spans="2:17" ht="17" thickBot="1" x14ac:dyDescent="0.2">
      <c r="B42" s="233" t="s">
        <v>150</v>
      </c>
      <c r="C42" s="228">
        <f>(C41-C39+C40)</f>
        <v>1804.1866343582733</v>
      </c>
      <c r="D42" s="228">
        <f t="shared" ref="D42:N42" si="42">(D41-D39+D40)</f>
        <v>1870.5843819698071</v>
      </c>
      <c r="E42" s="228">
        <f t="shared" si="42"/>
        <v>1959.6598287302731</v>
      </c>
      <c r="F42" s="228">
        <f t="shared" si="42"/>
        <v>1959.6598287302659</v>
      </c>
      <c r="G42" s="228">
        <f t="shared" si="42"/>
        <v>1251.7126771997282</v>
      </c>
      <c r="H42" s="228">
        <f t="shared" si="42"/>
        <v>2275.8297872340409</v>
      </c>
      <c r="I42" s="228">
        <f t="shared" si="42"/>
        <v>2000.8297872340422</v>
      </c>
      <c r="J42" s="228">
        <f t="shared" si="42"/>
        <v>1241.3617021276596</v>
      </c>
      <c r="K42" s="228">
        <f t="shared" si="42"/>
        <v>1504.2332755831158</v>
      </c>
      <c r="L42" s="228">
        <f t="shared" si="42"/>
        <v>2172.382978723404</v>
      </c>
      <c r="M42" s="228">
        <f t="shared" si="42"/>
        <v>2172.382978723404</v>
      </c>
      <c r="N42" s="228">
        <f t="shared" si="42"/>
        <v>966.36170212765956</v>
      </c>
      <c r="O42" s="238">
        <f>SUM(C42:N42)</f>
        <v>21179.18556274167</v>
      </c>
    </row>
    <row r="43" spans="2:17" ht="16" x14ac:dyDescent="0.15">
      <c r="B43" s="268" t="s">
        <v>136</v>
      </c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230"/>
      <c r="Q43" s="142"/>
    </row>
    <row r="44" spans="2:17" ht="16" x14ac:dyDescent="0.15">
      <c r="B44" s="270" t="s">
        <v>118</v>
      </c>
      <c r="C44" s="269">
        <f>VLOOKUP(B43,'Distinta base aggiornata'!$B$38:$C$44,2,0)</f>
        <v>7000</v>
      </c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230"/>
      <c r="Q44" s="143"/>
    </row>
    <row r="45" spans="2:17" ht="16" x14ac:dyDescent="0.15">
      <c r="B45" s="270" t="s">
        <v>147</v>
      </c>
      <c r="C45" s="269">
        <f>VLOOKUP(B43,'Distinta base aggiornata'!$B$25:$D$31,2,0)</f>
        <v>30</v>
      </c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230"/>
      <c r="Q45" s="143"/>
    </row>
    <row r="46" spans="2:17" ht="16" x14ac:dyDescent="0.15">
      <c r="B46" s="270" t="s">
        <v>148</v>
      </c>
      <c r="C46" s="269">
        <f>VLOOKUP(B43,'Distinta base aggiornata'!$B$25:$D$31,3,0)</f>
        <v>7000.0019999999995</v>
      </c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230"/>
      <c r="Q46" s="143"/>
    </row>
    <row r="47" spans="2:17" ht="16" x14ac:dyDescent="0.15">
      <c r="B47" s="135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230"/>
      <c r="Q47" s="143"/>
    </row>
    <row r="48" spans="2:17" ht="16" x14ac:dyDescent="0.15">
      <c r="B48" s="135" t="s">
        <v>117</v>
      </c>
      <c r="C48" s="239">
        <f>+C44</f>
        <v>7000</v>
      </c>
      <c r="D48" s="224">
        <f>+C50</f>
        <v>7482.3375278792282</v>
      </c>
      <c r="E48" s="224">
        <f t="shared" ref="E48" si="43">+D50</f>
        <v>7838.6393149210926</v>
      </c>
      <c r="F48" s="224">
        <f t="shared" ref="F48" si="44">+E50</f>
        <v>7838.6393149210635</v>
      </c>
      <c r="G48" s="224">
        <f t="shared" ref="G48" si="45">+F50</f>
        <v>7000.0019999999995</v>
      </c>
      <c r="H48" s="224">
        <f t="shared" ref="H48" si="46">+G50</f>
        <v>9103.3191489361634</v>
      </c>
      <c r="I48" s="224">
        <f t="shared" ref="I48" si="47">+H50</f>
        <v>8003.3191489361689</v>
      </c>
      <c r="J48" s="224">
        <f t="shared" ref="J48" si="48">+I50</f>
        <v>7000.0019999999995</v>
      </c>
      <c r="K48" s="224">
        <f t="shared" ref="K48" si="49">+J50</f>
        <v>7000.0019999999995</v>
      </c>
      <c r="L48" s="224">
        <f t="shared" ref="L48" si="50">+K50</f>
        <v>8689.531914893616</v>
      </c>
      <c r="M48" s="224">
        <f t="shared" ref="M48" si="51">+L50</f>
        <v>8689.531914893616</v>
      </c>
      <c r="N48" s="224">
        <f t="shared" ref="N48" si="52">+M50</f>
        <v>7000.0019999999995</v>
      </c>
      <c r="O48" s="152"/>
      <c r="Q48" s="280"/>
    </row>
    <row r="49" spans="2:17" ht="16" x14ac:dyDescent="0.15">
      <c r="B49" s="232" t="s">
        <v>149</v>
      </c>
      <c r="C49" s="224">
        <f>IFERROR(VLOOKUP($B43,'Distinta base aggiornata'!$B$5:$D$7,3,0),0)*'Tab 4 v2'!C$15+IFERROR(VLOOKUP($B43,'Distinta base aggiornata'!$B$12:$D$16,3,0),0)*'Tab 4 v2'!C$28</f>
        <v>7216.7465374330932</v>
      </c>
      <c r="D49" s="224">
        <f>IFERROR(VLOOKUP($B43,'Distinta base aggiornata'!$B$5:$D$7,3,0),0)*'Tab 4 v2'!D$15+IFERROR(VLOOKUP($B43,'Distinta base aggiornata'!$B$12:$D$16,3,0),0)*'Tab 4 v2'!D$28</f>
        <v>7482.3375278792282</v>
      </c>
      <c r="E49" s="224">
        <f>IFERROR(VLOOKUP($B43,'Distinta base aggiornata'!$B$5:$D$7,3,0),0)*'Tab 4 v2'!E$15+IFERROR(VLOOKUP($B43,'Distinta base aggiornata'!$B$12:$D$16,3,0),0)*'Tab 4 v2'!E$28</f>
        <v>7838.6393149210926</v>
      </c>
      <c r="F49" s="224">
        <f>IFERROR(VLOOKUP($B43,'Distinta base aggiornata'!$B$5:$D$7,3,0),0)*'Tab 4 v2'!F$15+IFERROR(VLOOKUP($B43,'Distinta base aggiornata'!$B$12:$D$16,3,0),0)*'Tab 4 v2'!F$28</f>
        <v>7838.6393149210635</v>
      </c>
      <c r="G49" s="224">
        <f>IFERROR(VLOOKUP($B43,'Distinta base aggiornata'!$B$5:$D$7,3,0),0)*'Tab 4 v2'!G$15+IFERROR(VLOOKUP($B43,'Distinta base aggiornata'!$B$12:$D$16,3,0),0)*'Tab 4 v2'!G$28</f>
        <v>5006.8507087989128</v>
      </c>
      <c r="H49" s="224">
        <f>IFERROR(VLOOKUP($B43,'Distinta base aggiornata'!$B$5:$D$7,3,0),0)*'Tab 4 v2'!H$15+IFERROR(VLOOKUP($B43,'Distinta base aggiornata'!$B$12:$D$16,3,0),0)*'Tab 4 v2'!H$28</f>
        <v>9103.3191489361634</v>
      </c>
      <c r="I49" s="224">
        <f>IFERROR(VLOOKUP($B43,'Distinta base aggiornata'!$B$5:$D$7,3,0),0)*'Tab 4 v2'!I$15+IFERROR(VLOOKUP($B43,'Distinta base aggiornata'!$B$12:$D$16,3,0),0)*'Tab 4 v2'!I$28</f>
        <v>8003.3191489361689</v>
      </c>
      <c r="J49" s="224">
        <f>IFERROR(VLOOKUP($B43,'Distinta base aggiornata'!$B$5:$D$7,3,0),0)*'Tab 4 v2'!J$15+IFERROR(VLOOKUP($B43,'Distinta base aggiornata'!$B$12:$D$16,3,0),0)*'Tab 4 v2'!J$28</f>
        <v>4965.4468085106382</v>
      </c>
      <c r="K49" s="224">
        <f>IFERROR(VLOOKUP($B43,'Distinta base aggiornata'!$B$5:$D$7,3,0),0)*'Tab 4 v2'!K$15+IFERROR(VLOOKUP($B43,'Distinta base aggiornata'!$B$12:$D$16,3,0),0)*'Tab 4 v2'!K$28</f>
        <v>6016.933102332463</v>
      </c>
      <c r="L49" s="224">
        <f>IFERROR(VLOOKUP($B43,'Distinta base aggiornata'!$B$5:$D$7,3,0),0)*'Tab 4 v2'!L$15+IFERROR(VLOOKUP($B43,'Distinta base aggiornata'!$B$12:$D$16,3,0),0)*'Tab 4 v2'!L$28</f>
        <v>8689.531914893616</v>
      </c>
      <c r="M49" s="224">
        <f>IFERROR(VLOOKUP($B43,'Distinta base aggiornata'!$B$5:$D$7,3,0),0)*'Tab 4 v2'!M$15+IFERROR(VLOOKUP($B43,'Distinta base aggiornata'!$B$12:$D$16,3,0),0)*'Tab 4 v2'!M$28</f>
        <v>8689.531914893616</v>
      </c>
      <c r="N49" s="224">
        <f>IFERROR(VLOOKUP($B43,'Distinta base aggiornata'!$B$5:$D$7,3,0),0)*'Tab 4 v2'!N$15+IFERROR(VLOOKUP($B43,'Distinta base aggiornata'!$B$12:$D$16,3,0),0)*'Tab 4 v2'!N$28</f>
        <v>3865.4468085106382</v>
      </c>
      <c r="O49" s="152">
        <f>SUM(C49:N49)</f>
        <v>84716.742250966679</v>
      </c>
      <c r="Q49" s="280">
        <f>IFERROR(VLOOKUP($B43,'Distinta base aggiornata'!$B$5:$D$7,3,0),0)*'Tab 4 v2'!Q$15+IFERROR(VLOOKUP($B43,'Distinta base aggiornata'!$B$12:$D$16,3,0),0)*'Tab 4 v2'!Q$28</f>
        <v>7913.1519380112095</v>
      </c>
    </row>
    <row r="50" spans="2:17" ht="17" thickBot="1" x14ac:dyDescent="0.2">
      <c r="B50" s="232" t="s">
        <v>122</v>
      </c>
      <c r="C50" s="224">
        <f>+IF(D49&gt;=$C46,D49,$C46)</f>
        <v>7482.3375278792282</v>
      </c>
      <c r="D50" s="224">
        <f t="shared" ref="D50:G50" si="53">+IF(E49&gt;=$C46,E49,$C46)</f>
        <v>7838.6393149210926</v>
      </c>
      <c r="E50" s="224">
        <f t="shared" si="53"/>
        <v>7838.6393149210635</v>
      </c>
      <c r="F50" s="224">
        <f t="shared" si="53"/>
        <v>7000.0019999999995</v>
      </c>
      <c r="G50" s="224">
        <f t="shared" si="53"/>
        <v>9103.3191489361634</v>
      </c>
      <c r="H50" s="224">
        <f>+IF(I49&gt;=$C46,I49,$C46)</f>
        <v>8003.3191489361689</v>
      </c>
      <c r="I50" s="224">
        <f>+IF(J49&gt;=$C46,J49,$C46)</f>
        <v>7000.0019999999995</v>
      </c>
      <c r="J50" s="224">
        <f>+IF(K49&gt;=$C46,K49,$C46)</f>
        <v>7000.0019999999995</v>
      </c>
      <c r="K50" s="224">
        <f t="shared" ref="K50" si="54">+IF(L49&gt;=$C46,L49,$C46)</f>
        <v>8689.531914893616</v>
      </c>
      <c r="L50" s="224">
        <f>+IF(M49&gt;=$C46,M49,$C46)</f>
        <v>8689.531914893616</v>
      </c>
      <c r="M50" s="224">
        <f t="shared" ref="M50" si="55">+IF(N49&gt;=$C46,N49,$C46)</f>
        <v>7000.0019999999995</v>
      </c>
      <c r="N50" s="224">
        <f>+IF(Q49&gt;=$C46,Q49,$C46)</f>
        <v>7913.1519380112095</v>
      </c>
      <c r="O50" s="152"/>
      <c r="Q50" s="281"/>
    </row>
    <row r="51" spans="2:17" ht="17" thickBot="1" x14ac:dyDescent="0.2">
      <c r="B51" s="233" t="s">
        <v>150</v>
      </c>
      <c r="C51" s="228">
        <f>(C50-C48+C49)</f>
        <v>7699.0840653123214</v>
      </c>
      <c r="D51" s="228">
        <f t="shared" ref="D51:N51" si="56">(D50-D48+D49)</f>
        <v>7838.6393149210926</v>
      </c>
      <c r="E51" s="228">
        <f t="shared" si="56"/>
        <v>7838.6393149210635</v>
      </c>
      <c r="F51" s="228">
        <f t="shared" si="56"/>
        <v>7000.0019999999995</v>
      </c>
      <c r="G51" s="228">
        <f t="shared" si="56"/>
        <v>7110.1678577350767</v>
      </c>
      <c r="H51" s="228">
        <f t="shared" si="56"/>
        <v>8003.3191489361689</v>
      </c>
      <c r="I51" s="228">
        <f t="shared" si="56"/>
        <v>7000.0019999999995</v>
      </c>
      <c r="J51" s="228">
        <f t="shared" si="56"/>
        <v>4965.4468085106382</v>
      </c>
      <c r="K51" s="228">
        <f t="shared" si="56"/>
        <v>7706.4630172260795</v>
      </c>
      <c r="L51" s="228">
        <f t="shared" si="56"/>
        <v>8689.531914893616</v>
      </c>
      <c r="M51" s="228">
        <f t="shared" si="56"/>
        <v>7000.0019999999995</v>
      </c>
      <c r="N51" s="228">
        <f t="shared" si="56"/>
        <v>4778.5967465218482</v>
      </c>
      <c r="O51" s="238">
        <f>SUM(C51:N51)</f>
        <v>85629.894188977894</v>
      </c>
    </row>
    <row r="52" spans="2:17" ht="16" x14ac:dyDescent="0.15">
      <c r="B52" s="268" t="s">
        <v>137</v>
      </c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230"/>
      <c r="Q52" s="142"/>
    </row>
    <row r="53" spans="2:17" ht="16" x14ac:dyDescent="0.15">
      <c r="B53" s="270" t="s">
        <v>118</v>
      </c>
      <c r="C53" s="269">
        <f>VLOOKUP(B52,'Distinta base aggiornata'!$B$38:$C$44,2,0)</f>
        <v>21000</v>
      </c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230"/>
      <c r="Q53" s="143"/>
    </row>
    <row r="54" spans="2:17" ht="16" x14ac:dyDescent="0.15">
      <c r="B54" s="270" t="s">
        <v>147</v>
      </c>
      <c r="C54" s="269">
        <f>VLOOKUP(B52,'Distinta base aggiornata'!$B$25:$D$31,2,0)</f>
        <v>30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230"/>
      <c r="Q54" s="143"/>
    </row>
    <row r="55" spans="2:17" ht="16" x14ac:dyDescent="0.15">
      <c r="B55" s="270" t="s">
        <v>148</v>
      </c>
      <c r="C55" s="269">
        <f>VLOOKUP(B52,'Distinta base aggiornata'!$B$25:$D$31,3,0)</f>
        <v>21000</v>
      </c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230"/>
      <c r="Q55" s="143"/>
    </row>
    <row r="56" spans="2:17" ht="16" x14ac:dyDescent="0.15">
      <c r="B56" s="135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230"/>
      <c r="Q56" s="143"/>
    </row>
    <row r="57" spans="2:17" ht="16" x14ac:dyDescent="0.15">
      <c r="B57" s="135" t="s">
        <v>117</v>
      </c>
      <c r="C57" s="239">
        <f>+C53</f>
        <v>21000</v>
      </c>
      <c r="D57" s="224">
        <f>+C59</f>
        <v>21000</v>
      </c>
      <c r="E57" s="224">
        <f t="shared" ref="E57" si="57">+D59</f>
        <v>21000</v>
      </c>
      <c r="F57" s="224">
        <f t="shared" ref="F57" si="58">+E59</f>
        <v>21000</v>
      </c>
      <c r="G57" s="224">
        <f t="shared" ref="G57" si="59">+F59</f>
        <v>21000</v>
      </c>
      <c r="H57" s="224">
        <f t="shared" ref="H57" si="60">+G59</f>
        <v>21000</v>
      </c>
      <c r="I57" s="224">
        <f t="shared" ref="I57" si="61">+H59</f>
        <v>21000</v>
      </c>
      <c r="J57" s="224">
        <f t="shared" ref="J57" si="62">+I59</f>
        <v>21000</v>
      </c>
      <c r="K57" s="224">
        <f t="shared" ref="K57" si="63">+J59</f>
        <v>21000</v>
      </c>
      <c r="L57" s="224">
        <f t="shared" ref="L57" si="64">+K59</f>
        <v>21000</v>
      </c>
      <c r="M57" s="224">
        <f t="shared" ref="M57" si="65">+L59</f>
        <v>21000</v>
      </c>
      <c r="N57" s="224">
        <f t="shared" ref="N57" si="66">+M59</f>
        <v>21000</v>
      </c>
      <c r="O57" s="152"/>
      <c r="Q57" s="280"/>
    </row>
    <row r="58" spans="2:17" ht="16" x14ac:dyDescent="0.15">
      <c r="B58" s="232" t="s">
        <v>149</v>
      </c>
      <c r="C58" s="224">
        <f>IFERROR(VLOOKUP($B52,'Distinta base aggiornata'!$B$5:$D$7,3,0),0)*'Tab 4 v2'!C$15+IFERROR(VLOOKUP($B52,'Distinta base aggiornata'!$B$12:$D$16,3,0),0)*'Tab 4 v2'!C$28</f>
        <v>10825.11980614964</v>
      </c>
      <c r="D58" s="224">
        <f>IFERROR(VLOOKUP($B52,'Distinta base aggiornata'!$B$5:$D$7,3,0),0)*'Tab 4 v2'!D$15+IFERROR(VLOOKUP($B52,'Distinta base aggiornata'!$B$12:$D$16,3,0),0)*'Tab 4 v2'!D$28</f>
        <v>11223.506291818841</v>
      </c>
      <c r="E58" s="224">
        <f>IFERROR(VLOOKUP($B52,'Distinta base aggiornata'!$B$5:$D$7,3,0),0)*'Tab 4 v2'!E$15+IFERROR(VLOOKUP($B52,'Distinta base aggiornata'!$B$12:$D$16,3,0),0)*'Tab 4 v2'!E$28</f>
        <v>11757.958972381639</v>
      </c>
      <c r="F58" s="224">
        <f>IFERROR(VLOOKUP($B52,'Distinta base aggiornata'!$B$5:$D$7,3,0),0)*'Tab 4 v2'!F$15+IFERROR(VLOOKUP($B52,'Distinta base aggiornata'!$B$12:$D$16,3,0),0)*'Tab 4 v2'!F$28</f>
        <v>11757.958972381595</v>
      </c>
      <c r="G58" s="224">
        <f>IFERROR(VLOOKUP($B52,'Distinta base aggiornata'!$B$5:$D$7,3,0),0)*'Tab 4 v2'!G$15+IFERROR(VLOOKUP($B52,'Distinta base aggiornata'!$B$12:$D$16,3,0),0)*'Tab 4 v2'!G$28</f>
        <v>7510.2760631983692</v>
      </c>
      <c r="H58" s="224">
        <f>IFERROR(VLOOKUP($B52,'Distinta base aggiornata'!$B$5:$D$7,3,0),0)*'Tab 4 v2'!H$15+IFERROR(VLOOKUP($B52,'Distinta base aggiornata'!$B$12:$D$16,3,0),0)*'Tab 4 v2'!H$28</f>
        <v>13654.978723404245</v>
      </c>
      <c r="I58" s="224">
        <f>IFERROR(VLOOKUP($B52,'Distinta base aggiornata'!$B$5:$D$7,3,0),0)*'Tab 4 v2'!I$15+IFERROR(VLOOKUP($B52,'Distinta base aggiornata'!$B$12:$D$16,3,0),0)*'Tab 4 v2'!I$28</f>
        <v>12004.978723404252</v>
      </c>
      <c r="J58" s="224">
        <f>IFERROR(VLOOKUP($B52,'Distinta base aggiornata'!$B$5:$D$7,3,0),0)*'Tab 4 v2'!J$15+IFERROR(VLOOKUP($B52,'Distinta base aggiornata'!$B$12:$D$16,3,0),0)*'Tab 4 v2'!J$28</f>
        <v>7448.1702127659573</v>
      </c>
      <c r="K58" s="224">
        <f>IFERROR(VLOOKUP($B52,'Distinta base aggiornata'!$B$5:$D$7,3,0),0)*'Tab 4 v2'!K$15+IFERROR(VLOOKUP($B52,'Distinta base aggiornata'!$B$12:$D$16,3,0),0)*'Tab 4 v2'!K$28</f>
        <v>9025.3996534986945</v>
      </c>
      <c r="L58" s="224">
        <f>IFERROR(VLOOKUP($B52,'Distinta base aggiornata'!$B$5:$D$7,3,0),0)*'Tab 4 v2'!L$15+IFERROR(VLOOKUP($B52,'Distinta base aggiornata'!$B$12:$D$16,3,0),0)*'Tab 4 v2'!L$28</f>
        <v>13034.297872340423</v>
      </c>
      <c r="M58" s="224">
        <f>IFERROR(VLOOKUP($B52,'Distinta base aggiornata'!$B$5:$D$7,3,0),0)*'Tab 4 v2'!M$15+IFERROR(VLOOKUP($B52,'Distinta base aggiornata'!$B$12:$D$16,3,0),0)*'Tab 4 v2'!M$28</f>
        <v>13034.297872340423</v>
      </c>
      <c r="N58" s="224">
        <f>IFERROR(VLOOKUP($B52,'Distinta base aggiornata'!$B$5:$D$7,3,0),0)*'Tab 4 v2'!N$15+IFERROR(VLOOKUP($B52,'Distinta base aggiornata'!$B$12:$D$16,3,0),0)*'Tab 4 v2'!N$28</f>
        <v>5798.1702127659573</v>
      </c>
      <c r="O58" s="152">
        <f>SUM(C58:N58)</f>
        <v>127075.11337645003</v>
      </c>
      <c r="Q58" s="280">
        <f>IFERROR(VLOOKUP($B52,'Distinta base aggiornata'!$B$5:$D$7,3,0),0)*'Tab 4 v2'!Q$15+IFERROR(VLOOKUP($B52,'Distinta base aggiornata'!$B$12:$D$16,3,0),0)*'Tab 4 v2'!Q$28</f>
        <v>11869.727907016815</v>
      </c>
    </row>
    <row r="59" spans="2:17" ht="17" thickBot="1" x14ac:dyDescent="0.2">
      <c r="B59" s="232" t="s">
        <v>122</v>
      </c>
      <c r="C59" s="224">
        <f>+IF(D58&gt;=$C55,D58,$C55)</f>
        <v>21000</v>
      </c>
      <c r="D59" s="224">
        <f t="shared" ref="D59:G59" si="67">+IF(E58&gt;=$C55,E58,$C55)</f>
        <v>21000</v>
      </c>
      <c r="E59" s="224">
        <f t="shared" si="67"/>
        <v>21000</v>
      </c>
      <c r="F59" s="224">
        <f t="shared" si="67"/>
        <v>21000</v>
      </c>
      <c r="G59" s="224">
        <f t="shared" si="67"/>
        <v>21000</v>
      </c>
      <c r="H59" s="224">
        <f>+IF(I58&gt;=$C55,I58,$C55)</f>
        <v>21000</v>
      </c>
      <c r="I59" s="224">
        <f>+IF(J58&gt;=$C55,J58,$C55)</f>
        <v>21000</v>
      </c>
      <c r="J59" s="224">
        <f>+IF(K58&gt;=$C55,K58,$C55)</f>
        <v>21000</v>
      </c>
      <c r="K59" s="224">
        <f t="shared" ref="K59" si="68">+IF(L58&gt;=$C55,L58,$C55)</f>
        <v>21000</v>
      </c>
      <c r="L59" s="224">
        <f>+IF(M58&gt;=$C55,M58,$C55)</f>
        <v>21000</v>
      </c>
      <c r="M59" s="224">
        <f t="shared" ref="M59" si="69">+IF(N58&gt;=$C55,N58,$C55)</f>
        <v>21000</v>
      </c>
      <c r="N59" s="224">
        <f>+IF(Q58&gt;=$C55,Q58,$C55)</f>
        <v>21000</v>
      </c>
      <c r="O59" s="152"/>
      <c r="Q59" s="281"/>
    </row>
    <row r="60" spans="2:17" ht="17" thickBot="1" x14ac:dyDescent="0.2">
      <c r="B60" s="233" t="s">
        <v>150</v>
      </c>
      <c r="C60" s="228">
        <f>(C59-C57+C58)</f>
        <v>10825.11980614964</v>
      </c>
      <c r="D60" s="228">
        <f t="shared" ref="D60:N60" si="70">(D59-D57+D58)</f>
        <v>11223.506291818841</v>
      </c>
      <c r="E60" s="228">
        <f t="shared" si="70"/>
        <v>11757.958972381639</v>
      </c>
      <c r="F60" s="228">
        <f t="shared" si="70"/>
        <v>11757.958972381595</v>
      </c>
      <c r="G60" s="228">
        <f t="shared" si="70"/>
        <v>7510.2760631983692</v>
      </c>
      <c r="H60" s="228">
        <f t="shared" si="70"/>
        <v>13654.978723404245</v>
      </c>
      <c r="I60" s="228">
        <f t="shared" si="70"/>
        <v>12004.978723404252</v>
      </c>
      <c r="J60" s="228">
        <f t="shared" si="70"/>
        <v>7448.1702127659573</v>
      </c>
      <c r="K60" s="228">
        <f t="shared" si="70"/>
        <v>9025.3996534986945</v>
      </c>
      <c r="L60" s="228">
        <f t="shared" si="70"/>
        <v>13034.297872340423</v>
      </c>
      <c r="M60" s="228">
        <f t="shared" si="70"/>
        <v>13034.297872340423</v>
      </c>
      <c r="N60" s="228">
        <f t="shared" si="70"/>
        <v>5798.1702127659573</v>
      </c>
      <c r="O60" s="238">
        <f>SUM(C60:N60)</f>
        <v>127075.11337645003</v>
      </c>
    </row>
    <row r="61" spans="2:17" ht="16" x14ac:dyDescent="0.15">
      <c r="B61" s="268" t="s">
        <v>138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230"/>
      <c r="Q61" s="142"/>
    </row>
    <row r="62" spans="2:17" ht="16" x14ac:dyDescent="0.15">
      <c r="B62" s="270" t="s">
        <v>118</v>
      </c>
      <c r="C62" s="269">
        <f>VLOOKUP(B61,'Distinta base aggiornata'!$B$38:$C$44,2,0)</f>
        <v>3500</v>
      </c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230"/>
      <c r="Q62" s="143"/>
    </row>
    <row r="63" spans="2:17" ht="16" x14ac:dyDescent="0.15">
      <c r="B63" s="270" t="s">
        <v>147</v>
      </c>
      <c r="C63" s="269">
        <f>VLOOKUP(B61,'Distinta base aggiornata'!$B$25:$D$31,2,0)</f>
        <v>30</v>
      </c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230"/>
      <c r="Q63" s="143"/>
    </row>
    <row r="64" spans="2:17" ht="16" x14ac:dyDescent="0.15">
      <c r="B64" s="270" t="s">
        <v>148</v>
      </c>
      <c r="C64" s="269">
        <f>VLOOKUP(B61,'Distinta base aggiornata'!$B$25:$D$31,3,0)</f>
        <v>3500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230"/>
      <c r="Q64" s="143"/>
    </row>
    <row r="65" spans="2:17" ht="16" x14ac:dyDescent="0.15">
      <c r="B65" s="135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230"/>
      <c r="Q65" s="143"/>
    </row>
    <row r="66" spans="2:17" ht="16" x14ac:dyDescent="0.15">
      <c r="B66" s="135" t="s">
        <v>117</v>
      </c>
      <c r="C66" s="239">
        <f>+C62</f>
        <v>3500</v>
      </c>
      <c r="D66" s="224">
        <f>+C68</f>
        <v>3741.1687639396141</v>
      </c>
      <c r="E66" s="224">
        <f t="shared" ref="E66" si="71">+D68</f>
        <v>3919.3196574605463</v>
      </c>
      <c r="F66" s="224">
        <f t="shared" ref="F66" si="72">+E68</f>
        <v>3919.3196574605317</v>
      </c>
      <c r="G66" s="224">
        <f t="shared" ref="G66" si="73">+F68</f>
        <v>3500</v>
      </c>
      <c r="H66" s="224">
        <f t="shared" ref="H66" si="74">+G68</f>
        <v>4551.6595744680817</v>
      </c>
      <c r="I66" s="224">
        <f t="shared" ref="I66" si="75">+H68</f>
        <v>4001.6595744680844</v>
      </c>
      <c r="J66" s="224">
        <f t="shared" ref="J66" si="76">+I68</f>
        <v>3500</v>
      </c>
      <c r="K66" s="224">
        <f t="shared" ref="K66" si="77">+J68</f>
        <v>3500</v>
      </c>
      <c r="L66" s="224">
        <f t="shared" ref="L66" si="78">+K68</f>
        <v>4344.765957446808</v>
      </c>
      <c r="M66" s="224">
        <f t="shared" ref="M66" si="79">+L68</f>
        <v>4344.765957446808</v>
      </c>
      <c r="N66" s="224">
        <f t="shared" ref="N66" si="80">+M68</f>
        <v>3500</v>
      </c>
      <c r="O66" s="152"/>
      <c r="Q66" s="280"/>
    </row>
    <row r="67" spans="2:17" ht="16" x14ac:dyDescent="0.15">
      <c r="B67" s="232" t="s">
        <v>149</v>
      </c>
      <c r="C67" s="224">
        <f>IFERROR(VLOOKUP($B61,'Distinta base aggiornata'!$B$5:$D$7,3,0),0)*'Tab 4 v2'!C$15+IFERROR(VLOOKUP($B61,'Distinta base aggiornata'!$B$12:$D$16,3,0),0)*'Tab 4 v2'!C$28</f>
        <v>3608.3732687165466</v>
      </c>
      <c r="D67" s="224">
        <f>IFERROR(VLOOKUP($B61,'Distinta base aggiornata'!$B$5:$D$7,3,0),0)*'Tab 4 v2'!D$15+IFERROR(VLOOKUP($B61,'Distinta base aggiornata'!$B$12:$D$16,3,0),0)*'Tab 4 v2'!D$28</f>
        <v>3741.1687639396141</v>
      </c>
      <c r="E67" s="224">
        <f>IFERROR(VLOOKUP($B61,'Distinta base aggiornata'!$B$5:$D$7,3,0),0)*'Tab 4 v2'!E$15+IFERROR(VLOOKUP($B61,'Distinta base aggiornata'!$B$12:$D$16,3,0),0)*'Tab 4 v2'!E$28</f>
        <v>3919.3196574605463</v>
      </c>
      <c r="F67" s="224">
        <f>IFERROR(VLOOKUP($B61,'Distinta base aggiornata'!$B$5:$D$7,3,0),0)*'Tab 4 v2'!F$15+IFERROR(VLOOKUP($B61,'Distinta base aggiornata'!$B$12:$D$16,3,0),0)*'Tab 4 v2'!F$28</f>
        <v>3919.3196574605317</v>
      </c>
      <c r="G67" s="224">
        <f>IFERROR(VLOOKUP($B61,'Distinta base aggiornata'!$B$5:$D$7,3,0),0)*'Tab 4 v2'!G$15+IFERROR(VLOOKUP($B61,'Distinta base aggiornata'!$B$12:$D$16,3,0),0)*'Tab 4 v2'!G$28</f>
        <v>2503.4253543994564</v>
      </c>
      <c r="H67" s="224">
        <f>IFERROR(VLOOKUP($B61,'Distinta base aggiornata'!$B$5:$D$7,3,0),0)*'Tab 4 v2'!H$15+IFERROR(VLOOKUP($B61,'Distinta base aggiornata'!$B$12:$D$16,3,0),0)*'Tab 4 v2'!H$28</f>
        <v>4551.6595744680817</v>
      </c>
      <c r="I67" s="224">
        <f>IFERROR(VLOOKUP($B61,'Distinta base aggiornata'!$B$5:$D$7,3,0),0)*'Tab 4 v2'!I$15+IFERROR(VLOOKUP($B61,'Distinta base aggiornata'!$B$12:$D$16,3,0),0)*'Tab 4 v2'!I$28</f>
        <v>4001.6595744680844</v>
      </c>
      <c r="J67" s="224">
        <f>IFERROR(VLOOKUP($B61,'Distinta base aggiornata'!$B$5:$D$7,3,0),0)*'Tab 4 v2'!J$15+IFERROR(VLOOKUP($B61,'Distinta base aggiornata'!$B$12:$D$16,3,0),0)*'Tab 4 v2'!J$28</f>
        <v>2482.7234042553191</v>
      </c>
      <c r="K67" s="224">
        <f>IFERROR(VLOOKUP($B61,'Distinta base aggiornata'!$B$5:$D$7,3,0),0)*'Tab 4 v2'!K$15+IFERROR(VLOOKUP($B61,'Distinta base aggiornata'!$B$12:$D$16,3,0),0)*'Tab 4 v2'!K$28</f>
        <v>3008.4665511662315</v>
      </c>
      <c r="L67" s="224">
        <f>IFERROR(VLOOKUP($B61,'Distinta base aggiornata'!$B$5:$D$7,3,0),0)*'Tab 4 v2'!L$15+IFERROR(VLOOKUP($B61,'Distinta base aggiornata'!$B$12:$D$16,3,0),0)*'Tab 4 v2'!L$28</f>
        <v>4344.765957446808</v>
      </c>
      <c r="M67" s="224">
        <f>IFERROR(VLOOKUP($B61,'Distinta base aggiornata'!$B$5:$D$7,3,0),0)*'Tab 4 v2'!M$15+IFERROR(VLOOKUP($B61,'Distinta base aggiornata'!$B$12:$D$16,3,0),0)*'Tab 4 v2'!M$28</f>
        <v>4344.765957446808</v>
      </c>
      <c r="N67" s="224">
        <f>IFERROR(VLOOKUP($B61,'Distinta base aggiornata'!$B$5:$D$7,3,0),0)*'Tab 4 v2'!N$15+IFERROR(VLOOKUP($B61,'Distinta base aggiornata'!$B$12:$D$16,3,0),0)*'Tab 4 v2'!N$28</f>
        <v>1932.7234042553191</v>
      </c>
      <c r="O67" s="152">
        <f>SUM(C67:N67)</f>
        <v>42358.37112548334</v>
      </c>
      <c r="Q67" s="280">
        <f>IFERROR(VLOOKUP($B61,'Distinta base aggiornata'!$B$5:$D$7,3,0),0)*'Tab 4 v2'!Q$15+IFERROR(VLOOKUP($B61,'Distinta base aggiornata'!$B$12:$D$16,3,0),0)*'Tab 4 v2'!Q$28</f>
        <v>3956.5759690056047</v>
      </c>
    </row>
    <row r="68" spans="2:17" ht="17" thickBot="1" x14ac:dyDescent="0.2">
      <c r="B68" s="232" t="s">
        <v>122</v>
      </c>
      <c r="C68" s="224">
        <f>+IF(D67&gt;=$C64,D67,$C64)</f>
        <v>3741.1687639396141</v>
      </c>
      <c r="D68" s="224">
        <f t="shared" ref="D68:G68" si="81">+IF(E67&gt;=$C64,E67,$C64)</f>
        <v>3919.3196574605463</v>
      </c>
      <c r="E68" s="224">
        <f t="shared" si="81"/>
        <v>3919.3196574605317</v>
      </c>
      <c r="F68" s="224">
        <f t="shared" si="81"/>
        <v>3500</v>
      </c>
      <c r="G68" s="224">
        <f t="shared" si="81"/>
        <v>4551.6595744680817</v>
      </c>
      <c r="H68" s="224">
        <f>+IF(I67&gt;=$C64,I67,$C64)</f>
        <v>4001.6595744680844</v>
      </c>
      <c r="I68" s="224">
        <f>+IF(J67&gt;=$C64,J67,$C64)</f>
        <v>3500</v>
      </c>
      <c r="J68" s="224">
        <f>+IF(K67&gt;=$C64,K67,$C64)</f>
        <v>3500</v>
      </c>
      <c r="K68" s="224">
        <f t="shared" ref="K68" si="82">+IF(L67&gt;=$C64,L67,$C64)</f>
        <v>4344.765957446808</v>
      </c>
      <c r="L68" s="224">
        <f>+IF(M67&gt;=$C64,M67,$C64)</f>
        <v>4344.765957446808</v>
      </c>
      <c r="M68" s="224">
        <f t="shared" ref="M68" si="83">+IF(N67&gt;=$C64,N67,$C64)</f>
        <v>3500</v>
      </c>
      <c r="N68" s="224">
        <f>+IF(Q67&gt;=$C64,Q67,$C64)</f>
        <v>3956.5759690056047</v>
      </c>
      <c r="O68" s="152"/>
      <c r="Q68" s="281"/>
    </row>
    <row r="69" spans="2:17" ht="17" thickBot="1" x14ac:dyDescent="0.2">
      <c r="B69" s="233" t="s">
        <v>150</v>
      </c>
      <c r="C69" s="228">
        <f>(C68-C66+C67)</f>
        <v>3849.5420326561607</v>
      </c>
      <c r="D69" s="228">
        <f t="shared" ref="D69:N69" si="84">(D68-D66+D67)</f>
        <v>3919.3196574605463</v>
      </c>
      <c r="E69" s="228">
        <f t="shared" si="84"/>
        <v>3919.3196574605317</v>
      </c>
      <c r="F69" s="228">
        <f t="shared" si="84"/>
        <v>3500</v>
      </c>
      <c r="G69" s="228">
        <f t="shared" si="84"/>
        <v>3555.0849288675381</v>
      </c>
      <c r="H69" s="228">
        <f t="shared" si="84"/>
        <v>4001.6595744680844</v>
      </c>
      <c r="I69" s="228">
        <f t="shared" si="84"/>
        <v>3500</v>
      </c>
      <c r="J69" s="228">
        <f t="shared" si="84"/>
        <v>2482.7234042553191</v>
      </c>
      <c r="K69" s="228">
        <f t="shared" si="84"/>
        <v>3853.2325086130395</v>
      </c>
      <c r="L69" s="228">
        <f t="shared" si="84"/>
        <v>4344.765957446808</v>
      </c>
      <c r="M69" s="228">
        <f t="shared" si="84"/>
        <v>3500</v>
      </c>
      <c r="N69" s="228">
        <f t="shared" si="84"/>
        <v>2389.2993732609239</v>
      </c>
      <c r="O69" s="238">
        <f>SUM(C69:N69)</f>
        <v>42814.947094488954</v>
      </c>
    </row>
  </sheetData>
  <mergeCells count="1">
    <mergeCell ref="C5:O5"/>
  </mergeCells>
  <pageMargins left="0.25" right="0.25" top="0.75" bottom="0.75" header="0.3" footer="0.3"/>
  <pageSetup paperSize="9" scale="43" orientation="landscape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B28B6-48AB-594D-B53F-B884DFE95C4A}">
  <sheetPr codeName="Foglio14">
    <pageSetUpPr fitToPage="1"/>
  </sheetPr>
  <dimension ref="B2:O66"/>
  <sheetViews>
    <sheetView showGridLines="0" topLeftCell="A43" zoomScale="227" zoomScaleNormal="170" workbookViewId="0">
      <selection activeCell="C61" sqref="C61"/>
    </sheetView>
  </sheetViews>
  <sheetFormatPr baseColWidth="10" defaultRowHeight="13" x14ac:dyDescent="0.15"/>
  <cols>
    <col min="2" max="2" width="29" bestFit="1" customWidth="1"/>
    <col min="3" max="4" width="12.33203125" bestFit="1" customWidth="1"/>
    <col min="5" max="14" width="11.1640625" bestFit="1" customWidth="1"/>
    <col min="15" max="15" width="12.6640625" bestFit="1" customWidth="1"/>
    <col min="16" max="16" width="2.1640625" customWidth="1"/>
  </cols>
  <sheetData>
    <row r="2" spans="2:15" ht="16" x14ac:dyDescent="0.15">
      <c r="B2" s="74" t="s">
        <v>236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</row>
    <row r="3" spans="2:15" x14ac:dyDescent="0.15"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</row>
    <row r="4" spans="2:15" ht="14" thickBot="1" x14ac:dyDescent="0.2"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</row>
    <row r="5" spans="2:15" ht="16" x14ac:dyDescent="0.15">
      <c r="B5" s="222"/>
      <c r="C5" s="402" t="s">
        <v>85</v>
      </c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5"/>
    </row>
    <row r="6" spans="2:15" ht="16" x14ac:dyDescent="0.15">
      <c r="B6" s="231"/>
      <c r="C6" s="229" t="s">
        <v>100</v>
      </c>
      <c r="D6" s="229" t="s">
        <v>101</v>
      </c>
      <c r="E6" s="229" t="s">
        <v>102</v>
      </c>
      <c r="F6" s="229" t="s">
        <v>103</v>
      </c>
      <c r="G6" s="229" t="s">
        <v>104</v>
      </c>
      <c r="H6" s="229" t="s">
        <v>105</v>
      </c>
      <c r="I6" s="229" t="s">
        <v>106</v>
      </c>
      <c r="J6" s="229" t="s">
        <v>107</v>
      </c>
      <c r="K6" s="229" t="s">
        <v>108</v>
      </c>
      <c r="L6" s="229" t="s">
        <v>109</v>
      </c>
      <c r="M6" s="229" t="s">
        <v>110</v>
      </c>
      <c r="N6" s="229" t="s">
        <v>111</v>
      </c>
      <c r="O6" s="234" t="s">
        <v>68</v>
      </c>
    </row>
    <row r="7" spans="2:15" ht="16" x14ac:dyDescent="0.15">
      <c r="B7" s="268" t="s">
        <v>128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230"/>
    </row>
    <row r="8" spans="2:15" ht="16" x14ac:dyDescent="0.15">
      <c r="B8" s="270" t="s">
        <v>154</v>
      </c>
      <c r="C8" s="293">
        <f>VLOOKUP(B7,'Distinta base aggiornata'!$B$5:$F$16,4,0)</f>
        <v>5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230"/>
    </row>
    <row r="9" spans="2:15" ht="16" x14ac:dyDescent="0.15">
      <c r="B9" s="135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230"/>
    </row>
    <row r="10" spans="2:15" ht="16" x14ac:dyDescent="0.15">
      <c r="B10" s="135" t="s">
        <v>117</v>
      </c>
      <c r="C10" s="294">
        <f>C8*'Tab. 8'!C12</f>
        <v>245000</v>
      </c>
      <c r="D10" s="295">
        <f>+C13</f>
        <v>225433.09185169285</v>
      </c>
      <c r="E10" s="295">
        <f t="shared" ref="E10:N10" si="0">+D13</f>
        <v>252776.97095058349</v>
      </c>
      <c r="F10" s="295">
        <f t="shared" si="0"/>
        <v>232247.48936170214</v>
      </c>
      <c r="G10" s="295">
        <f t="shared" si="0"/>
        <v>232247.48936170212</v>
      </c>
      <c r="H10" s="295">
        <f>+G13</f>
        <v>243306.89361702104</v>
      </c>
      <c r="I10" s="295">
        <f t="shared" si="0"/>
        <v>225000</v>
      </c>
      <c r="J10" s="295">
        <f t="shared" si="0"/>
        <v>225000</v>
      </c>
      <c r="K10" s="295">
        <f t="shared" si="0"/>
        <v>228759.75289507557</v>
      </c>
      <c r="L10" s="295">
        <f t="shared" si="0"/>
        <v>225000.00000000003</v>
      </c>
      <c r="M10" s="295">
        <f t="shared" si="0"/>
        <v>232247.48936170214</v>
      </c>
      <c r="N10" s="295">
        <f t="shared" si="0"/>
        <v>225000.00000000003</v>
      </c>
      <c r="O10" s="152"/>
    </row>
    <row r="11" spans="2:15" ht="16" x14ac:dyDescent="0.15">
      <c r="B11" s="232" t="s">
        <v>155</v>
      </c>
      <c r="C11" s="294">
        <f>$C8*'Tab. 8'!C13</f>
        <v>199069.27659574465</v>
      </c>
      <c r="D11" s="294">
        <f>$C8*'Tab. 8'!D13</f>
        <v>225433.09185169285</v>
      </c>
      <c r="E11" s="294">
        <f>$C8*'Tab. 8'!E13</f>
        <v>252776.97095058349</v>
      </c>
      <c r="F11" s="294">
        <f>$C8*'Tab. 8'!F13</f>
        <v>232247.48936170214</v>
      </c>
      <c r="G11" s="294">
        <f>$C8*'Tab. 8'!G13</f>
        <v>232247.48936170212</v>
      </c>
      <c r="H11" s="294">
        <f>$C8*'Tab. 8'!H13</f>
        <v>243306.89361702104</v>
      </c>
      <c r="I11" s="294">
        <f>$C8*'Tab. 8'!I13</f>
        <v>213906.89361702127</v>
      </c>
      <c r="J11" s="294">
        <f>$C8*'Tab. 8'!J13</f>
        <v>132712.85106382976</v>
      </c>
      <c r="K11" s="294">
        <f>$C8*'Tab. 8'!K13</f>
        <v>228759.75289507554</v>
      </c>
      <c r="L11" s="294">
        <f>$C8*'Tab. 8'!L13</f>
        <v>201786.90254188405</v>
      </c>
      <c r="M11" s="294">
        <f>$C8*'Tab. 8'!M13</f>
        <v>232247.48936170212</v>
      </c>
      <c r="N11" s="294">
        <f>$C8*'Tab. 8'!N13</f>
        <v>103312.85106382979</v>
      </c>
      <c r="O11" s="156">
        <f>SUM(C11:N11)</f>
        <v>2497807.9522817889</v>
      </c>
    </row>
    <row r="12" spans="2:15" ht="17" thickBot="1" x14ac:dyDescent="0.2">
      <c r="B12" s="232" t="s">
        <v>156</v>
      </c>
      <c r="C12" s="295">
        <f>$C8*'Tab. 8'!C15</f>
        <v>179502.3684474375</v>
      </c>
      <c r="D12" s="295">
        <f>$C8*'Tab. 8'!D15</f>
        <v>252776.97095058349</v>
      </c>
      <c r="E12" s="295">
        <f>$C8*'Tab. 8'!E15</f>
        <v>232247.48936170214</v>
      </c>
      <c r="F12" s="295">
        <f>$C8*'Tab. 8'!F15</f>
        <v>232247.48936170212</v>
      </c>
      <c r="G12" s="295">
        <f>$C8*'Tab. 8'!G15</f>
        <v>243306.89361702104</v>
      </c>
      <c r="H12" s="295">
        <f>$C8*'Tab. 8'!H15</f>
        <v>225000</v>
      </c>
      <c r="I12" s="295">
        <f>$C8*'Tab. 8'!I15</f>
        <v>213906.89361702127</v>
      </c>
      <c r="J12" s="295">
        <f>$C8*'Tab. 8'!J15</f>
        <v>136472.60395890533</v>
      </c>
      <c r="K12" s="295">
        <f>$C8*'Tab. 8'!K15</f>
        <v>225000</v>
      </c>
      <c r="L12" s="295">
        <f>$C8*'Tab. 8'!L15</f>
        <v>209034.39190358616</v>
      </c>
      <c r="M12" s="295">
        <f>$C8*'Tab. 8'!M15</f>
        <v>225000</v>
      </c>
      <c r="N12" s="295">
        <f>$C8*'Tab. 8'!N15</f>
        <v>124429.42569317952</v>
      </c>
      <c r="O12" s="156">
        <f>SUM(C12:N12)</f>
        <v>2498924.5269111386</v>
      </c>
    </row>
    <row r="13" spans="2:15" ht="17" thickBot="1" x14ac:dyDescent="0.2">
      <c r="B13" s="233" t="s">
        <v>122</v>
      </c>
      <c r="C13" s="373">
        <f>C10-C11+C12</f>
        <v>225433.09185169285</v>
      </c>
      <c r="D13" s="373">
        <f>D10-D11+D12</f>
        <v>252776.97095058349</v>
      </c>
      <c r="E13" s="373">
        <f t="shared" ref="E13" si="1">E10-E11+E12</f>
        <v>232247.48936170214</v>
      </c>
      <c r="F13" s="373">
        <f t="shared" ref="F13" si="2">F10-F11+F12</f>
        <v>232247.48936170212</v>
      </c>
      <c r="G13" s="373">
        <f t="shared" ref="G13" si="3">G10-G11+G12</f>
        <v>243306.89361702104</v>
      </c>
      <c r="H13" s="373">
        <f t="shared" ref="H13" si="4">H10-H11+H12</f>
        <v>225000</v>
      </c>
      <c r="I13" s="373">
        <f t="shared" ref="I13" si="5">I10-I11+I12</f>
        <v>225000</v>
      </c>
      <c r="J13" s="373">
        <f t="shared" ref="J13" si="6">J10-J11+J12</f>
        <v>228759.75289507557</v>
      </c>
      <c r="K13" s="373">
        <f t="shared" ref="K13" si="7">K10-K11+K12</f>
        <v>225000.00000000003</v>
      </c>
      <c r="L13" s="373">
        <f t="shared" ref="L13" si="8">L10-L11+L12</f>
        <v>232247.48936170214</v>
      </c>
      <c r="M13" s="373">
        <f t="shared" ref="M13" si="9">M10-M11+M12</f>
        <v>225000.00000000003</v>
      </c>
      <c r="N13" s="373">
        <f t="shared" ref="N13" si="10">N10-N11+N12</f>
        <v>246116.57462934975</v>
      </c>
      <c r="O13" s="238"/>
    </row>
    <row r="14" spans="2:15" ht="16" x14ac:dyDescent="0.15">
      <c r="B14" s="268" t="s">
        <v>129</v>
      </c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30"/>
    </row>
    <row r="15" spans="2:15" ht="16" x14ac:dyDescent="0.15">
      <c r="B15" s="270" t="s">
        <v>154</v>
      </c>
      <c r="C15" s="293">
        <f>VLOOKUP(B14,'Distinta base aggiornata'!$B$5:$F$16,4,0)</f>
        <v>74.999650000000003</v>
      </c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230"/>
    </row>
    <row r="16" spans="2:15" ht="16" x14ac:dyDescent="0.15">
      <c r="B16" s="135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230"/>
    </row>
    <row r="17" spans="2:15" ht="16" x14ac:dyDescent="0.15">
      <c r="B17" s="135" t="s">
        <v>117</v>
      </c>
      <c r="C17" s="294">
        <f>C15*'Tab. 8'!C21</f>
        <v>4499979</v>
      </c>
      <c r="D17" s="295">
        <f>+C20</f>
        <v>4499979</v>
      </c>
      <c r="E17" s="295">
        <f t="shared" ref="E17:G17" si="11">+D20</f>
        <v>4499979</v>
      </c>
      <c r="F17" s="295">
        <f t="shared" si="11"/>
        <v>4499979</v>
      </c>
      <c r="G17" s="295">
        <f t="shared" si="11"/>
        <v>4499979</v>
      </c>
      <c r="H17" s="295">
        <f>+G20</f>
        <v>4499979</v>
      </c>
      <c r="I17" s="295">
        <f t="shared" ref="I17:N17" si="12">+H20</f>
        <v>4499979</v>
      </c>
      <c r="J17" s="295">
        <f t="shared" si="12"/>
        <v>4499979</v>
      </c>
      <c r="K17" s="295">
        <f t="shared" si="12"/>
        <v>4499979</v>
      </c>
      <c r="L17" s="295">
        <f t="shared" si="12"/>
        <v>4499979</v>
      </c>
      <c r="M17" s="295">
        <f t="shared" si="12"/>
        <v>4499979</v>
      </c>
      <c r="N17" s="295">
        <f t="shared" si="12"/>
        <v>4499979</v>
      </c>
      <c r="O17" s="152"/>
    </row>
    <row r="18" spans="2:15" ht="16" x14ac:dyDescent="0.15">
      <c r="B18" s="232" t="s">
        <v>155</v>
      </c>
      <c r="C18" s="294">
        <f>$C15*'Tab. 8'!C22</f>
        <v>3981366.9521157448</v>
      </c>
      <c r="D18" s="294">
        <f>$C15*'Tab. 8'!D22</f>
        <v>4508640.7966119507</v>
      </c>
      <c r="E18" s="294">
        <f>$C15*'Tab. 8'!E22</f>
        <v>5055515.8264943808</v>
      </c>
      <c r="F18" s="294">
        <f>$C15*'Tab. 8'!F22</f>
        <v>4644928.1108017024</v>
      </c>
      <c r="G18" s="294">
        <f>$C15*'Tab. 8'!G22</f>
        <v>4644928.1108017014</v>
      </c>
      <c r="H18" s="294">
        <f>$C15*'Tab. 8'!H22</f>
        <v>4866115.1636970174</v>
      </c>
      <c r="I18" s="294">
        <f>$C15*'Tab. 8'!I22</f>
        <v>4278117.907697021</v>
      </c>
      <c r="J18" s="294">
        <f>$C15*'Tab. 8'!J22</f>
        <v>2654244.6347438297</v>
      </c>
      <c r="K18" s="294">
        <f>$C15*'Tab. 8'!K22</f>
        <v>4575173.7069912404</v>
      </c>
      <c r="L18" s="294">
        <f>$C15*'Tab. 8'!L22</f>
        <v>4035719.2173934439</v>
      </c>
      <c r="M18" s="294">
        <f>$C15*'Tab. 8'!M22</f>
        <v>4644928.1108017014</v>
      </c>
      <c r="N18" s="294">
        <f>$C15*'Tab. 8'!N22</f>
        <v>2066247.3787438299</v>
      </c>
      <c r="O18" s="156">
        <f>SUM(C18:N18)</f>
        <v>49955925.916893564</v>
      </c>
    </row>
    <row r="19" spans="2:15" ht="17" thickBot="1" x14ac:dyDescent="0.2">
      <c r="B19" s="232" t="s">
        <v>156</v>
      </c>
      <c r="C19" s="295">
        <f>$C15*'Tab. 8'!C24</f>
        <v>3981366.9521157448</v>
      </c>
      <c r="D19" s="295">
        <f>$C15*'Tab. 8'!D24</f>
        <v>4508640.7966119507</v>
      </c>
      <c r="E19" s="295">
        <f>$C15*'Tab. 8'!E24</f>
        <v>5055515.8264943808</v>
      </c>
      <c r="F19" s="295">
        <f>$C15*'Tab. 8'!F24</f>
        <v>4644928.1108017024</v>
      </c>
      <c r="G19" s="295">
        <f>$C15*'Tab. 8'!G24</f>
        <v>4644928.1108017014</v>
      </c>
      <c r="H19" s="295">
        <f>$C15*'Tab. 8'!H24</f>
        <v>4866115.1636970174</v>
      </c>
      <c r="I19" s="295">
        <f>$C15*'Tab. 8'!I24</f>
        <v>4278117.907697021</v>
      </c>
      <c r="J19" s="295">
        <f>$C15*'Tab. 8'!J24</f>
        <v>2654244.6347438297</v>
      </c>
      <c r="K19" s="295">
        <f>$C15*'Tab. 8'!K24</f>
        <v>4575173.7069912404</v>
      </c>
      <c r="L19" s="295">
        <f>$C15*'Tab. 8'!L24</f>
        <v>4035719.2173934439</v>
      </c>
      <c r="M19" s="295">
        <f>$C15*'Tab. 8'!M24</f>
        <v>4644928.1108017014</v>
      </c>
      <c r="N19" s="295">
        <f>$C15*'Tab. 8'!N24</f>
        <v>2066247.3787438299</v>
      </c>
      <c r="O19" s="156">
        <f>SUM(C19:N19)</f>
        <v>49955925.916893564</v>
      </c>
    </row>
    <row r="20" spans="2:15" ht="17" thickBot="1" x14ac:dyDescent="0.2">
      <c r="B20" s="233" t="s">
        <v>122</v>
      </c>
      <c r="C20" s="373">
        <f>C17-C18+C19</f>
        <v>4499979</v>
      </c>
      <c r="D20" s="373">
        <f>D17-D18+D19</f>
        <v>4499979</v>
      </c>
      <c r="E20" s="373">
        <f t="shared" ref="E20" si="13">E17-E18+E19</f>
        <v>4499979</v>
      </c>
      <c r="F20" s="373">
        <f t="shared" ref="F20" si="14">F17-F18+F19</f>
        <v>4499979</v>
      </c>
      <c r="G20" s="373">
        <f t="shared" ref="G20" si="15">G17-G18+G19</f>
        <v>4499979</v>
      </c>
      <c r="H20" s="373">
        <f t="shared" ref="H20" si="16">H17-H18+H19</f>
        <v>4499979</v>
      </c>
      <c r="I20" s="373">
        <f t="shared" ref="I20" si="17">I17-I18+I19</f>
        <v>4499979</v>
      </c>
      <c r="J20" s="373">
        <f t="shared" ref="J20" si="18">J17-J18+J19</f>
        <v>4499979</v>
      </c>
      <c r="K20" s="373">
        <f t="shared" ref="K20" si="19">K17-K18+K19</f>
        <v>4499979</v>
      </c>
      <c r="L20" s="373">
        <f t="shared" ref="L20" si="20">L17-L18+L19</f>
        <v>4499979</v>
      </c>
      <c r="M20" s="373">
        <f t="shared" ref="M20" si="21">M17-M18+M19</f>
        <v>4499979</v>
      </c>
      <c r="N20" s="373">
        <f t="shared" ref="N20" si="22">N17-N18+N19</f>
        <v>4499979</v>
      </c>
      <c r="O20" s="238"/>
    </row>
    <row r="21" spans="2:15" ht="16" x14ac:dyDescent="0.15">
      <c r="B21" s="268" t="s">
        <v>130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230"/>
    </row>
    <row r="22" spans="2:15" ht="16" x14ac:dyDescent="0.15">
      <c r="B22" s="270" t="s">
        <v>154</v>
      </c>
      <c r="C22" s="293">
        <f>VLOOKUP(B21,'Distinta base aggiornata'!$B$5:$F$16,4,0)</f>
        <v>30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230"/>
    </row>
    <row r="23" spans="2:15" ht="16" x14ac:dyDescent="0.15">
      <c r="B23" s="135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230"/>
    </row>
    <row r="24" spans="2:15" ht="16" x14ac:dyDescent="0.15">
      <c r="B24" s="135" t="s">
        <v>117</v>
      </c>
      <c r="C24" s="294">
        <f>C22*'Tab. 8'!C30</f>
        <v>1884000</v>
      </c>
      <c r="D24" s="295">
        <f>+C27</f>
        <v>1884000</v>
      </c>
      <c r="E24" s="295">
        <f t="shared" ref="E24:G24" si="23">+D27</f>
        <v>1884000</v>
      </c>
      <c r="F24" s="295">
        <f t="shared" si="23"/>
        <v>1884000</v>
      </c>
      <c r="G24" s="295">
        <f t="shared" si="23"/>
        <v>1884000</v>
      </c>
      <c r="H24" s="295">
        <f>+G27</f>
        <v>1884000</v>
      </c>
      <c r="I24" s="295">
        <f t="shared" ref="I24:N24" si="24">+H27</f>
        <v>1884000</v>
      </c>
      <c r="J24" s="295">
        <f t="shared" si="24"/>
        <v>1884000</v>
      </c>
      <c r="K24" s="295">
        <f t="shared" si="24"/>
        <v>1884000</v>
      </c>
      <c r="L24" s="295">
        <f t="shared" si="24"/>
        <v>1884000</v>
      </c>
      <c r="M24" s="295">
        <f t="shared" si="24"/>
        <v>1884000</v>
      </c>
      <c r="N24" s="295">
        <f t="shared" si="24"/>
        <v>1884000</v>
      </c>
      <c r="O24" s="152"/>
    </row>
    <row r="25" spans="2:15" ht="16" x14ac:dyDescent="0.15">
      <c r="B25" s="232" t="s">
        <v>155</v>
      </c>
      <c r="C25" s="294">
        <f>$C22*'Tab. 8'!C31</f>
        <v>1679155.1712151547</v>
      </c>
      <c r="D25" s="294">
        <f>$C22*'Tab. 8'!D31</f>
        <v>1893252.7851480935</v>
      </c>
      <c r="E25" s="294">
        <f>$C22*'Tab. 8'!E31</f>
        <v>2116279.439383721</v>
      </c>
      <c r="F25" s="294">
        <f>$C22*'Tab. 8'!F31</f>
        <v>1952043.5866726697</v>
      </c>
      <c r="G25" s="294">
        <f>$C22*'Tab. 8'!G31</f>
        <v>1918062.1233992039</v>
      </c>
      <c r="H25" s="294">
        <f>$C22*'Tab. 8'!H31</f>
        <v>2055694.9787234024</v>
      </c>
      <c r="I25" s="294">
        <f>$C22*'Tab. 8'!I31</f>
        <v>1807294.9787234042</v>
      </c>
      <c r="J25" s="294">
        <f>$C22*'Tab. 8'!J31</f>
        <v>1121288.1702127659</v>
      </c>
      <c r="K25" s="294">
        <f>$C22*'Tab. 8'!K31</f>
        <v>1902281.2203885939</v>
      </c>
      <c r="L25" s="294">
        <f>$C22*'Tab. 8'!L31</f>
        <v>1718569.6033137958</v>
      </c>
      <c r="M25" s="294">
        <f>$C22*'Tab. 8'!M31</f>
        <v>1962254.2978723401</v>
      </c>
      <c r="N25" s="294">
        <f>$C22*'Tab. 8'!N31</f>
        <v>872888.17021276604</v>
      </c>
      <c r="O25" s="156">
        <f>SUM(C25:N25)</f>
        <v>20999064.525265906</v>
      </c>
    </row>
    <row r="26" spans="2:15" ht="17" thickBot="1" x14ac:dyDescent="0.2">
      <c r="B26" s="232" t="s">
        <v>156</v>
      </c>
      <c r="C26" s="295">
        <f>$C22*'Tab. 8'!C33</f>
        <v>1679155.1712151547</v>
      </c>
      <c r="D26" s="295">
        <f>$C22*'Tab. 8'!D33</f>
        <v>1893252.7851480935</v>
      </c>
      <c r="E26" s="295">
        <f>$C22*'Tab. 8'!E33</f>
        <v>2116279.439383721</v>
      </c>
      <c r="F26" s="295">
        <f>$C22*'Tab. 8'!F33</f>
        <v>1952043.5866726697</v>
      </c>
      <c r="G26" s="295">
        <f>$C22*'Tab. 8'!G33</f>
        <v>1918062.1233992039</v>
      </c>
      <c r="H26" s="295">
        <f>$C22*'Tab. 8'!H33</f>
        <v>2055694.9787234024</v>
      </c>
      <c r="I26" s="295">
        <f>$C22*'Tab. 8'!I33</f>
        <v>1807294.9787234042</v>
      </c>
      <c r="J26" s="295">
        <f>$C22*'Tab. 8'!J33</f>
        <v>1121288.1702127659</v>
      </c>
      <c r="K26" s="295">
        <f>$C22*'Tab. 8'!K33</f>
        <v>1902281.2203885939</v>
      </c>
      <c r="L26" s="295">
        <f>$C22*'Tab. 8'!L33</f>
        <v>1718569.6033137958</v>
      </c>
      <c r="M26" s="295">
        <f>$C22*'Tab. 8'!M33</f>
        <v>1962254.2978723401</v>
      </c>
      <c r="N26" s="295">
        <f>$C22*'Tab. 8'!N33</f>
        <v>872888.17021276604</v>
      </c>
      <c r="O26" s="156">
        <f>SUM(C26:N26)</f>
        <v>20999064.525265906</v>
      </c>
    </row>
    <row r="27" spans="2:15" ht="17" thickBot="1" x14ac:dyDescent="0.2">
      <c r="B27" s="233" t="s">
        <v>122</v>
      </c>
      <c r="C27" s="373">
        <f>C24-C25+C26</f>
        <v>1884000</v>
      </c>
      <c r="D27" s="373">
        <f>D24-D25+D26</f>
        <v>1884000</v>
      </c>
      <c r="E27" s="373">
        <f t="shared" ref="E27" si="25">E24-E25+E26</f>
        <v>1884000</v>
      </c>
      <c r="F27" s="373">
        <f t="shared" ref="F27" si="26">F24-F25+F26</f>
        <v>1884000</v>
      </c>
      <c r="G27" s="373">
        <f t="shared" ref="G27" si="27">G24-G25+G26</f>
        <v>1884000</v>
      </c>
      <c r="H27" s="373">
        <f t="shared" ref="H27" si="28">H24-H25+H26</f>
        <v>1884000</v>
      </c>
      <c r="I27" s="373">
        <f t="shared" ref="I27" si="29">I24-I25+I26</f>
        <v>1884000</v>
      </c>
      <c r="J27" s="373">
        <f t="shared" ref="J27" si="30">J24-J25+J26</f>
        <v>1884000</v>
      </c>
      <c r="K27" s="373">
        <f t="shared" ref="K27" si="31">K24-K25+K26</f>
        <v>1884000</v>
      </c>
      <c r="L27" s="373">
        <f t="shared" ref="L27" si="32">L24-L25+L26</f>
        <v>1884000</v>
      </c>
      <c r="M27" s="373">
        <f t="shared" ref="M27" si="33">M24-M25+M26</f>
        <v>1884000</v>
      </c>
      <c r="N27" s="373">
        <f t="shared" ref="N27" si="34">N24-N25+N26</f>
        <v>1884000</v>
      </c>
      <c r="O27" s="238"/>
    </row>
    <row r="28" spans="2:15" ht="16" x14ac:dyDescent="0.15">
      <c r="B28" s="268" t="s">
        <v>79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230"/>
    </row>
    <row r="29" spans="2:15" ht="16" x14ac:dyDescent="0.15">
      <c r="B29" s="270" t="s">
        <v>154</v>
      </c>
      <c r="C29" s="293">
        <f>VLOOKUP(B28,'Distinta base aggiornata'!$B$5:$F$16,4,0)</f>
        <v>50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230"/>
    </row>
    <row r="30" spans="2:15" ht="16" x14ac:dyDescent="0.15">
      <c r="B30" s="135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230"/>
    </row>
    <row r="31" spans="2:15" ht="16" x14ac:dyDescent="0.15">
      <c r="B31" s="135" t="s">
        <v>117</v>
      </c>
      <c r="C31" s="294">
        <f>C29*'Tab. 8'!C39</f>
        <v>175000</v>
      </c>
      <c r="D31" s="295">
        <f>+C34</f>
        <v>175000</v>
      </c>
      <c r="E31" s="295">
        <f t="shared" ref="E31:G31" si="35">+D34</f>
        <v>175000</v>
      </c>
      <c r="F31" s="295">
        <f t="shared" si="35"/>
        <v>175000</v>
      </c>
      <c r="G31" s="295">
        <f t="shared" si="35"/>
        <v>175000</v>
      </c>
      <c r="H31" s="295">
        <f>+G34</f>
        <v>175000</v>
      </c>
      <c r="I31" s="295">
        <f t="shared" ref="I31:N31" si="36">+H34</f>
        <v>175000</v>
      </c>
      <c r="J31" s="295">
        <f t="shared" si="36"/>
        <v>175000</v>
      </c>
      <c r="K31" s="295">
        <f t="shared" si="36"/>
        <v>175000</v>
      </c>
      <c r="L31" s="295">
        <f t="shared" si="36"/>
        <v>175000</v>
      </c>
      <c r="M31" s="295">
        <f t="shared" si="36"/>
        <v>175000</v>
      </c>
      <c r="N31" s="295">
        <f t="shared" si="36"/>
        <v>175000</v>
      </c>
      <c r="O31" s="152"/>
    </row>
    <row r="32" spans="2:15" ht="16" x14ac:dyDescent="0.15">
      <c r="B32" s="232" t="s">
        <v>155</v>
      </c>
      <c r="C32" s="294">
        <f>$C29*'Tab. 8'!C40</f>
        <v>90209.331717913665</v>
      </c>
      <c r="D32" s="294">
        <f>$C29*'Tab. 8'!D40</f>
        <v>93529.219098490357</v>
      </c>
      <c r="E32" s="294">
        <f>$C29*'Tab. 8'!E40</f>
        <v>97982.991436513665</v>
      </c>
      <c r="F32" s="294">
        <f>$C29*'Tab. 8'!F40</f>
        <v>97982.991436513286</v>
      </c>
      <c r="G32" s="294">
        <f>$C29*'Tab. 8'!G40</f>
        <v>62585.63385998641</v>
      </c>
      <c r="H32" s="294">
        <f>$C29*'Tab. 8'!H40</f>
        <v>113791.48936170204</v>
      </c>
      <c r="I32" s="294">
        <f>$C29*'Tab. 8'!I40</f>
        <v>100041.48936170212</v>
      </c>
      <c r="J32" s="294">
        <f>$C29*'Tab. 8'!J40</f>
        <v>62068.085106382976</v>
      </c>
      <c r="K32" s="294">
        <f>$C29*'Tab. 8'!K40</f>
        <v>75211.663779155788</v>
      </c>
      <c r="L32" s="294">
        <f>$C29*'Tab. 8'!L40</f>
        <v>108619.1489361702</v>
      </c>
      <c r="M32" s="294">
        <f>$C29*'Tab. 8'!M40</f>
        <v>108619.1489361702</v>
      </c>
      <c r="N32" s="294">
        <f>$C29*'Tab. 8'!N40</f>
        <v>48318.085106382976</v>
      </c>
      <c r="O32" s="156">
        <f>SUM(C32:N32)</f>
        <v>1058959.2781370836</v>
      </c>
    </row>
    <row r="33" spans="2:15" ht="17" thickBot="1" x14ac:dyDescent="0.2">
      <c r="B33" s="232" t="s">
        <v>156</v>
      </c>
      <c r="C33" s="295">
        <f>$C29*'Tab. 8'!C42</f>
        <v>90209.331717913665</v>
      </c>
      <c r="D33" s="295">
        <f>$C29*'Tab. 8'!D42</f>
        <v>93529.219098490357</v>
      </c>
      <c r="E33" s="295">
        <f>$C29*'Tab. 8'!E42</f>
        <v>97982.991436513665</v>
      </c>
      <c r="F33" s="295">
        <f>$C29*'Tab. 8'!F42</f>
        <v>97982.991436513286</v>
      </c>
      <c r="G33" s="295">
        <f>$C29*'Tab. 8'!G42</f>
        <v>62585.63385998641</v>
      </c>
      <c r="H33" s="295">
        <f>$C29*'Tab. 8'!H42</f>
        <v>113791.48936170204</v>
      </c>
      <c r="I33" s="295">
        <f>$C29*'Tab. 8'!I42</f>
        <v>100041.48936170212</v>
      </c>
      <c r="J33" s="295">
        <f>$C29*'Tab. 8'!J42</f>
        <v>62068.085106382976</v>
      </c>
      <c r="K33" s="295">
        <f>$C29*'Tab. 8'!K42</f>
        <v>75211.663779155788</v>
      </c>
      <c r="L33" s="295">
        <f>$C29*'Tab. 8'!L42</f>
        <v>108619.1489361702</v>
      </c>
      <c r="M33" s="295">
        <f>$C29*'Tab. 8'!M42</f>
        <v>108619.1489361702</v>
      </c>
      <c r="N33" s="295">
        <f>$C29*'Tab. 8'!N42</f>
        <v>48318.085106382976</v>
      </c>
      <c r="O33" s="156">
        <f>SUM(C33:N33)</f>
        <v>1058959.2781370836</v>
      </c>
    </row>
    <row r="34" spans="2:15" ht="17" thickBot="1" x14ac:dyDescent="0.2">
      <c r="B34" s="233" t="s">
        <v>122</v>
      </c>
      <c r="C34" s="373">
        <f>C31-C32+C33</f>
        <v>175000</v>
      </c>
      <c r="D34" s="373">
        <f>D31-D32+D33</f>
        <v>175000</v>
      </c>
      <c r="E34" s="373">
        <f t="shared" ref="E34" si="37">E31-E32+E33</f>
        <v>175000</v>
      </c>
      <c r="F34" s="373">
        <f t="shared" ref="F34" si="38">F31-F32+F33</f>
        <v>175000</v>
      </c>
      <c r="G34" s="373">
        <f t="shared" ref="G34" si="39">G31-G32+G33</f>
        <v>175000</v>
      </c>
      <c r="H34" s="373">
        <f t="shared" ref="H34" si="40">H31-H32+H33</f>
        <v>175000</v>
      </c>
      <c r="I34" s="373">
        <f t="shared" ref="I34" si="41">I31-I32+I33</f>
        <v>175000</v>
      </c>
      <c r="J34" s="373">
        <f t="shared" ref="J34" si="42">J31-J32+J33</f>
        <v>175000</v>
      </c>
      <c r="K34" s="373">
        <f t="shared" ref="K34" si="43">K31-K32+K33</f>
        <v>175000</v>
      </c>
      <c r="L34" s="373">
        <f t="shared" ref="L34" si="44">L31-L32+L33</f>
        <v>175000</v>
      </c>
      <c r="M34" s="373">
        <f t="shared" ref="M34" si="45">M31-M32+M33</f>
        <v>175000</v>
      </c>
      <c r="N34" s="373">
        <f t="shared" ref="N34" si="46">N31-N32+N33</f>
        <v>175000</v>
      </c>
      <c r="O34" s="238"/>
    </row>
    <row r="35" spans="2:15" ht="16" x14ac:dyDescent="0.15">
      <c r="B35" s="268" t="s">
        <v>136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230"/>
    </row>
    <row r="36" spans="2:15" ht="16" x14ac:dyDescent="0.15">
      <c r="B36" s="270" t="s">
        <v>154</v>
      </c>
      <c r="C36" s="293">
        <f>VLOOKUP(B35,'Distinta base aggiornata'!$B$5:$F$16,4,0)</f>
        <v>15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230"/>
    </row>
    <row r="37" spans="2:15" ht="16" x14ac:dyDescent="0.15">
      <c r="B37" s="135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230"/>
    </row>
    <row r="38" spans="2:15" ht="16" x14ac:dyDescent="0.15">
      <c r="B38" s="135" t="s">
        <v>117</v>
      </c>
      <c r="C38" s="294">
        <f>C36*'Tab. 8'!C48</f>
        <v>105000</v>
      </c>
      <c r="D38" s="295">
        <f>+C41</f>
        <v>112235.06291818843</v>
      </c>
      <c r="E38" s="295">
        <f t="shared" ref="E38:G38" si="47">+D41</f>
        <v>117579.58972381639</v>
      </c>
      <c r="F38" s="295">
        <f t="shared" si="47"/>
        <v>117579.58972381595</v>
      </c>
      <c r="G38" s="295">
        <f t="shared" si="47"/>
        <v>105000.03</v>
      </c>
      <c r="H38" s="295">
        <f>+G41</f>
        <v>136549.78723404245</v>
      </c>
      <c r="I38" s="295">
        <f t="shared" ref="I38:N38" si="48">+H41</f>
        <v>120049.78723404254</v>
      </c>
      <c r="J38" s="295">
        <f t="shared" si="48"/>
        <v>105000.03</v>
      </c>
      <c r="K38" s="295">
        <f t="shared" si="48"/>
        <v>105000.03</v>
      </c>
      <c r="L38" s="295">
        <f t="shared" si="48"/>
        <v>130342.97872340425</v>
      </c>
      <c r="M38" s="295">
        <f t="shared" si="48"/>
        <v>130342.97872340425</v>
      </c>
      <c r="N38" s="295">
        <f t="shared" si="48"/>
        <v>105000.03</v>
      </c>
      <c r="O38" s="152"/>
    </row>
    <row r="39" spans="2:15" ht="16" x14ac:dyDescent="0.15">
      <c r="B39" s="232" t="s">
        <v>155</v>
      </c>
      <c r="C39" s="294">
        <f>$C36*'Tab. 8'!C49</f>
        <v>108251.1980614964</v>
      </c>
      <c r="D39" s="294">
        <f>$C36*'Tab. 8'!D49</f>
        <v>112235.06291818843</v>
      </c>
      <c r="E39" s="294">
        <f>$C36*'Tab. 8'!E49</f>
        <v>117579.58972381639</v>
      </c>
      <c r="F39" s="294">
        <f>$C36*'Tab. 8'!F49</f>
        <v>117579.58972381595</v>
      </c>
      <c r="G39" s="294">
        <f>$C36*'Tab. 8'!G49</f>
        <v>75102.760631983692</v>
      </c>
      <c r="H39" s="294">
        <f>$C36*'Tab. 8'!H49</f>
        <v>136549.78723404245</v>
      </c>
      <c r="I39" s="294">
        <f>$C36*'Tab. 8'!I49</f>
        <v>120049.78723404254</v>
      </c>
      <c r="J39" s="294">
        <f>$C36*'Tab. 8'!J49</f>
        <v>74481.702127659577</v>
      </c>
      <c r="K39" s="294">
        <f>$C36*'Tab. 8'!K49</f>
        <v>90253.996534986945</v>
      </c>
      <c r="L39" s="294">
        <f>$C36*'Tab. 8'!L49</f>
        <v>130342.97872340425</v>
      </c>
      <c r="M39" s="294">
        <f>$C36*'Tab. 8'!M49</f>
        <v>130342.97872340425</v>
      </c>
      <c r="N39" s="294">
        <f>$C36*'Tab. 8'!N49</f>
        <v>57981.702127659577</v>
      </c>
      <c r="O39" s="156">
        <f>SUM(C39:N39)</f>
        <v>1270751.1337645003</v>
      </c>
    </row>
    <row r="40" spans="2:15" ht="17" thickBot="1" x14ac:dyDescent="0.2">
      <c r="B40" s="232" t="s">
        <v>156</v>
      </c>
      <c r="C40" s="295">
        <f>$C36*'Tab. 8'!C51</f>
        <v>115486.26097968483</v>
      </c>
      <c r="D40" s="295">
        <f>$C36*'Tab. 8'!D51</f>
        <v>117579.58972381639</v>
      </c>
      <c r="E40" s="295">
        <f>$C36*'Tab. 8'!E51</f>
        <v>117579.58972381595</v>
      </c>
      <c r="F40" s="295">
        <f>$C36*'Tab. 8'!F51</f>
        <v>105000.03</v>
      </c>
      <c r="G40" s="295">
        <f>$C36*'Tab. 8'!G51</f>
        <v>106652.51786602614</v>
      </c>
      <c r="H40" s="295">
        <f>$C36*'Tab. 8'!H51</f>
        <v>120049.78723404254</v>
      </c>
      <c r="I40" s="295">
        <f>$C36*'Tab. 8'!I51</f>
        <v>105000.03</v>
      </c>
      <c r="J40" s="295">
        <f>$C36*'Tab. 8'!J51</f>
        <v>74481.702127659577</v>
      </c>
      <c r="K40" s="295">
        <f>$C36*'Tab. 8'!K51</f>
        <v>115596.94525839119</v>
      </c>
      <c r="L40" s="295">
        <f>$C36*'Tab. 8'!L51</f>
        <v>130342.97872340425</v>
      </c>
      <c r="M40" s="295">
        <f>$C36*'Tab. 8'!M51</f>
        <v>105000.03</v>
      </c>
      <c r="N40" s="295">
        <f>$C36*'Tab. 8'!N51</f>
        <v>71678.95119782773</v>
      </c>
      <c r="O40" s="156">
        <f>SUM(C40:N40)</f>
        <v>1284448.4128346688</v>
      </c>
    </row>
    <row r="41" spans="2:15" ht="17" thickBot="1" x14ac:dyDescent="0.2">
      <c r="B41" s="233" t="s">
        <v>122</v>
      </c>
      <c r="C41" s="373">
        <f>C38-C39+C40</f>
        <v>112235.06291818843</v>
      </c>
      <c r="D41" s="373">
        <f>D38-D39+D40</f>
        <v>117579.58972381639</v>
      </c>
      <c r="E41" s="373">
        <f t="shared" ref="E41" si="49">E38-E39+E40</f>
        <v>117579.58972381595</v>
      </c>
      <c r="F41" s="373">
        <f t="shared" ref="F41" si="50">F38-F39+F40</f>
        <v>105000.03</v>
      </c>
      <c r="G41" s="373">
        <f t="shared" ref="G41" si="51">G38-G39+G40</f>
        <v>136549.78723404245</v>
      </c>
      <c r="H41" s="373">
        <f t="shared" ref="H41" si="52">H38-H39+H40</f>
        <v>120049.78723404254</v>
      </c>
      <c r="I41" s="373">
        <f t="shared" ref="I41" si="53">I38-I39+I40</f>
        <v>105000.03</v>
      </c>
      <c r="J41" s="373">
        <f t="shared" ref="J41" si="54">J38-J39+J40</f>
        <v>105000.03</v>
      </c>
      <c r="K41" s="373">
        <f t="shared" ref="K41" si="55">K38-K39+K40</f>
        <v>130342.97872340425</v>
      </c>
      <c r="L41" s="373">
        <f t="shared" ref="L41" si="56">L38-L39+L40</f>
        <v>130342.97872340425</v>
      </c>
      <c r="M41" s="373">
        <f t="shared" ref="M41" si="57">M38-M39+M40</f>
        <v>105000.03</v>
      </c>
      <c r="N41" s="373">
        <f t="shared" ref="N41" si="58">N38-N39+N40</f>
        <v>118697.27907016815</v>
      </c>
      <c r="O41" s="238"/>
    </row>
    <row r="42" spans="2:15" ht="16" x14ac:dyDescent="0.15">
      <c r="B42" s="268" t="s">
        <v>137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230"/>
    </row>
    <row r="43" spans="2:15" ht="16" x14ac:dyDescent="0.15">
      <c r="B43" s="270" t="s">
        <v>154</v>
      </c>
      <c r="C43" s="293">
        <f>VLOOKUP(B42,'Distinta base aggiornata'!$B$5:$F$16,4,0)</f>
        <v>20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230"/>
    </row>
    <row r="44" spans="2:15" ht="16" x14ac:dyDescent="0.15">
      <c r="B44" s="135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230"/>
    </row>
    <row r="45" spans="2:15" ht="16" x14ac:dyDescent="0.15">
      <c r="B45" s="135" t="s">
        <v>117</v>
      </c>
      <c r="C45" s="294">
        <f>C43*'Tab. 8'!C57</f>
        <v>420000</v>
      </c>
      <c r="D45" s="295">
        <f>+C48</f>
        <v>420000</v>
      </c>
      <c r="E45" s="295">
        <f t="shared" ref="E45:G45" si="59">+D48</f>
        <v>420000</v>
      </c>
      <c r="F45" s="295">
        <f t="shared" si="59"/>
        <v>420000</v>
      </c>
      <c r="G45" s="295">
        <f t="shared" si="59"/>
        <v>420000</v>
      </c>
      <c r="H45" s="295">
        <f>+G48</f>
        <v>420000</v>
      </c>
      <c r="I45" s="295">
        <f t="shared" ref="I45:N45" si="60">+H48</f>
        <v>420000</v>
      </c>
      <c r="J45" s="295">
        <f t="shared" si="60"/>
        <v>420000</v>
      </c>
      <c r="K45" s="295">
        <f t="shared" si="60"/>
        <v>420000</v>
      </c>
      <c r="L45" s="295">
        <f t="shared" si="60"/>
        <v>420000</v>
      </c>
      <c r="M45" s="295">
        <f t="shared" si="60"/>
        <v>420000</v>
      </c>
      <c r="N45" s="295">
        <f t="shared" si="60"/>
        <v>420000</v>
      </c>
      <c r="O45" s="152"/>
    </row>
    <row r="46" spans="2:15" ht="16" x14ac:dyDescent="0.15">
      <c r="B46" s="232" t="s">
        <v>155</v>
      </c>
      <c r="C46" s="294">
        <f>$C43*'Tab. 8'!C58</f>
        <v>216502.3961229928</v>
      </c>
      <c r="D46" s="294">
        <f>$C43*'Tab. 8'!D58</f>
        <v>224470.12583637683</v>
      </c>
      <c r="E46" s="294">
        <f>$C43*'Tab. 8'!E58</f>
        <v>235159.17944763278</v>
      </c>
      <c r="F46" s="294">
        <f>$C43*'Tab. 8'!F58</f>
        <v>235159.1794476319</v>
      </c>
      <c r="G46" s="294">
        <f>$C43*'Tab. 8'!G58</f>
        <v>150205.52126396738</v>
      </c>
      <c r="H46" s="294">
        <f>$C43*'Tab. 8'!H58</f>
        <v>273099.5744680849</v>
      </c>
      <c r="I46" s="294">
        <f>$C43*'Tab. 8'!I58</f>
        <v>240099.57446808505</v>
      </c>
      <c r="J46" s="294">
        <f>$C43*'Tab. 8'!J58</f>
        <v>148963.40425531915</v>
      </c>
      <c r="K46" s="294">
        <f>$C43*'Tab. 8'!K58</f>
        <v>180507.99306997389</v>
      </c>
      <c r="L46" s="294">
        <f>$C43*'Tab. 8'!L58</f>
        <v>260685.95744680846</v>
      </c>
      <c r="M46" s="294">
        <f>$C43*'Tab. 8'!M58</f>
        <v>260685.95744680846</v>
      </c>
      <c r="N46" s="294">
        <f>$C43*'Tab. 8'!N58</f>
        <v>115963.40425531915</v>
      </c>
      <c r="O46" s="156">
        <f>SUM(C46:N46)</f>
        <v>2541502.2675290005</v>
      </c>
    </row>
    <row r="47" spans="2:15" ht="17" thickBot="1" x14ac:dyDescent="0.2">
      <c r="B47" s="232" t="s">
        <v>156</v>
      </c>
      <c r="C47" s="295">
        <f>$C43*'Tab. 8'!C60</f>
        <v>216502.3961229928</v>
      </c>
      <c r="D47" s="295">
        <f>$C43*'Tab. 8'!D60</f>
        <v>224470.12583637683</v>
      </c>
      <c r="E47" s="295">
        <f>$C43*'Tab. 8'!E60</f>
        <v>235159.17944763278</v>
      </c>
      <c r="F47" s="295">
        <f>$C43*'Tab. 8'!F60</f>
        <v>235159.1794476319</v>
      </c>
      <c r="G47" s="295">
        <f>$C43*'Tab. 8'!G60</f>
        <v>150205.52126396738</v>
      </c>
      <c r="H47" s="295">
        <f>$C43*'Tab. 8'!H60</f>
        <v>273099.5744680849</v>
      </c>
      <c r="I47" s="295">
        <f>$C43*'Tab. 8'!I60</f>
        <v>240099.57446808505</v>
      </c>
      <c r="J47" s="295">
        <f>$C43*'Tab. 8'!J60</f>
        <v>148963.40425531915</v>
      </c>
      <c r="K47" s="295">
        <f>$C43*'Tab. 8'!K60</f>
        <v>180507.99306997389</v>
      </c>
      <c r="L47" s="295">
        <f>$C43*'Tab. 8'!L60</f>
        <v>260685.95744680846</v>
      </c>
      <c r="M47" s="295">
        <f>$C43*'Tab. 8'!M60</f>
        <v>260685.95744680846</v>
      </c>
      <c r="N47" s="295">
        <f>$C43*'Tab. 8'!N60</f>
        <v>115963.40425531915</v>
      </c>
      <c r="O47" s="156">
        <f>SUM(C47:N47)</f>
        <v>2541502.2675290005</v>
      </c>
    </row>
    <row r="48" spans="2:15" ht="17" thickBot="1" x14ac:dyDescent="0.2">
      <c r="B48" s="233" t="s">
        <v>122</v>
      </c>
      <c r="C48" s="373">
        <f>C45-C46+C47</f>
        <v>420000</v>
      </c>
      <c r="D48" s="373">
        <f>D45-D46+D47</f>
        <v>420000</v>
      </c>
      <c r="E48" s="373">
        <f t="shared" ref="E48" si="61">E45-E46+E47</f>
        <v>420000</v>
      </c>
      <c r="F48" s="373">
        <f t="shared" ref="F48" si="62">F45-F46+F47</f>
        <v>420000</v>
      </c>
      <c r="G48" s="373">
        <f t="shared" ref="G48" si="63">G45-G46+G47</f>
        <v>420000</v>
      </c>
      <c r="H48" s="373">
        <f t="shared" ref="H48" si="64">H45-H46+H47</f>
        <v>420000</v>
      </c>
      <c r="I48" s="373">
        <f t="shared" ref="I48" si="65">I45-I46+I47</f>
        <v>420000</v>
      </c>
      <c r="J48" s="373">
        <f t="shared" ref="J48" si="66">J45-J46+J47</f>
        <v>420000</v>
      </c>
      <c r="K48" s="373">
        <f t="shared" ref="K48" si="67">K45-K46+K47</f>
        <v>420000</v>
      </c>
      <c r="L48" s="373">
        <f t="shared" ref="L48" si="68">L45-L46+L47</f>
        <v>420000</v>
      </c>
      <c r="M48" s="373">
        <f t="shared" ref="M48" si="69">M45-M46+M47</f>
        <v>420000</v>
      </c>
      <c r="N48" s="373">
        <f t="shared" ref="N48" si="70">N45-N46+N47</f>
        <v>420000</v>
      </c>
      <c r="O48" s="238"/>
    </row>
    <row r="49" spans="2:15" ht="16" x14ac:dyDescent="0.15">
      <c r="B49" s="268" t="s">
        <v>138</v>
      </c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230"/>
    </row>
    <row r="50" spans="2:15" ht="16" x14ac:dyDescent="0.15">
      <c r="B50" s="270" t="s">
        <v>154</v>
      </c>
      <c r="C50" s="293">
        <f>VLOOKUP(B49,'Distinta base aggiornata'!$B$5:$F$16,4,0)</f>
        <v>50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230"/>
    </row>
    <row r="51" spans="2:15" ht="16" x14ac:dyDescent="0.15">
      <c r="B51" s="135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230"/>
    </row>
    <row r="52" spans="2:15" ht="16" x14ac:dyDescent="0.15">
      <c r="B52" s="135" t="s">
        <v>117</v>
      </c>
      <c r="C52" s="294">
        <f>C50*'Tab. 8'!C66</f>
        <v>175000</v>
      </c>
      <c r="D52" s="295">
        <f>+C55</f>
        <v>187058.43819698071</v>
      </c>
      <c r="E52" s="295">
        <f t="shared" ref="E52:G52" si="71">+D55</f>
        <v>195965.98287302733</v>
      </c>
      <c r="F52" s="295">
        <f t="shared" si="71"/>
        <v>195965.98287302657</v>
      </c>
      <c r="G52" s="295">
        <f t="shared" si="71"/>
        <v>175000</v>
      </c>
      <c r="H52" s="295">
        <f>+G55</f>
        <v>227582.97872340409</v>
      </c>
      <c r="I52" s="295">
        <f t="shared" ref="I52:N52" si="72">+H55</f>
        <v>200082.97872340423</v>
      </c>
      <c r="J52" s="295">
        <f t="shared" si="72"/>
        <v>175000</v>
      </c>
      <c r="K52" s="295">
        <f t="shared" si="72"/>
        <v>175000</v>
      </c>
      <c r="L52" s="295">
        <f t="shared" si="72"/>
        <v>217238.29787234039</v>
      </c>
      <c r="M52" s="295">
        <f t="shared" si="72"/>
        <v>217238.29787234039</v>
      </c>
      <c r="N52" s="295">
        <f t="shared" si="72"/>
        <v>175000</v>
      </c>
      <c r="O52" s="152"/>
    </row>
    <row r="53" spans="2:15" ht="16" x14ac:dyDescent="0.15">
      <c r="B53" s="232" t="s">
        <v>155</v>
      </c>
      <c r="C53" s="294">
        <f>$C50*'Tab. 8'!C67</f>
        <v>180418.66343582733</v>
      </c>
      <c r="D53" s="294">
        <f>$C50*'Tab. 8'!D67</f>
        <v>187058.43819698071</v>
      </c>
      <c r="E53" s="294">
        <f>$C50*'Tab. 8'!E67</f>
        <v>195965.98287302733</v>
      </c>
      <c r="F53" s="294">
        <f>$C50*'Tab. 8'!F67</f>
        <v>195965.98287302657</v>
      </c>
      <c r="G53" s="294">
        <f>$C50*'Tab. 8'!G67</f>
        <v>125171.26771997282</v>
      </c>
      <c r="H53" s="294">
        <f>$C50*'Tab. 8'!H67</f>
        <v>227582.97872340409</v>
      </c>
      <c r="I53" s="294">
        <f>$C50*'Tab. 8'!I67</f>
        <v>200082.97872340423</v>
      </c>
      <c r="J53" s="294">
        <f>$C50*'Tab. 8'!J67</f>
        <v>124136.17021276595</v>
      </c>
      <c r="K53" s="294">
        <f>$C50*'Tab. 8'!K67</f>
        <v>150423.32755831158</v>
      </c>
      <c r="L53" s="294">
        <f>$C50*'Tab. 8'!L67</f>
        <v>217238.29787234039</v>
      </c>
      <c r="M53" s="294">
        <f>$C50*'Tab. 8'!M67</f>
        <v>217238.29787234039</v>
      </c>
      <c r="N53" s="294">
        <f>$C50*'Tab. 8'!N67</f>
        <v>96636.170212765952</v>
      </c>
      <c r="O53" s="156">
        <f>SUM(C53:N53)</f>
        <v>2117918.5562741673</v>
      </c>
    </row>
    <row r="54" spans="2:15" ht="17" thickBot="1" x14ac:dyDescent="0.2">
      <c r="B54" s="232" t="s">
        <v>156</v>
      </c>
      <c r="C54" s="295">
        <f>$C50*'Tab. 8'!C69</f>
        <v>192477.10163280804</v>
      </c>
      <c r="D54" s="295">
        <f>$C50*'Tab. 8'!D69</f>
        <v>195965.98287302733</v>
      </c>
      <c r="E54" s="295">
        <f>$C50*'Tab. 8'!E69</f>
        <v>195965.98287302657</v>
      </c>
      <c r="F54" s="295">
        <f>$C50*'Tab. 8'!F69</f>
        <v>175000</v>
      </c>
      <c r="G54" s="295">
        <f>$C50*'Tab. 8'!G69</f>
        <v>177754.24644337691</v>
      </c>
      <c r="H54" s="295">
        <f>$C50*'Tab. 8'!H69</f>
        <v>200082.97872340423</v>
      </c>
      <c r="I54" s="295">
        <f>$C50*'Tab. 8'!I69</f>
        <v>175000</v>
      </c>
      <c r="J54" s="295">
        <f>$C50*'Tab. 8'!J69</f>
        <v>124136.17021276595</v>
      </c>
      <c r="K54" s="295">
        <f>$C50*'Tab. 8'!K69</f>
        <v>192661.62543065197</v>
      </c>
      <c r="L54" s="295">
        <f>$C50*'Tab. 8'!L69</f>
        <v>217238.29787234039</v>
      </c>
      <c r="M54" s="295">
        <f>$C50*'Tab. 8'!M69</f>
        <v>175000</v>
      </c>
      <c r="N54" s="295">
        <f>$C50*'Tab. 8'!N69</f>
        <v>119464.96866304619</v>
      </c>
      <c r="O54" s="156">
        <f>SUM(C54:N54)</f>
        <v>2140747.3547244477</v>
      </c>
    </row>
    <row r="55" spans="2:15" ht="17" thickBot="1" x14ac:dyDescent="0.2">
      <c r="B55" s="233" t="s">
        <v>122</v>
      </c>
      <c r="C55" s="373">
        <f>C52-C53+C54</f>
        <v>187058.43819698071</v>
      </c>
      <c r="D55" s="373">
        <f>D52-D53+D54</f>
        <v>195965.98287302733</v>
      </c>
      <c r="E55" s="373">
        <f t="shared" ref="E55" si="73">E52-E53+E54</f>
        <v>195965.98287302657</v>
      </c>
      <c r="F55" s="373">
        <f t="shared" ref="F55" si="74">F52-F53+F54</f>
        <v>175000</v>
      </c>
      <c r="G55" s="373">
        <f t="shared" ref="G55" si="75">G52-G53+G54</f>
        <v>227582.97872340409</v>
      </c>
      <c r="H55" s="373">
        <f t="shared" ref="H55" si="76">H52-H53+H54</f>
        <v>200082.97872340423</v>
      </c>
      <c r="I55" s="373">
        <f t="shared" ref="I55" si="77">I52-I53+I54</f>
        <v>175000</v>
      </c>
      <c r="J55" s="373">
        <f t="shared" ref="J55" si="78">J52-J53+J54</f>
        <v>175000</v>
      </c>
      <c r="K55" s="373">
        <f t="shared" ref="K55" si="79">K52-K53+K54</f>
        <v>217238.29787234039</v>
      </c>
      <c r="L55" s="373">
        <f t="shared" ref="L55" si="80">L52-L53+L54</f>
        <v>217238.29787234039</v>
      </c>
      <c r="M55" s="373">
        <f t="shared" ref="M55" si="81">M52-M53+M54</f>
        <v>175000</v>
      </c>
      <c r="N55" s="373">
        <f t="shared" ref="N55" si="82">N52-N53+N54</f>
        <v>197828.79845028024</v>
      </c>
      <c r="O55" s="238"/>
    </row>
    <row r="56" spans="2:15" ht="16" x14ac:dyDescent="0.15">
      <c r="B56" s="298" t="s">
        <v>3</v>
      </c>
      <c r="C56" s="299"/>
      <c r="D56" s="299"/>
      <c r="E56" s="299"/>
      <c r="F56" s="299"/>
      <c r="G56" s="299"/>
      <c r="H56" s="299"/>
      <c r="I56" s="299"/>
      <c r="J56" s="299"/>
      <c r="K56" s="299"/>
      <c r="L56" s="299"/>
      <c r="M56" s="299"/>
      <c r="N56" s="299"/>
      <c r="O56" s="230"/>
    </row>
    <row r="57" spans="2:15" ht="16" x14ac:dyDescent="0.15">
      <c r="B57" s="300"/>
      <c r="C57" s="299"/>
      <c r="D57" s="299"/>
      <c r="E57" s="299"/>
      <c r="F57" s="299"/>
      <c r="G57" s="299"/>
      <c r="H57" s="299"/>
      <c r="I57" s="299"/>
      <c r="J57" s="299"/>
      <c r="K57" s="299"/>
      <c r="L57" s="299"/>
      <c r="M57" s="299"/>
      <c r="N57" s="299"/>
      <c r="O57" s="230"/>
    </row>
    <row r="58" spans="2:15" ht="16" x14ac:dyDescent="0.15">
      <c r="B58" s="300" t="s">
        <v>117</v>
      </c>
      <c r="C58" s="301">
        <f>+C10+C17+C24+C31+C38+C45+C52</f>
        <v>7503979</v>
      </c>
      <c r="D58" s="301">
        <f>+C61</f>
        <v>7503705.592966863</v>
      </c>
      <c r="E58" s="301">
        <f t="shared" ref="E58:G58" si="83">+D61</f>
        <v>7545301.5435474291</v>
      </c>
      <c r="F58" s="301">
        <f t="shared" si="83"/>
        <v>7524772.0619585468</v>
      </c>
      <c r="G58" s="301">
        <f t="shared" si="83"/>
        <v>7491226.5193617046</v>
      </c>
      <c r="H58" s="301">
        <f>+G61</f>
        <v>7586418.6595744686</v>
      </c>
      <c r="I58" s="301">
        <f t="shared" ref="I58:N58" si="84">+H61</f>
        <v>7524111.7659574477</v>
      </c>
      <c r="J58" s="301">
        <f t="shared" si="84"/>
        <v>7483979.0300000012</v>
      </c>
      <c r="K58" s="301">
        <f t="shared" si="84"/>
        <v>7487738.782895077</v>
      </c>
      <c r="L58" s="301">
        <f t="shared" si="84"/>
        <v>7551560.2765957452</v>
      </c>
      <c r="M58" s="301">
        <f t="shared" si="84"/>
        <v>7558807.7659574468</v>
      </c>
      <c r="N58" s="301">
        <f t="shared" si="84"/>
        <v>7483979.0300000012</v>
      </c>
      <c r="O58" s="152"/>
    </row>
    <row r="59" spans="2:15" ht="16" x14ac:dyDescent="0.15">
      <c r="B59" s="302" t="s">
        <v>155</v>
      </c>
      <c r="C59" s="301">
        <f>+C11+C18+C25+C32+C39+C46+C53</f>
        <v>6454972.9892648738</v>
      </c>
      <c r="D59" s="301">
        <f t="shared" ref="D59:N59" si="85">+D11+D18+D25+D32+D39+D46+D53</f>
        <v>7244619.519661773</v>
      </c>
      <c r="E59" s="301">
        <f t="shared" si="85"/>
        <v>8071259.9803096764</v>
      </c>
      <c r="F59" s="301">
        <f t="shared" si="85"/>
        <v>7475906.9303170629</v>
      </c>
      <c r="G59" s="301">
        <f t="shared" si="85"/>
        <v>7208302.9070385182</v>
      </c>
      <c r="H59" s="301">
        <f t="shared" si="85"/>
        <v>7916140.8658246743</v>
      </c>
      <c r="I59" s="301">
        <f t="shared" si="85"/>
        <v>6959593.6098246798</v>
      </c>
      <c r="J59" s="301">
        <f t="shared" si="85"/>
        <v>4317895.0177225536</v>
      </c>
      <c r="K59" s="301">
        <f t="shared" si="85"/>
        <v>7202611.6612173384</v>
      </c>
      <c r="L59" s="301">
        <f t="shared" si="85"/>
        <v>6672962.1062278468</v>
      </c>
      <c r="M59" s="301">
        <f t="shared" si="85"/>
        <v>7556316.2810144667</v>
      </c>
      <c r="N59" s="301">
        <f t="shared" si="85"/>
        <v>3361347.7617225535</v>
      </c>
      <c r="O59" s="156">
        <f>SUM(C59:N59)</f>
        <v>80441929.630146027</v>
      </c>
    </row>
    <row r="60" spans="2:15" ht="17" thickBot="1" x14ac:dyDescent="0.2">
      <c r="B60" s="302" t="s">
        <v>156</v>
      </c>
      <c r="C60" s="301">
        <f>+C12+C19+C26+C33+C40+C47+C54</f>
        <v>6454699.5822317367</v>
      </c>
      <c r="D60" s="301">
        <f t="shared" ref="D60:N60" si="86">+D12+D19+D26+D33+D40+D47+D54</f>
        <v>7286215.4702423392</v>
      </c>
      <c r="E60" s="301">
        <f t="shared" si="86"/>
        <v>8050730.498720794</v>
      </c>
      <c r="F60" s="301">
        <f t="shared" si="86"/>
        <v>7442361.3877202207</v>
      </c>
      <c r="G60" s="301">
        <f t="shared" si="86"/>
        <v>7303495.0472512823</v>
      </c>
      <c r="H60" s="301">
        <f t="shared" si="86"/>
        <v>7853833.9722076533</v>
      </c>
      <c r="I60" s="301">
        <f t="shared" si="86"/>
        <v>6919460.8738672333</v>
      </c>
      <c r="J60" s="301">
        <f t="shared" si="86"/>
        <v>4321654.7706176294</v>
      </c>
      <c r="K60" s="301">
        <f t="shared" si="86"/>
        <v>7266433.1549180066</v>
      </c>
      <c r="L60" s="301">
        <f t="shared" si="86"/>
        <v>6680209.5955895483</v>
      </c>
      <c r="M60" s="301">
        <f t="shared" si="86"/>
        <v>7481487.5450570211</v>
      </c>
      <c r="N60" s="301">
        <f t="shared" si="86"/>
        <v>3418990.3838723516</v>
      </c>
      <c r="O60" s="156">
        <f>SUM(C60:N60)</f>
        <v>80479572.282295808</v>
      </c>
    </row>
    <row r="61" spans="2:15" ht="17" thickBot="1" x14ac:dyDescent="0.2">
      <c r="B61" s="303" t="s">
        <v>122</v>
      </c>
      <c r="C61" s="304">
        <f>C58-C59+C60</f>
        <v>7503705.592966863</v>
      </c>
      <c r="D61" s="304">
        <f>D58-D59+D60</f>
        <v>7545301.5435474291</v>
      </c>
      <c r="E61" s="304">
        <f t="shared" ref="E61:N61" si="87">E58-E59+E60</f>
        <v>7524772.0619585468</v>
      </c>
      <c r="F61" s="304">
        <f t="shared" si="87"/>
        <v>7491226.5193617046</v>
      </c>
      <c r="G61" s="304">
        <f t="shared" si="87"/>
        <v>7586418.6595744686</v>
      </c>
      <c r="H61" s="304">
        <f t="shared" si="87"/>
        <v>7524111.7659574477</v>
      </c>
      <c r="I61" s="304">
        <f t="shared" si="87"/>
        <v>7483979.0300000012</v>
      </c>
      <c r="J61" s="304">
        <f t="shared" si="87"/>
        <v>7487738.782895077</v>
      </c>
      <c r="K61" s="304">
        <f t="shared" si="87"/>
        <v>7551560.2765957452</v>
      </c>
      <c r="L61" s="304">
        <f t="shared" si="87"/>
        <v>7558807.7659574468</v>
      </c>
      <c r="M61" s="304">
        <f t="shared" si="87"/>
        <v>7483979.0300000012</v>
      </c>
      <c r="N61" s="304">
        <f t="shared" si="87"/>
        <v>7541621.6521497993</v>
      </c>
      <c r="O61" s="238"/>
    </row>
    <row r="63" spans="2:15" s="2" customFormat="1" ht="14" x14ac:dyDescent="0.2">
      <c r="B63" s="2" t="s">
        <v>208</v>
      </c>
      <c r="C63" s="318">
        <f>C61-C58</f>
        <v>-273.4070331370458</v>
      </c>
      <c r="D63" s="318">
        <f t="shared" ref="D63:N63" si="88">D61-D58</f>
        <v>41595.95058056619</v>
      </c>
      <c r="E63" s="318">
        <f t="shared" si="88"/>
        <v>-20529.481588882394</v>
      </c>
      <c r="F63" s="318">
        <f t="shared" si="88"/>
        <v>-33545.542596842162</v>
      </c>
      <c r="G63" s="318">
        <f t="shared" si="88"/>
        <v>95192.140212764032</v>
      </c>
      <c r="H63" s="318">
        <f t="shared" si="88"/>
        <v>-62306.89361702092</v>
      </c>
      <c r="I63" s="318">
        <f t="shared" si="88"/>
        <v>-40132.735957446508</v>
      </c>
      <c r="J63" s="318">
        <f t="shared" si="88"/>
        <v>3759.7528950758278</v>
      </c>
      <c r="K63" s="318">
        <f t="shared" si="88"/>
        <v>63821.493700668216</v>
      </c>
      <c r="L63" s="318">
        <f t="shared" si="88"/>
        <v>7247.4893617015332</v>
      </c>
      <c r="M63" s="318">
        <f t="shared" si="88"/>
        <v>-74828.735957445577</v>
      </c>
      <c r="N63" s="318">
        <f t="shared" si="88"/>
        <v>57642.622149798088</v>
      </c>
    </row>
    <row r="66" spans="3:14" x14ac:dyDescent="0.15">
      <c r="C66" s="369" t="e">
        <f>C59-#REF!</f>
        <v>#REF!</v>
      </c>
      <c r="D66" s="369" t="e">
        <f>D59-#REF!</f>
        <v>#REF!</v>
      </c>
      <c r="E66" s="369" t="e">
        <f>E59-#REF!</f>
        <v>#REF!</v>
      </c>
      <c r="F66" s="369" t="e">
        <f>F59-#REF!</f>
        <v>#REF!</v>
      </c>
      <c r="G66" s="369" t="e">
        <f>G59-#REF!</f>
        <v>#REF!</v>
      </c>
      <c r="H66" s="369" t="e">
        <f>H59-#REF!</f>
        <v>#REF!</v>
      </c>
      <c r="I66" s="369" t="e">
        <f>I59-#REF!</f>
        <v>#REF!</v>
      </c>
      <c r="J66" s="369" t="e">
        <f>J59-#REF!</f>
        <v>#REF!</v>
      </c>
      <c r="K66" s="369" t="e">
        <f>K59-#REF!</f>
        <v>#REF!</v>
      </c>
      <c r="L66" s="369" t="e">
        <f>L59-#REF!</f>
        <v>#REF!</v>
      </c>
      <c r="M66" s="369" t="e">
        <f>M59-#REF!</f>
        <v>#REF!</v>
      </c>
      <c r="N66" s="369" t="e">
        <f>N59-#REF!</f>
        <v>#REF!</v>
      </c>
    </row>
  </sheetData>
  <mergeCells count="1">
    <mergeCell ref="C5:O5"/>
  </mergeCells>
  <pageMargins left="0.25" right="0.25" top="0.75" bottom="0.75" header="0.3" footer="0.3"/>
  <pageSetup paperSize="9" scale="4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B898C-7B55-D74D-9F34-258455C0532D}">
  <sheetPr codeName="Foglio2">
    <pageSetUpPr fitToPage="1"/>
  </sheetPr>
  <dimension ref="B1:T29"/>
  <sheetViews>
    <sheetView showGridLines="0" topLeftCell="A3" zoomScale="180" zoomScaleNormal="180" workbookViewId="0">
      <selection activeCell="D29" sqref="D29:F29"/>
    </sheetView>
  </sheetViews>
  <sheetFormatPr baseColWidth="10" defaultRowHeight="16" x14ac:dyDescent="0.15"/>
  <cols>
    <col min="1" max="1" width="1.83203125" style="74" customWidth="1"/>
    <col min="2" max="2" width="28.33203125" style="74" bestFit="1" customWidth="1"/>
    <col min="3" max="3" width="12.33203125" style="74" customWidth="1"/>
    <col min="4" max="4" width="14.83203125" style="74" customWidth="1"/>
    <col min="5" max="5" width="13.33203125" style="74" customWidth="1"/>
    <col min="6" max="6" width="13.5" style="74" customWidth="1"/>
    <col min="7" max="9" width="14.1640625" style="74" customWidth="1"/>
    <col min="10" max="10" width="14.33203125" style="74" customWidth="1"/>
    <col min="11" max="11" width="2" style="74" customWidth="1"/>
    <col min="12" max="14" width="7.6640625" style="74" customWidth="1"/>
    <col min="15" max="15" width="8.33203125" style="74" customWidth="1"/>
    <col min="16" max="16" width="2.83203125" style="74" customWidth="1"/>
    <col min="17" max="20" width="14.1640625" style="74" customWidth="1"/>
    <col min="21" max="16384" width="10.83203125" style="74"/>
  </cols>
  <sheetData>
    <row r="1" spans="2:20" x14ac:dyDescent="0.15">
      <c r="B1" s="74" t="s">
        <v>114</v>
      </c>
    </row>
    <row r="2" spans="2:20" ht="17" thickBot="1" x14ac:dyDescent="0.2"/>
    <row r="3" spans="2:20" x14ac:dyDescent="0.15">
      <c r="C3" s="425" t="s">
        <v>59</v>
      </c>
      <c r="D3" s="426"/>
      <c r="E3" s="426"/>
      <c r="F3" s="427"/>
      <c r="G3" s="422" t="s">
        <v>72</v>
      </c>
      <c r="H3" s="403"/>
      <c r="I3" s="403"/>
      <c r="J3" s="405"/>
      <c r="L3" s="422" t="s">
        <v>75</v>
      </c>
      <c r="M3" s="403"/>
      <c r="N3" s="403"/>
      <c r="O3" s="405"/>
      <c r="Q3" s="416" t="s">
        <v>125</v>
      </c>
      <c r="R3" s="417"/>
      <c r="S3" s="417"/>
      <c r="T3" s="418"/>
    </row>
    <row r="4" spans="2:20" x14ac:dyDescent="0.15">
      <c r="C4" s="419" t="s">
        <v>39</v>
      </c>
      <c r="D4" s="407"/>
      <c r="E4" s="408"/>
      <c r="F4" s="428" t="s">
        <v>3</v>
      </c>
      <c r="G4" s="419" t="s">
        <v>39</v>
      </c>
      <c r="H4" s="407"/>
      <c r="I4" s="408"/>
      <c r="J4" s="423" t="s">
        <v>3</v>
      </c>
      <c r="L4" s="419" t="s">
        <v>39</v>
      </c>
      <c r="M4" s="407"/>
      <c r="N4" s="408"/>
      <c r="O4" s="423" t="s">
        <v>3</v>
      </c>
      <c r="Q4" s="419" t="s">
        <v>39</v>
      </c>
      <c r="R4" s="407"/>
      <c r="S4" s="408"/>
      <c r="T4" s="420" t="s">
        <v>3</v>
      </c>
    </row>
    <row r="5" spans="2:20" x14ac:dyDescent="0.15">
      <c r="C5" s="122" t="s">
        <v>55</v>
      </c>
      <c r="D5" s="97" t="s">
        <v>56</v>
      </c>
      <c r="E5" s="95" t="s">
        <v>57</v>
      </c>
      <c r="F5" s="429"/>
      <c r="G5" s="122" t="s">
        <v>55</v>
      </c>
      <c r="H5" s="97" t="s">
        <v>56</v>
      </c>
      <c r="I5" s="95" t="s">
        <v>57</v>
      </c>
      <c r="J5" s="424"/>
      <c r="L5" s="122" t="s">
        <v>76</v>
      </c>
      <c r="M5" s="97" t="s">
        <v>77</v>
      </c>
      <c r="N5" s="95" t="s">
        <v>57</v>
      </c>
      <c r="O5" s="424"/>
      <c r="Q5" s="122" t="s">
        <v>55</v>
      </c>
      <c r="R5" s="97" t="s">
        <v>56</v>
      </c>
      <c r="S5" s="95" t="s">
        <v>57</v>
      </c>
      <c r="T5" s="421"/>
    </row>
    <row r="6" spans="2:20" ht="17" thickBot="1" x14ac:dyDescent="0.2">
      <c r="C6" s="123"/>
      <c r="D6" s="84"/>
      <c r="E6" s="84"/>
      <c r="F6" s="124"/>
      <c r="G6" s="123"/>
      <c r="H6" s="84"/>
      <c r="I6" s="84"/>
      <c r="J6" s="150"/>
      <c r="L6" s="123"/>
      <c r="M6" s="84"/>
      <c r="N6" s="84"/>
      <c r="O6" s="150"/>
      <c r="Q6" s="123"/>
      <c r="R6" s="84"/>
      <c r="S6" s="84"/>
      <c r="T6" s="243"/>
    </row>
    <row r="7" spans="2:20" x14ac:dyDescent="0.15">
      <c r="B7" s="142" t="s">
        <v>40</v>
      </c>
      <c r="C7" s="125">
        <f>+'Tab 0'!B20</f>
        <v>128140000</v>
      </c>
      <c r="D7" s="91">
        <f>+'Tab 0'!C20</f>
        <v>123000000</v>
      </c>
      <c r="E7" s="91">
        <f>+'Tab 0'!D20</f>
        <v>77900000</v>
      </c>
      <c r="F7" s="126">
        <f>SUM(C7:E7)</f>
        <v>329040000</v>
      </c>
      <c r="G7" s="125">
        <f>C7*(1+'Tab 0'!B$10)</f>
        <v>129421400</v>
      </c>
      <c r="H7" s="91">
        <f>D7*(1+'Tab 0'!C$10)</f>
        <v>120540000</v>
      </c>
      <c r="I7" s="91">
        <f>E7*(1+'Tab 0'!D$10)</f>
        <v>81795000</v>
      </c>
      <c r="J7" s="151">
        <f>SUM(G7:I7)</f>
        <v>331756400</v>
      </c>
      <c r="L7" s="175">
        <f t="shared" ref="L7:L16" si="0">IFERROR((G7-C7)/C7,0)</f>
        <v>0.01</v>
      </c>
      <c r="M7" s="173">
        <f t="shared" ref="M7:M16" si="1">IFERROR((H7-D7)/D7,0)</f>
        <v>-0.02</v>
      </c>
      <c r="N7" s="173">
        <f t="shared" ref="N7:N16" si="2">IFERROR((I7-E7)/E7,0)</f>
        <v>0.05</v>
      </c>
      <c r="O7" s="174">
        <f t="shared" ref="O7:O16" si="3">IFERROR((J7-F7)/F7,0)</f>
        <v>8.25553124240214E-3</v>
      </c>
      <c r="Q7" s="125">
        <f>G7*(1+'Tab 0'!B11)</f>
        <v>132009828</v>
      </c>
      <c r="R7" s="91">
        <f>H7*(1+'Tab 0'!C11)</f>
        <v>115718400</v>
      </c>
      <c r="S7" s="91">
        <f>I7*(1+'Tab 0'!D11)</f>
        <v>88338600</v>
      </c>
      <c r="T7" s="244">
        <f>SUM(Q7:S7)</f>
        <v>336066828</v>
      </c>
    </row>
    <row r="8" spans="2:20" x14ac:dyDescent="0.15">
      <c r="B8" s="143" t="s">
        <v>41</v>
      </c>
      <c r="C8" s="127">
        <f>+'Tab 0'!B22</f>
        <v>22111</v>
      </c>
      <c r="D8" s="109">
        <f>+'Tab 0'!C22</f>
        <v>683333.33333333337</v>
      </c>
      <c r="E8" s="109">
        <f>+'Tab 0'!D22</f>
        <v>3158</v>
      </c>
      <c r="F8" s="128">
        <f>SUM(C8:E8)</f>
        <v>708602.33333333337</v>
      </c>
      <c r="G8" s="160">
        <f>C8</f>
        <v>22111</v>
      </c>
      <c r="H8" s="109">
        <f>H7/180</f>
        <v>669666.66666666663</v>
      </c>
      <c r="I8" s="114">
        <f t="shared" ref="I8" si="4">E8</f>
        <v>3158</v>
      </c>
      <c r="J8" s="152">
        <f>SUM(G8:I8)</f>
        <v>694935.66666666663</v>
      </c>
      <c r="L8" s="175">
        <f t="shared" si="0"/>
        <v>0</v>
      </c>
      <c r="M8" s="173">
        <f t="shared" si="1"/>
        <v>-2.0000000000000111E-2</v>
      </c>
      <c r="N8" s="173">
        <f t="shared" si="2"/>
        <v>0</v>
      </c>
      <c r="O8" s="174">
        <f t="shared" si="3"/>
        <v>-1.928679320371051E-2</v>
      </c>
      <c r="Q8" s="127">
        <f>+G8</f>
        <v>22111</v>
      </c>
      <c r="R8" s="109">
        <f>R7/180</f>
        <v>642880</v>
      </c>
      <c r="S8" s="109">
        <f t="shared" ref="S8" si="5">O8</f>
        <v>-1.928679320371051E-2</v>
      </c>
      <c r="T8" s="245">
        <f>SUM(Q8:S8)</f>
        <v>664990.98071320681</v>
      </c>
    </row>
    <row r="9" spans="2:20" x14ac:dyDescent="0.15">
      <c r="B9" s="143" t="s">
        <v>45</v>
      </c>
      <c r="C9" s="129">
        <f>C7/C8</f>
        <v>5795.3055040477593</v>
      </c>
      <c r="D9" s="88">
        <f t="shared" ref="D9:F9" si="6">D7/D8</f>
        <v>180</v>
      </c>
      <c r="E9" s="88">
        <f t="shared" si="6"/>
        <v>24667.511082963902</v>
      </c>
      <c r="F9" s="130">
        <f t="shared" si="6"/>
        <v>464.35071481089295</v>
      </c>
      <c r="G9" s="129">
        <f>G7/G8</f>
        <v>5853.2585590882363</v>
      </c>
      <c r="H9" s="88">
        <f t="shared" ref="H9" si="7">H7/H8</f>
        <v>180</v>
      </c>
      <c r="I9" s="88">
        <f t="shared" ref="I9" si="8">I7/I8</f>
        <v>25900.886637112097</v>
      </c>
      <c r="J9" s="153">
        <f t="shared" ref="J9" si="9">J7/J8</f>
        <v>477.39152832852159</v>
      </c>
      <c r="L9" s="175">
        <f t="shared" si="0"/>
        <v>9.9999999999998996E-3</v>
      </c>
      <c r="M9" s="176">
        <f t="shared" si="1"/>
        <v>0</v>
      </c>
      <c r="N9" s="176">
        <f t="shared" si="2"/>
        <v>0.05</v>
      </c>
      <c r="O9" s="174">
        <f t="shared" si="3"/>
        <v>2.8083974249807093E-2</v>
      </c>
      <c r="Q9" s="249">
        <f>Q7/Q8</f>
        <v>5970.3237302700018</v>
      </c>
      <c r="R9" s="250">
        <f t="shared" ref="R9:T9" si="10">R7/R8</f>
        <v>180</v>
      </c>
      <c r="S9" s="250">
        <f t="shared" si="10"/>
        <v>-4580263762.1999741</v>
      </c>
      <c r="T9" s="246">
        <f t="shared" si="10"/>
        <v>505.3705053857517</v>
      </c>
    </row>
    <row r="10" spans="2:20" ht="17" thickBot="1" x14ac:dyDescent="0.2">
      <c r="B10" s="143"/>
      <c r="C10" s="129"/>
      <c r="D10" s="88"/>
      <c r="E10" s="88"/>
      <c r="F10" s="130"/>
      <c r="G10" s="129"/>
      <c r="H10" s="88"/>
      <c r="I10" s="88"/>
      <c r="J10" s="153"/>
      <c r="L10" s="129"/>
      <c r="M10" s="88"/>
      <c r="N10" s="88"/>
      <c r="O10" s="153"/>
      <c r="Q10" s="249"/>
      <c r="R10" s="250"/>
      <c r="S10" s="250"/>
      <c r="T10" s="246"/>
    </row>
    <row r="11" spans="2:20" ht="17" thickBot="1" x14ac:dyDescent="0.2">
      <c r="B11" s="146" t="s">
        <v>43</v>
      </c>
      <c r="C11" s="147">
        <f>'Tab 0'!B24</f>
        <v>38442000</v>
      </c>
      <c r="D11" s="148">
        <f>'Tab 0'!C24</f>
        <v>79446800</v>
      </c>
      <c r="E11" s="148">
        <f>'Tab 0'!D24</f>
        <v>10251200</v>
      </c>
      <c r="F11" s="149">
        <f>SUM(C11:E11)</f>
        <v>128140000</v>
      </c>
      <c r="G11" s="147">
        <f>+G14*G15</f>
        <v>52151533.258064516</v>
      </c>
      <c r="H11" s="148">
        <f>+H12*H7</f>
        <v>77857864</v>
      </c>
      <c r="I11" s="148">
        <f>+I14*I15</f>
        <v>13800000</v>
      </c>
      <c r="J11" s="154">
        <f>SUM(G11:I11)</f>
        <v>143809397.25806451</v>
      </c>
      <c r="L11" s="177">
        <f t="shared" si="0"/>
        <v>0.35662903225806453</v>
      </c>
      <c r="M11" s="178">
        <f t="shared" si="1"/>
        <v>-0.02</v>
      </c>
      <c r="N11" s="178">
        <f t="shared" si="2"/>
        <v>0.34618386140159202</v>
      </c>
      <c r="O11" s="179">
        <f t="shared" si="3"/>
        <v>0.12228341858954665</v>
      </c>
      <c r="Q11" s="147">
        <f>Q12*Q7</f>
        <v>53194563.923225805</v>
      </c>
      <c r="R11" s="148">
        <f t="shared" ref="R11:S11" si="11">R12*R7</f>
        <v>74743549.439999998</v>
      </c>
      <c r="S11" s="148">
        <f t="shared" si="11"/>
        <v>14904000</v>
      </c>
      <c r="T11" s="247">
        <f>SUM(Q11:S11)</f>
        <v>142842113.36322582</v>
      </c>
    </row>
    <row r="12" spans="2:20" s="105" customFormat="1" ht="17" thickBot="1" x14ac:dyDescent="0.2">
      <c r="B12" s="144" t="s">
        <v>42</v>
      </c>
      <c r="C12" s="162">
        <f>'Tab 0'!B26</f>
        <v>0.3</v>
      </c>
      <c r="D12" s="163">
        <f>'Tab 0'!C26</f>
        <v>0.64590894308943092</v>
      </c>
      <c r="E12" s="163">
        <f>'Tab 0'!D26</f>
        <v>0.13159435173299103</v>
      </c>
      <c r="F12" s="164">
        <f>'Tab 0'!E26</f>
        <v>0.31253658536585366</v>
      </c>
      <c r="G12" s="162">
        <f>+G11/G7</f>
        <v>0.40295911849249438</v>
      </c>
      <c r="H12" s="165">
        <f>+D12</f>
        <v>0.64590894308943092</v>
      </c>
      <c r="I12" s="163">
        <f>+I11/I7</f>
        <v>0.16871446909957821</v>
      </c>
      <c r="J12" s="166">
        <f>+J11/J7</f>
        <v>0.433478893724626</v>
      </c>
      <c r="L12" s="177">
        <f t="shared" si="0"/>
        <v>0.34319706164164798</v>
      </c>
      <c r="M12" s="178">
        <f t="shared" si="1"/>
        <v>0</v>
      </c>
      <c r="N12" s="178">
        <f t="shared" si="2"/>
        <v>0.28207986800151608</v>
      </c>
      <c r="O12" s="179">
        <f t="shared" si="3"/>
        <v>0.38697008293348417</v>
      </c>
      <c r="Q12" s="241">
        <f>G12</f>
        <v>0.40295911849249438</v>
      </c>
      <c r="R12" s="242">
        <f t="shared" ref="R12:S12" si="12">H12</f>
        <v>0.64590894308943092</v>
      </c>
      <c r="S12" s="242">
        <f t="shared" si="12"/>
        <v>0.16871446909957821</v>
      </c>
      <c r="T12" s="248">
        <f>+T11/T7</f>
        <v>0.42504079981147624</v>
      </c>
    </row>
    <row r="13" spans="2:20" x14ac:dyDescent="0.15">
      <c r="B13" s="143"/>
      <c r="C13" s="131"/>
      <c r="D13" s="110"/>
      <c r="E13" s="110"/>
      <c r="F13" s="132"/>
      <c r="G13" s="131"/>
      <c r="H13" s="110"/>
      <c r="I13" s="110"/>
      <c r="J13" s="155"/>
      <c r="L13" s="131"/>
      <c r="M13" s="110"/>
      <c r="N13" s="110"/>
      <c r="O13" s="155"/>
    </row>
    <row r="14" spans="2:20" x14ac:dyDescent="0.15">
      <c r="B14" s="143" t="s">
        <v>44</v>
      </c>
      <c r="C14" s="127">
        <f>'Tab 0'!B28</f>
        <v>6200</v>
      </c>
      <c r="D14" s="109">
        <f>'Tab 0'!C28</f>
        <v>441371.11111111112</v>
      </c>
      <c r="E14" s="109">
        <f>'Tab 0'!D28</f>
        <v>600</v>
      </c>
      <c r="F14" s="128">
        <f>SUM(C14:E14)</f>
        <v>448171.11111111112</v>
      </c>
      <c r="G14" s="127">
        <f>G8*G16</f>
        <v>8411.1</v>
      </c>
      <c r="H14" s="109">
        <f>H11/180</f>
        <v>432543.68888888886</v>
      </c>
      <c r="I14" s="114">
        <f>+E14</f>
        <v>600</v>
      </c>
      <c r="J14" s="152">
        <f>SUM(G14:I14)</f>
        <v>441554.78888888884</v>
      </c>
      <c r="L14" s="175">
        <f t="shared" si="0"/>
        <v>0.35662903225806458</v>
      </c>
      <c r="M14" s="176">
        <f t="shared" si="1"/>
        <v>-2.0000000000000084E-2</v>
      </c>
      <c r="N14" s="176">
        <f t="shared" si="2"/>
        <v>0</v>
      </c>
      <c r="O14" s="174">
        <f t="shared" si="3"/>
        <v>-1.4762937766825307E-2</v>
      </c>
    </row>
    <row r="15" spans="2:20" x14ac:dyDescent="0.15">
      <c r="B15" s="143" t="s">
        <v>45</v>
      </c>
      <c r="C15" s="133">
        <f>+C11/C14</f>
        <v>6200.322580645161</v>
      </c>
      <c r="D15" s="111">
        <f t="shared" ref="D15:F15" si="13">+D11/D14</f>
        <v>180</v>
      </c>
      <c r="E15" s="111">
        <f t="shared" si="13"/>
        <v>17085.333333333332</v>
      </c>
      <c r="F15" s="134">
        <f t="shared" si="13"/>
        <v>285.91758108262218</v>
      </c>
      <c r="G15" s="133">
        <f>+C15</f>
        <v>6200.322580645161</v>
      </c>
      <c r="H15" s="111">
        <f t="shared" ref="H15" si="14">+H11/H14</f>
        <v>180</v>
      </c>
      <c r="I15" s="121">
        <v>23000</v>
      </c>
      <c r="J15" s="156">
        <f t="shared" ref="J15" si="15">+J11/J14</f>
        <v>325.68868207712308</v>
      </c>
      <c r="L15" s="175">
        <f t="shared" si="0"/>
        <v>0</v>
      </c>
      <c r="M15" s="176">
        <f t="shared" si="1"/>
        <v>0</v>
      </c>
      <c r="N15" s="176">
        <f t="shared" si="2"/>
        <v>0.34618386140159213</v>
      </c>
      <c r="O15" s="174">
        <f t="shared" si="3"/>
        <v>0.13909987921661998</v>
      </c>
    </row>
    <row r="16" spans="2:20" s="105" customFormat="1" x14ac:dyDescent="0.15">
      <c r="B16" s="144" t="s">
        <v>46</v>
      </c>
      <c r="C16" s="167">
        <f>C14/C8</f>
        <v>0.28040341911265887</v>
      </c>
      <c r="D16" s="168">
        <f t="shared" ref="D16:F16" si="16">D14/D8</f>
        <v>0.64590894308943092</v>
      </c>
      <c r="E16" s="168">
        <f t="shared" si="16"/>
        <v>0.18999366687777075</v>
      </c>
      <c r="F16" s="169">
        <f t="shared" si="16"/>
        <v>0.63247196633247205</v>
      </c>
      <c r="G16" s="170">
        <f>+C16+10%</f>
        <v>0.38040341911265885</v>
      </c>
      <c r="H16" s="168">
        <f t="shared" ref="H16:J16" si="17">H14/H8</f>
        <v>0.64590894308943092</v>
      </c>
      <c r="I16" s="168">
        <f t="shared" si="17"/>
        <v>0.18999366687777075</v>
      </c>
      <c r="J16" s="171">
        <f t="shared" si="17"/>
        <v>0.63538944692082611</v>
      </c>
      <c r="L16" s="177">
        <f t="shared" si="0"/>
        <v>0.35662903225806442</v>
      </c>
      <c r="M16" s="178">
        <f t="shared" si="1"/>
        <v>0</v>
      </c>
      <c r="N16" s="178">
        <f t="shared" si="2"/>
        <v>0</v>
      </c>
      <c r="O16" s="179">
        <f t="shared" si="3"/>
        <v>4.6128219805088178E-3</v>
      </c>
    </row>
    <row r="17" spans="2:15" x14ac:dyDescent="0.15">
      <c r="B17" s="143"/>
      <c r="C17" s="131"/>
      <c r="D17" s="110"/>
      <c r="E17" s="110"/>
      <c r="F17" s="132"/>
      <c r="G17" s="131"/>
      <c r="H17" s="110"/>
      <c r="I17" s="110"/>
      <c r="J17" s="155"/>
      <c r="L17" s="131"/>
      <c r="M17" s="110"/>
      <c r="N17" s="110"/>
      <c r="O17" s="155"/>
    </row>
    <row r="18" spans="2:15" x14ac:dyDescent="0.15">
      <c r="B18" s="143" t="s">
        <v>64</v>
      </c>
      <c r="C18" s="135"/>
      <c r="D18" s="85"/>
      <c r="E18" s="85"/>
      <c r="F18" s="136"/>
      <c r="G18" s="135"/>
      <c r="H18" s="85"/>
      <c r="I18" s="85"/>
      <c r="J18" s="157"/>
      <c r="L18" s="135"/>
      <c r="M18" s="85"/>
      <c r="N18" s="85"/>
      <c r="O18" s="157"/>
    </row>
    <row r="19" spans="2:15" x14ac:dyDescent="0.15">
      <c r="B19" s="143" t="s">
        <v>65</v>
      </c>
      <c r="C19" s="135">
        <f>+'Tab 0'!B52</f>
        <v>50</v>
      </c>
      <c r="D19" s="85">
        <f>+'Tab 0'!C52</f>
        <v>0</v>
      </c>
      <c r="E19" s="85">
        <f>+'Tab 0'!D52</f>
        <v>7</v>
      </c>
      <c r="F19" s="136">
        <f t="shared" ref="F19:F22" si="18">SUM(C19:E19)</f>
        <v>57</v>
      </c>
      <c r="G19" s="172">
        <f>+C19+2</f>
        <v>52</v>
      </c>
      <c r="H19" s="85">
        <f>+D19</f>
        <v>0</v>
      </c>
      <c r="I19" s="85">
        <f>+E19</f>
        <v>7</v>
      </c>
      <c r="J19" s="157">
        <f t="shared" ref="J19:J22" si="19">SUM(G19:I19)</f>
        <v>59</v>
      </c>
      <c r="L19" s="175">
        <f>IFERROR((G19-C19)/C19,0)</f>
        <v>0.04</v>
      </c>
      <c r="M19" s="176">
        <f>IFERROR((H19-D19)/D19,0)</f>
        <v>0</v>
      </c>
      <c r="N19" s="176">
        <f t="shared" ref="N19:O22" si="20">IFERROR((I19-E19)/E19,0)</f>
        <v>0</v>
      </c>
      <c r="O19" s="174">
        <f t="shared" si="20"/>
        <v>3.5087719298245612E-2</v>
      </c>
    </row>
    <row r="20" spans="2:15" x14ac:dyDescent="0.15">
      <c r="B20" s="143" t="s">
        <v>66</v>
      </c>
      <c r="C20" s="135">
        <f>+'Tab 0'!B53</f>
        <v>40</v>
      </c>
      <c r="D20" s="85">
        <f>+'Tab 0'!C53</f>
        <v>0</v>
      </c>
      <c r="E20" s="85">
        <f>+'Tab 0'!D53</f>
        <v>2</v>
      </c>
      <c r="F20" s="136">
        <f t="shared" si="18"/>
        <v>42</v>
      </c>
      <c r="G20" s="172">
        <f>+C20+1</f>
        <v>41</v>
      </c>
      <c r="H20" s="85">
        <f t="shared" ref="H20:I21" si="21">+D20</f>
        <v>0</v>
      </c>
      <c r="I20" s="85">
        <f t="shared" si="21"/>
        <v>2</v>
      </c>
      <c r="J20" s="157">
        <f t="shared" si="19"/>
        <v>43</v>
      </c>
      <c r="L20" s="175">
        <f t="shared" ref="L20:M24" si="22">IFERROR((G20-C20)/C20,0)</f>
        <v>2.5000000000000001E-2</v>
      </c>
      <c r="M20" s="176">
        <f t="shared" si="22"/>
        <v>0</v>
      </c>
      <c r="N20" s="176">
        <f t="shared" si="20"/>
        <v>0</v>
      </c>
      <c r="O20" s="174">
        <f t="shared" si="20"/>
        <v>2.3809523809523808E-2</v>
      </c>
    </row>
    <row r="21" spans="2:15" x14ac:dyDescent="0.15">
      <c r="B21" s="143" t="s">
        <v>67</v>
      </c>
      <c r="C21" s="135">
        <f>+'Tab 0'!B54</f>
        <v>25</v>
      </c>
      <c r="D21" s="85">
        <f>+'Tab 0'!C54</f>
        <v>0</v>
      </c>
      <c r="E21" s="85">
        <f>+'Tab 0'!D54</f>
        <v>3</v>
      </c>
      <c r="F21" s="136">
        <f t="shared" si="18"/>
        <v>28</v>
      </c>
      <c r="G21" s="172">
        <f>+C21+4</f>
        <v>29</v>
      </c>
      <c r="H21" s="85">
        <f t="shared" si="21"/>
        <v>0</v>
      </c>
      <c r="I21" s="85">
        <f t="shared" si="21"/>
        <v>3</v>
      </c>
      <c r="J21" s="157">
        <f t="shared" si="19"/>
        <v>32</v>
      </c>
      <c r="L21" s="175">
        <f t="shared" si="22"/>
        <v>0.16</v>
      </c>
      <c r="M21" s="176">
        <f t="shared" si="22"/>
        <v>0</v>
      </c>
      <c r="N21" s="176">
        <f t="shared" si="20"/>
        <v>0</v>
      </c>
      <c r="O21" s="174">
        <f t="shared" si="20"/>
        <v>0.14285714285714285</v>
      </c>
    </row>
    <row r="22" spans="2:15" x14ac:dyDescent="0.15">
      <c r="B22" s="144" t="s">
        <v>68</v>
      </c>
      <c r="C22" s="137">
        <f>SUM(C19:C21)</f>
        <v>115</v>
      </c>
      <c r="D22" s="112">
        <f t="shared" ref="D22:E22" si="23">SUM(D19:D21)</f>
        <v>0</v>
      </c>
      <c r="E22" s="112">
        <f t="shared" si="23"/>
        <v>12</v>
      </c>
      <c r="F22" s="138">
        <f t="shared" si="18"/>
        <v>127</v>
      </c>
      <c r="G22" s="137">
        <f>SUM(G19:G21)</f>
        <v>122</v>
      </c>
      <c r="H22" s="112">
        <f t="shared" ref="H22" si="24">SUM(H19:H21)</f>
        <v>0</v>
      </c>
      <c r="I22" s="112">
        <f t="shared" ref="I22" si="25">SUM(I19:I21)</f>
        <v>12</v>
      </c>
      <c r="J22" s="158">
        <f t="shared" si="19"/>
        <v>134</v>
      </c>
      <c r="L22" s="177">
        <f t="shared" si="22"/>
        <v>6.0869565217391307E-2</v>
      </c>
      <c r="M22" s="178">
        <f t="shared" si="22"/>
        <v>0</v>
      </c>
      <c r="N22" s="178">
        <f t="shared" si="20"/>
        <v>0</v>
      </c>
      <c r="O22" s="179">
        <f t="shared" si="20"/>
        <v>5.5118110236220472E-2</v>
      </c>
    </row>
    <row r="23" spans="2:15" ht="5" customHeight="1" x14ac:dyDescent="0.15">
      <c r="B23" s="143"/>
      <c r="C23" s="135"/>
      <c r="D23" s="85"/>
      <c r="E23" s="85"/>
      <c r="F23" s="136"/>
      <c r="G23" s="135"/>
      <c r="H23" s="85"/>
      <c r="I23" s="85"/>
      <c r="J23" s="157"/>
      <c r="L23" s="135"/>
      <c r="M23" s="85"/>
      <c r="N23" s="85"/>
      <c r="O23" s="157"/>
    </row>
    <row r="24" spans="2:15" ht="17" thickBot="1" x14ac:dyDescent="0.2">
      <c r="B24" s="145" t="s">
        <v>47</v>
      </c>
      <c r="C24" s="139">
        <f t="shared" ref="C24:J24" si="26">IFERROR(C11/C22,0)</f>
        <v>334278.26086956525</v>
      </c>
      <c r="D24" s="140">
        <f t="shared" si="26"/>
        <v>0</v>
      </c>
      <c r="E24" s="140">
        <f t="shared" si="26"/>
        <v>854266.66666666663</v>
      </c>
      <c r="F24" s="141">
        <f t="shared" si="26"/>
        <v>1008976.3779527559</v>
      </c>
      <c r="G24" s="139">
        <f t="shared" si="26"/>
        <v>427471.584082496</v>
      </c>
      <c r="H24" s="140">
        <f t="shared" si="26"/>
        <v>0</v>
      </c>
      <c r="I24" s="140">
        <f t="shared" si="26"/>
        <v>1150000</v>
      </c>
      <c r="J24" s="159">
        <f t="shared" si="26"/>
        <v>1073204.4571497352</v>
      </c>
      <c r="L24" s="180">
        <f t="shared" si="22"/>
        <v>0.27878966155473273</v>
      </c>
      <c r="M24" s="181">
        <f t="shared" si="22"/>
        <v>0</v>
      </c>
      <c r="N24" s="181">
        <f t="shared" ref="N24" si="27">IFERROR((I24-E24)/E24,0)</f>
        <v>0.34618386140159207</v>
      </c>
      <c r="O24" s="182">
        <f t="shared" ref="O24" si="28">IFERROR((J24-F24)/F24,0)</f>
        <v>6.3656672842331591E-2</v>
      </c>
    </row>
    <row r="27" spans="2:15" x14ac:dyDescent="0.15">
      <c r="D27" s="372">
        <f>+H11</f>
        <v>77857864</v>
      </c>
      <c r="E27" s="372">
        <f>+G11</f>
        <v>52151533.258064516</v>
      </c>
      <c r="F27" s="372">
        <f>+I11</f>
        <v>13800000</v>
      </c>
    </row>
    <row r="28" spans="2:15" x14ac:dyDescent="0.15">
      <c r="D28" s="401">
        <v>0.3</v>
      </c>
      <c r="E28" s="401">
        <v>0.1</v>
      </c>
      <c r="F28" s="401">
        <v>0.1</v>
      </c>
    </row>
    <row r="29" spans="2:15" x14ac:dyDescent="0.15">
      <c r="D29" s="372">
        <f>D27*D28</f>
        <v>23357359.199999999</v>
      </c>
      <c r="E29" s="372">
        <f t="shared" ref="E29:F29" si="29">E27*E28</f>
        <v>5215153.325806452</v>
      </c>
      <c r="F29" s="372">
        <f t="shared" si="29"/>
        <v>1380000</v>
      </c>
    </row>
  </sheetData>
  <mergeCells count="12">
    <mergeCell ref="C3:F3"/>
    <mergeCell ref="C4:E4"/>
    <mergeCell ref="F4:F5"/>
    <mergeCell ref="G3:J3"/>
    <mergeCell ref="G4:I4"/>
    <mergeCell ref="J4:J5"/>
    <mergeCell ref="Q3:T3"/>
    <mergeCell ref="Q4:S4"/>
    <mergeCell ref="T4:T5"/>
    <mergeCell ref="L3:O3"/>
    <mergeCell ref="L4:N4"/>
    <mergeCell ref="O4:O5"/>
  </mergeCells>
  <pageMargins left="0.25" right="0.25" top="0.75" bottom="0.75" header="0.3" footer="0.3"/>
  <pageSetup paperSize="9" scale="67" orientation="landscape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219D4-AEED-BA40-9C3F-EB26679C5CCF}">
  <sheetPr codeName="Foglio15">
    <pageSetUpPr fitToPage="1"/>
  </sheetPr>
  <dimension ref="B2:DG48"/>
  <sheetViews>
    <sheetView showGridLines="0" tabSelected="1" zoomScale="190" zoomScaleNormal="140" workbookViewId="0">
      <selection activeCell="B3" sqref="B3"/>
    </sheetView>
  </sheetViews>
  <sheetFormatPr baseColWidth="10" defaultColWidth="9.1640625" defaultRowHeight="16" x14ac:dyDescent="0.2"/>
  <cols>
    <col min="1" max="1" width="1.5" style="3" customWidth="1"/>
    <col min="2" max="2" width="20" style="3" customWidth="1"/>
    <col min="3" max="3" width="11.5" style="3" bestFit="1" customWidth="1"/>
    <col min="4" max="4" width="9.5" style="3" bestFit="1" customWidth="1"/>
    <col min="5" max="5" width="14.1640625" style="3" bestFit="1" customWidth="1"/>
    <col min="6" max="6" width="11.5" style="3" bestFit="1" customWidth="1"/>
    <col min="7" max="7" width="9.5" style="3" bestFit="1" customWidth="1"/>
    <col min="8" max="8" width="14.1640625" style="3" bestFit="1" customWidth="1"/>
    <col min="9" max="9" width="11.5" style="3" bestFit="1" customWidth="1"/>
    <col min="10" max="10" width="9.5" style="3" bestFit="1" customWidth="1"/>
    <col min="11" max="11" width="14.1640625" style="3" bestFit="1" customWidth="1"/>
    <col min="12" max="12" width="11.5" style="3" bestFit="1" customWidth="1"/>
    <col min="13" max="13" width="9.5" style="3" bestFit="1" customWidth="1"/>
    <col min="14" max="14" width="14.1640625" style="3" bestFit="1" customWidth="1"/>
    <col min="15" max="15" width="11.5" style="3" bestFit="1" customWidth="1"/>
    <col min="16" max="16" width="9.5" style="3" bestFit="1" customWidth="1"/>
    <col min="17" max="17" width="14.1640625" style="3" bestFit="1" customWidth="1"/>
    <col min="18" max="18" width="11.5" style="3" bestFit="1" customWidth="1"/>
    <col min="19" max="19" width="9.5" style="3" bestFit="1" customWidth="1"/>
    <col min="20" max="20" width="14.1640625" style="3" bestFit="1" customWidth="1"/>
    <col min="21" max="21" width="12.33203125" style="3" bestFit="1" customWidth="1"/>
    <col min="22" max="22" width="9.1640625" style="3"/>
    <col min="23" max="23" width="14" style="3" bestFit="1" customWidth="1"/>
    <col min="24" max="24" width="2.33203125" style="3" customWidth="1"/>
    <col min="25" max="25" width="15" style="3" bestFit="1" customWidth="1"/>
    <col min="26" max="26" width="8.6640625" style="3" bestFit="1" customWidth="1"/>
    <col min="27" max="27" width="16.5" style="3" bestFit="1" customWidth="1"/>
    <col min="28" max="28" width="8.6640625" style="3" bestFit="1" customWidth="1"/>
    <col min="29" max="29" width="10.33203125" style="3" bestFit="1" customWidth="1"/>
    <col min="30" max="30" width="8.6640625" style="3" bestFit="1" customWidth="1"/>
    <col min="31" max="31" width="10.33203125" style="3" bestFit="1" customWidth="1"/>
    <col min="32" max="33" width="8.6640625" style="3" bestFit="1" customWidth="1"/>
    <col min="34" max="34" width="12.83203125" style="3" bestFit="1" customWidth="1"/>
    <col min="35" max="35" width="9.1640625" style="3"/>
    <col min="36" max="36" width="14" style="3" bestFit="1" customWidth="1"/>
    <col min="37" max="16384" width="9.1640625" style="3"/>
  </cols>
  <sheetData>
    <row r="2" spans="2:24" x14ac:dyDescent="0.2">
      <c r="B2" s="74" t="s">
        <v>235</v>
      </c>
    </row>
    <row r="3" spans="2:24" x14ac:dyDescent="0.2">
      <c r="B3" s="12"/>
      <c r="E3" s="36"/>
    </row>
    <row r="4" spans="2:24" ht="17" thickBot="1" x14ac:dyDescent="0.25"/>
    <row r="5" spans="2:24" x14ac:dyDescent="0.2">
      <c r="B5" s="13"/>
      <c r="C5" s="457" t="s">
        <v>85</v>
      </c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458"/>
      <c r="U5" s="458"/>
      <c r="V5" s="458"/>
      <c r="W5" s="459"/>
      <c r="X5" s="14"/>
    </row>
    <row r="6" spans="2:24" x14ac:dyDescent="0.2">
      <c r="B6" s="15"/>
      <c r="C6" s="461" t="s">
        <v>29</v>
      </c>
      <c r="D6" s="462"/>
      <c r="E6" s="462"/>
      <c r="F6" s="462" t="s">
        <v>30</v>
      </c>
      <c r="G6" s="462"/>
      <c r="H6" s="462"/>
      <c r="I6" s="462" t="s">
        <v>31</v>
      </c>
      <c r="J6" s="462"/>
      <c r="K6" s="462"/>
      <c r="L6" s="462" t="s">
        <v>32</v>
      </c>
      <c r="M6" s="462"/>
      <c r="N6" s="462"/>
      <c r="O6" s="462" t="s">
        <v>33</v>
      </c>
      <c r="P6" s="462"/>
      <c r="Q6" s="462"/>
      <c r="R6" s="462" t="s">
        <v>34</v>
      </c>
      <c r="S6" s="462"/>
      <c r="T6" s="437"/>
      <c r="U6" s="448" t="s">
        <v>2</v>
      </c>
      <c r="V6" s="449"/>
      <c r="W6" s="450"/>
      <c r="X6" s="16"/>
    </row>
    <row r="7" spans="2:24" x14ac:dyDescent="0.2">
      <c r="B7" s="17"/>
      <c r="C7" s="18" t="s">
        <v>0</v>
      </c>
      <c r="D7" s="16" t="s">
        <v>157</v>
      </c>
      <c r="E7" s="19" t="s">
        <v>1</v>
      </c>
      <c r="F7" s="20" t="s">
        <v>0</v>
      </c>
      <c r="G7" s="20" t="s">
        <v>157</v>
      </c>
      <c r="H7" s="21" t="s">
        <v>1</v>
      </c>
      <c r="I7" s="22" t="s">
        <v>0</v>
      </c>
      <c r="J7" s="20" t="s">
        <v>157</v>
      </c>
      <c r="K7" s="21" t="s">
        <v>1</v>
      </c>
      <c r="L7" s="22" t="s">
        <v>0</v>
      </c>
      <c r="M7" s="20" t="s">
        <v>157</v>
      </c>
      <c r="N7" s="21" t="s">
        <v>1</v>
      </c>
      <c r="O7" s="22" t="s">
        <v>0</v>
      </c>
      <c r="P7" s="20" t="s">
        <v>157</v>
      </c>
      <c r="Q7" s="21" t="s">
        <v>1</v>
      </c>
      <c r="R7" s="22" t="s">
        <v>0</v>
      </c>
      <c r="S7" s="20" t="s">
        <v>157</v>
      </c>
      <c r="T7" s="23" t="s">
        <v>1</v>
      </c>
      <c r="U7" s="24" t="s">
        <v>0</v>
      </c>
      <c r="V7" s="24" t="s">
        <v>157</v>
      </c>
      <c r="W7" s="25" t="s">
        <v>1</v>
      </c>
      <c r="X7" s="16"/>
    </row>
    <row r="8" spans="2:24" x14ac:dyDescent="0.2">
      <c r="B8" s="26"/>
      <c r="C8" s="17"/>
      <c r="E8" s="27"/>
      <c r="H8" s="27"/>
      <c r="I8" s="28"/>
      <c r="K8" s="27"/>
      <c r="L8" s="28"/>
      <c r="N8" s="27"/>
      <c r="O8" s="28"/>
      <c r="Q8" s="27"/>
      <c r="U8" s="29"/>
      <c r="V8" s="30"/>
      <c r="W8" s="31"/>
    </row>
    <row r="9" spans="2:24" x14ac:dyDescent="0.2">
      <c r="B9" s="17" t="s">
        <v>88</v>
      </c>
      <c r="C9" s="32">
        <f>'Tab 3'!C9</f>
        <v>18863.320540150991</v>
      </c>
      <c r="D9" s="59">
        <f>'Distinta base aggiornata'!$F$8</f>
        <v>108.74965</v>
      </c>
      <c r="E9" s="62">
        <f>C9*D9</f>
        <v>2051379.5065792312</v>
      </c>
      <c r="F9" s="33">
        <f>'Tab 3'!F9</f>
        <v>20959.245044612213</v>
      </c>
      <c r="G9" s="59">
        <f>'Distinta base aggiornata'!$F$8</f>
        <v>108.74965</v>
      </c>
      <c r="H9" s="62">
        <f>F9*G9</f>
        <v>2279310.5628658128</v>
      </c>
      <c r="I9" s="33">
        <f>'Tab 3'!I9</f>
        <v>24103.131801304044</v>
      </c>
      <c r="J9" s="59">
        <f>'Distinta base aggiornata'!$F$8</f>
        <v>108.74965</v>
      </c>
      <c r="K9" s="62">
        <f>I9*J9</f>
        <v>2621207.1472956846</v>
      </c>
      <c r="L9" s="33">
        <f>'Tab 3'!L9</f>
        <v>22007.207296842822</v>
      </c>
      <c r="M9" s="59">
        <f>'Distinta base aggiornata'!$F$8</f>
        <v>108.74965</v>
      </c>
      <c r="N9" s="62">
        <f>L9*M9</f>
        <v>2393276.0910091032</v>
      </c>
      <c r="O9" s="33">
        <f>'Tab 3'!O9</f>
        <v>22007.207296842822</v>
      </c>
      <c r="P9" s="59">
        <f>'Distinta base aggiornata'!$F$8</f>
        <v>108.74965</v>
      </c>
      <c r="Q9" s="62">
        <f>O9*P9</f>
        <v>2393276.0910091032</v>
      </c>
      <c r="R9" s="33">
        <f>'Tab 3'!R9</f>
        <v>23055.169549073435</v>
      </c>
      <c r="S9" s="59">
        <f>'Distinta base aggiornata'!$F$8</f>
        <v>108.74965</v>
      </c>
      <c r="T9" s="62">
        <f>R9*S9</f>
        <v>2507241.6191523941</v>
      </c>
      <c r="U9" s="35">
        <f>C9+F9+I9+L9+O9+R9</f>
        <v>130995.28152882634</v>
      </c>
      <c r="V9" s="64">
        <f>IFERROR(W9/U9,0)</f>
        <v>108.74965</v>
      </c>
      <c r="W9" s="67">
        <f>E9+H9+K9+N9+Q9+T9</f>
        <v>14245691.01791133</v>
      </c>
      <c r="X9" s="36"/>
    </row>
    <row r="10" spans="2:24" x14ac:dyDescent="0.2">
      <c r="B10" s="17" t="s">
        <v>89</v>
      </c>
      <c r="C10" s="32">
        <f>'Tab 3'!C10</f>
        <v>33131.005957446803</v>
      </c>
      <c r="D10" s="59">
        <f>'Distinta base aggiornata'!$F$8</f>
        <v>108.74965</v>
      </c>
      <c r="E10" s="62">
        <f>C10*D10</f>
        <v>3602985.302020255</v>
      </c>
      <c r="F10" s="33">
        <f>'Tab 3'!F10</f>
        <v>36812.228841607561</v>
      </c>
      <c r="G10" s="59">
        <f>'Distinta base aggiornata'!$F$8</f>
        <v>108.74965</v>
      </c>
      <c r="H10" s="62">
        <f>F10*G10</f>
        <v>4003317.0022447277</v>
      </c>
      <c r="I10" s="33">
        <f>'Tab 3'!I10</f>
        <v>42334.063167848697</v>
      </c>
      <c r="J10" s="59">
        <f>'Distinta base aggiornata'!$F$8</f>
        <v>108.74965</v>
      </c>
      <c r="K10" s="62">
        <f>I10*J10</f>
        <v>4603814.5525814369</v>
      </c>
      <c r="L10" s="33">
        <f>'Tab 3'!L10</f>
        <v>38652.84028368794</v>
      </c>
      <c r="M10" s="59">
        <f>'Distinta base aggiornata'!$F$8</f>
        <v>108.74965</v>
      </c>
      <c r="N10" s="62">
        <f>L10*M10</f>
        <v>4203482.8523569638</v>
      </c>
      <c r="O10" s="33">
        <f>'Tab 3'!O10</f>
        <v>38652.84028368794</v>
      </c>
      <c r="P10" s="59">
        <f>'Distinta base aggiornata'!$F$8</f>
        <v>108.74965</v>
      </c>
      <c r="Q10" s="62">
        <f>O10*P10</f>
        <v>4203482.8523569638</v>
      </c>
      <c r="R10" s="33">
        <f>'Tab 3'!R10</f>
        <v>40493.451725768318</v>
      </c>
      <c r="S10" s="59">
        <f>'Distinta base aggiornata'!$F$8</f>
        <v>108.74965</v>
      </c>
      <c r="T10" s="62">
        <f>R10*S10</f>
        <v>4403648.7024692008</v>
      </c>
      <c r="U10" s="35">
        <f>C10+F10+I10+L10+O10+R10</f>
        <v>230076.43026004726</v>
      </c>
      <c r="V10" s="64">
        <f t="shared" ref="V10:V12" si="0">IFERROR(W10/U10,0)</f>
        <v>108.74965</v>
      </c>
      <c r="W10" s="67">
        <f>E10+H10+K10+N10+Q10+T10</f>
        <v>25020731.264029548</v>
      </c>
      <c r="X10" s="36"/>
    </row>
    <row r="11" spans="2:24" x14ac:dyDescent="0.2">
      <c r="B11" s="17" t="s">
        <v>90</v>
      </c>
      <c r="C11" s="32">
        <f>'Tab 3'!C11</f>
        <v>293.61702127659601</v>
      </c>
      <c r="D11" s="59">
        <f>'Distinta base aggiornata'!$F$8</f>
        <v>108.74965</v>
      </c>
      <c r="E11" s="62">
        <f>C11*D11</f>
        <v>31930.748297872371</v>
      </c>
      <c r="F11" s="33">
        <f>'Tab 3'!F11</f>
        <v>326.2411347517733</v>
      </c>
      <c r="G11" s="59">
        <f>'Distinta base aggiornata'!$F$8</f>
        <v>108.74965</v>
      </c>
      <c r="H11" s="62">
        <f>F11*G11</f>
        <v>35478.609219858183</v>
      </c>
      <c r="I11" s="33">
        <f>'Tab 3'!I11</f>
        <v>375.1773049645393</v>
      </c>
      <c r="J11" s="59">
        <f>'Distinta base aggiornata'!$F$8</f>
        <v>108.74965</v>
      </c>
      <c r="K11" s="62">
        <f>I11*J11</f>
        <v>40800.400602836911</v>
      </c>
      <c r="L11" s="33">
        <f>'Tab 3'!L11</f>
        <v>342.55319148936201</v>
      </c>
      <c r="M11" s="59">
        <f>'Distinta base aggiornata'!$F$8</f>
        <v>108.74965</v>
      </c>
      <c r="N11" s="62">
        <f>L11*M11</f>
        <v>37252.5396808511</v>
      </c>
      <c r="O11" s="33">
        <f>'Tab 3'!O11</f>
        <v>342.55319148936201</v>
      </c>
      <c r="P11" s="59">
        <f>'Distinta base aggiornata'!$F$8</f>
        <v>108.74965</v>
      </c>
      <c r="Q11" s="62">
        <f>O11*P11</f>
        <v>37252.5396808511</v>
      </c>
      <c r="R11" s="33">
        <f>'Tab 3'!R11</f>
        <v>358.86524822695065</v>
      </c>
      <c r="S11" s="59">
        <f>'Distinta base aggiornata'!$F$8</f>
        <v>108.74965</v>
      </c>
      <c r="T11" s="62">
        <f>R11*S11</f>
        <v>39026.470141844002</v>
      </c>
      <c r="U11" s="35">
        <f>C11+F11+I11+L11+O11+R11</f>
        <v>2039.0070921985832</v>
      </c>
      <c r="V11" s="64">
        <f t="shared" si="0"/>
        <v>108.74965000000002</v>
      </c>
      <c r="W11" s="67">
        <f>E11+H11+K11+N11+Q11+T11</f>
        <v>221741.30762411369</v>
      </c>
      <c r="X11" s="36"/>
    </row>
    <row r="12" spans="2:24" s="12" customFormat="1" ht="17" thickBot="1" x14ac:dyDescent="0.25">
      <c r="B12" s="37" t="s">
        <v>78</v>
      </c>
      <c r="C12" s="38">
        <f>SUM(C9:C11)</f>
        <v>52287.943518874388</v>
      </c>
      <c r="D12" s="60">
        <f>E12/C12</f>
        <v>108.74965</v>
      </c>
      <c r="E12" s="63">
        <f>SUM(E9:E11)</f>
        <v>5686295.556897358</v>
      </c>
      <c r="F12" s="39">
        <f>SUM(F9:F11)</f>
        <v>58097.71502097154</v>
      </c>
      <c r="G12" s="60">
        <f>H12/F12</f>
        <v>108.74965000000002</v>
      </c>
      <c r="H12" s="63">
        <f>SUM(H9:H11)</f>
        <v>6318106.1743303984</v>
      </c>
      <c r="I12" s="39">
        <f>SUM(I9:I11)</f>
        <v>66812.372274117282</v>
      </c>
      <c r="J12" s="60">
        <f>K12/I12</f>
        <v>108.74965</v>
      </c>
      <c r="K12" s="63">
        <f>SUM(K9:K11)</f>
        <v>7265822.1004799586</v>
      </c>
      <c r="L12" s="39">
        <f>SUM(L9:L11)</f>
        <v>61002.600772020131</v>
      </c>
      <c r="M12" s="60">
        <f>N12/L12</f>
        <v>108.74964999999999</v>
      </c>
      <c r="N12" s="63">
        <f>SUM(N9:N11)</f>
        <v>6634011.4830469182</v>
      </c>
      <c r="O12" s="39">
        <f>SUM(O9:O11)</f>
        <v>61002.600772020131</v>
      </c>
      <c r="P12" s="60">
        <f>Q12/O12</f>
        <v>108.74964999999999</v>
      </c>
      <c r="Q12" s="63">
        <f>SUM(Q9:Q11)</f>
        <v>6634011.4830469182</v>
      </c>
      <c r="R12" s="39">
        <f>SUM(R9:R11)</f>
        <v>63907.486523068706</v>
      </c>
      <c r="S12" s="60">
        <f>T12/R12</f>
        <v>108.74965</v>
      </c>
      <c r="T12" s="63">
        <f>SUM(T9:T11)</f>
        <v>6949916.7917634388</v>
      </c>
      <c r="U12" s="38">
        <f>SUM(U9:U11)</f>
        <v>363110.71888107219</v>
      </c>
      <c r="V12" s="65">
        <f t="shared" si="0"/>
        <v>108.74965</v>
      </c>
      <c r="W12" s="68">
        <f>SUM(W9:W11)</f>
        <v>39488163.589564994</v>
      </c>
      <c r="X12" s="41"/>
    </row>
    <row r="13" spans="2:24" x14ac:dyDescent="0.2">
      <c r="B13" s="17"/>
      <c r="C13" s="17"/>
      <c r="D13" s="59"/>
      <c r="E13" s="62"/>
      <c r="G13" s="59"/>
      <c r="H13" s="62"/>
      <c r="J13" s="59"/>
      <c r="K13" s="62"/>
      <c r="M13" s="59"/>
      <c r="N13" s="62"/>
      <c r="P13" s="59"/>
      <c r="Q13" s="62"/>
      <c r="S13" s="59"/>
      <c r="T13" s="62"/>
      <c r="U13" s="29"/>
      <c r="V13" s="66"/>
      <c r="W13" s="67"/>
    </row>
    <row r="14" spans="2:24" x14ac:dyDescent="0.2">
      <c r="B14" s="26"/>
      <c r="C14" s="17"/>
      <c r="D14" s="59"/>
      <c r="E14" s="62"/>
      <c r="G14" s="59"/>
      <c r="H14" s="62"/>
      <c r="J14" s="59"/>
      <c r="K14" s="62"/>
      <c r="M14" s="59"/>
      <c r="N14" s="62"/>
      <c r="P14" s="59"/>
      <c r="Q14" s="62"/>
      <c r="S14" s="59"/>
      <c r="T14" s="62"/>
      <c r="U14" s="29"/>
      <c r="V14" s="66"/>
      <c r="W14" s="67"/>
    </row>
    <row r="15" spans="2:24" x14ac:dyDescent="0.2">
      <c r="B15" s="17" t="s">
        <v>88</v>
      </c>
      <c r="C15" s="32">
        <f>'Tab 3'!C15</f>
        <v>1198.375657844887</v>
      </c>
      <c r="D15" s="59">
        <f>'Distinta base aggiornata'!$F$17</f>
        <v>189</v>
      </c>
      <c r="E15" s="62">
        <f>C15*D15</f>
        <v>226492.99933268363</v>
      </c>
      <c r="F15" s="33">
        <f>'Tab 3'!F15</f>
        <v>1331.528508716541</v>
      </c>
      <c r="G15" s="59">
        <f>'Distinta base aggiornata'!$F$17</f>
        <v>189</v>
      </c>
      <c r="H15" s="62">
        <f>F15*G15</f>
        <v>251658.88814742625</v>
      </c>
      <c r="I15" s="33">
        <f>'Tab 3'!I15</f>
        <v>1531.257785024022</v>
      </c>
      <c r="J15" s="59">
        <f>'Distinta base aggiornata'!$F$17</f>
        <v>189</v>
      </c>
      <c r="K15" s="62">
        <f>I15*J15</f>
        <v>289407.72136954014</v>
      </c>
      <c r="L15" s="33">
        <f>'Tab 3'!L15</f>
        <v>1398.1049341523681</v>
      </c>
      <c r="M15" s="59">
        <f>'Distinta base aggiornata'!$F$17</f>
        <v>189</v>
      </c>
      <c r="N15" s="62">
        <f>L15*M15</f>
        <v>264241.83255479758</v>
      </c>
      <c r="O15" s="33">
        <f>'Tab 3'!O15</f>
        <v>1398.1049341523681</v>
      </c>
      <c r="P15" s="59">
        <f>'Distinta base aggiornata'!$F$17</f>
        <v>189</v>
      </c>
      <c r="Q15" s="62">
        <f>O15*P15</f>
        <v>264241.83255479758</v>
      </c>
      <c r="R15" s="33">
        <f>'Tab 3'!R15</f>
        <v>1464.6813595881949</v>
      </c>
      <c r="S15" s="59">
        <f>'Distinta base aggiornata'!$F$17</f>
        <v>189</v>
      </c>
      <c r="T15" s="62">
        <f>R15*S15</f>
        <v>276824.77696216886</v>
      </c>
      <c r="U15" s="35">
        <f>C15+F15+I15+L15+O15+R15</f>
        <v>8322.0531794783819</v>
      </c>
      <c r="V15" s="64">
        <f>IFERROR(W15/U15,0)</f>
        <v>188.99999999999997</v>
      </c>
      <c r="W15" s="67">
        <f>E15+H15+K15+N15+Q15+T15</f>
        <v>1572868.050921414</v>
      </c>
      <c r="X15" s="36"/>
    </row>
    <row r="16" spans="2:24" x14ac:dyDescent="0.2">
      <c r="B16" s="17" t="s">
        <v>89</v>
      </c>
      <c r="C16" s="32">
        <f>'Tab 3'!C16</f>
        <v>0</v>
      </c>
      <c r="D16" s="59">
        <f>'Distinta base aggiornata'!$F$17</f>
        <v>189</v>
      </c>
      <c r="E16" s="62">
        <f>C16*D16</f>
        <v>0</v>
      </c>
      <c r="F16" s="33">
        <f>'Tab 3'!F16</f>
        <v>0</v>
      </c>
      <c r="G16" s="59">
        <f>'Distinta base aggiornata'!$F$17</f>
        <v>189</v>
      </c>
      <c r="H16" s="62">
        <f>F16*G16</f>
        <v>0</v>
      </c>
      <c r="I16" s="33">
        <f>'Tab 3'!I16</f>
        <v>0</v>
      </c>
      <c r="J16" s="59">
        <f>'Distinta base aggiornata'!$F$17</f>
        <v>189</v>
      </c>
      <c r="K16" s="62">
        <f>I16*J16</f>
        <v>0</v>
      </c>
      <c r="L16" s="33">
        <f>'Tab 3'!L16</f>
        <v>0</v>
      </c>
      <c r="M16" s="59">
        <f>'Distinta base aggiornata'!$F$17</f>
        <v>189</v>
      </c>
      <c r="N16" s="62">
        <f>L16*M16</f>
        <v>0</v>
      </c>
      <c r="O16" s="33">
        <f>'Tab 3'!O16</f>
        <v>0</v>
      </c>
      <c r="P16" s="59">
        <f>'Distinta base aggiornata'!$F$17</f>
        <v>189</v>
      </c>
      <c r="Q16" s="62">
        <f>O16*P16</f>
        <v>0</v>
      </c>
      <c r="R16" s="33">
        <f>'Tab 3'!R16</f>
        <v>0</v>
      </c>
      <c r="S16" s="59">
        <f>'Distinta base aggiornata'!$F$17</f>
        <v>189</v>
      </c>
      <c r="T16" s="62">
        <f>R16*S16</f>
        <v>0</v>
      </c>
      <c r="U16" s="35">
        <f>C16+F16+I16+L16+O16+R16</f>
        <v>0</v>
      </c>
      <c r="V16" s="64">
        <f t="shared" ref="V16:V18" si="1">IFERROR(W16/U16,0)</f>
        <v>0</v>
      </c>
      <c r="W16" s="67">
        <f>E16+H16+K16+N16+Q16+T16</f>
        <v>0</v>
      </c>
      <c r="X16" s="36"/>
    </row>
    <row r="17" spans="2:111" x14ac:dyDescent="0.2">
      <c r="B17" s="17" t="s">
        <v>90</v>
      </c>
      <c r="C17" s="32">
        <f>'Tab 3'!C17</f>
        <v>2008.3404255319151</v>
      </c>
      <c r="D17" s="59">
        <f>'Distinta base aggiornata'!$F$17</f>
        <v>189</v>
      </c>
      <c r="E17" s="62">
        <f>C17*D17</f>
        <v>379576.34042553196</v>
      </c>
      <c r="F17" s="33">
        <f>'Tab 3'!F17</f>
        <v>2231.489361702128</v>
      </c>
      <c r="G17" s="59">
        <f>'Distinta base aggiornata'!$F$17</f>
        <v>189</v>
      </c>
      <c r="H17" s="62">
        <f>F17*G17</f>
        <v>421751.48936170217</v>
      </c>
      <c r="I17" s="33">
        <f>'Tab 3'!I17</f>
        <v>2566.2127659574471</v>
      </c>
      <c r="J17" s="59">
        <f>'Distinta base aggiornata'!$F$17</f>
        <v>189</v>
      </c>
      <c r="K17" s="62">
        <f>I17*J17</f>
        <v>485014.21276595752</v>
      </c>
      <c r="L17" s="33">
        <f>'Tab 3'!L17</f>
        <v>2343.0638297872342</v>
      </c>
      <c r="M17" s="59">
        <f>'Distinta base aggiornata'!$F$17</f>
        <v>189</v>
      </c>
      <c r="N17" s="62">
        <f>L17*M17</f>
        <v>442839.06382978725</v>
      </c>
      <c r="O17" s="33">
        <f>'Tab 3'!O17</f>
        <v>2343.0638297872342</v>
      </c>
      <c r="P17" s="59">
        <f>'Distinta base aggiornata'!$F$17</f>
        <v>189</v>
      </c>
      <c r="Q17" s="62">
        <f>O17*P17</f>
        <v>442839.06382978725</v>
      </c>
      <c r="R17" s="33">
        <f>'Tab 3'!R17</f>
        <v>2454.6382978723404</v>
      </c>
      <c r="S17" s="59">
        <f>'Distinta base aggiornata'!$F$17</f>
        <v>189</v>
      </c>
      <c r="T17" s="62">
        <f>R17*S17</f>
        <v>463926.63829787233</v>
      </c>
      <c r="U17" s="35">
        <f>C17+F17+I17+L17+O17+R17</f>
        <v>13946.808510638297</v>
      </c>
      <c r="V17" s="64">
        <f t="shared" si="1"/>
        <v>189.00000000000003</v>
      </c>
      <c r="W17" s="67">
        <f>E17+H17+K17+N17+Q17+T17</f>
        <v>2635946.8085106383</v>
      </c>
      <c r="X17" s="36"/>
    </row>
    <row r="18" spans="2:111" ht="17" thickBot="1" x14ac:dyDescent="0.25">
      <c r="B18" s="37" t="s">
        <v>79</v>
      </c>
      <c r="C18" s="38">
        <f>SUM(C15:C17)</f>
        <v>3206.7160833768021</v>
      </c>
      <c r="D18" s="60">
        <f>E18/C18</f>
        <v>189</v>
      </c>
      <c r="E18" s="63">
        <f>SUM(E15:E17)</f>
        <v>606069.33975821559</v>
      </c>
      <c r="F18" s="39">
        <f>SUM(F15:F17)</f>
        <v>3563.0178704186692</v>
      </c>
      <c r="G18" s="60">
        <f>H18/F18</f>
        <v>188.99999999999997</v>
      </c>
      <c r="H18" s="63">
        <f>SUM(H15:H17)</f>
        <v>673410.37750912842</v>
      </c>
      <c r="I18" s="39">
        <f>SUM(I15:I17)</f>
        <v>4097.4705509814694</v>
      </c>
      <c r="J18" s="60">
        <f>K18/I18</f>
        <v>189</v>
      </c>
      <c r="K18" s="63">
        <f>SUM(K15:K17)</f>
        <v>774421.93413549766</v>
      </c>
      <c r="L18" s="39">
        <f>SUM(L15:L17)</f>
        <v>3741.1687639396023</v>
      </c>
      <c r="M18" s="60">
        <f>N18/L18</f>
        <v>189</v>
      </c>
      <c r="N18" s="63">
        <f>SUM(N15:N17)</f>
        <v>707080.89638458483</v>
      </c>
      <c r="O18" s="39">
        <f>SUM(O15:O17)</f>
        <v>3741.1687639396023</v>
      </c>
      <c r="P18" s="60">
        <f>Q18/O18</f>
        <v>189</v>
      </c>
      <c r="Q18" s="63">
        <f>SUM(Q15:Q17)</f>
        <v>707080.89638458483</v>
      </c>
      <c r="R18" s="39">
        <f>SUM(R15:R17)</f>
        <v>3919.3196574605354</v>
      </c>
      <c r="S18" s="60">
        <f>T18/R18</f>
        <v>189</v>
      </c>
      <c r="T18" s="63">
        <f>SUM(T15:T17)</f>
        <v>740751.41526004113</v>
      </c>
      <c r="U18" s="38">
        <f>SUM(U15:U17)</f>
        <v>22268.861690116679</v>
      </c>
      <c r="V18" s="65">
        <f t="shared" si="1"/>
        <v>189.00000000000003</v>
      </c>
      <c r="W18" s="68">
        <f>SUM(W15:W17)</f>
        <v>4208814.8594320528</v>
      </c>
      <c r="X18" s="41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</row>
    <row r="19" spans="2:111" x14ac:dyDescent="0.2">
      <c r="B19" s="17"/>
      <c r="C19" s="17"/>
      <c r="D19" s="59"/>
      <c r="E19" s="62"/>
      <c r="G19" s="59"/>
      <c r="H19" s="62"/>
      <c r="J19" s="59"/>
      <c r="K19" s="62"/>
      <c r="M19" s="59"/>
      <c r="N19" s="62"/>
      <c r="P19" s="59"/>
      <c r="Q19" s="62"/>
      <c r="S19" s="59"/>
      <c r="T19" s="62"/>
      <c r="U19" s="29"/>
      <c r="V19" s="66"/>
      <c r="W19" s="67"/>
      <c r="X19" s="41"/>
      <c r="Y19" s="36"/>
      <c r="Z19" s="44"/>
      <c r="AA19" s="44"/>
    </row>
    <row r="20" spans="2:111" x14ac:dyDescent="0.2">
      <c r="B20" s="26"/>
      <c r="C20" s="17"/>
      <c r="D20" s="59"/>
      <c r="E20" s="62"/>
      <c r="G20" s="59"/>
      <c r="H20" s="62"/>
      <c r="J20" s="59"/>
      <c r="K20" s="62"/>
      <c r="M20" s="59"/>
      <c r="N20" s="62"/>
      <c r="P20" s="59"/>
      <c r="Q20" s="62"/>
      <c r="S20" s="59"/>
      <c r="T20" s="62"/>
      <c r="U20" s="29"/>
      <c r="V20" s="66"/>
      <c r="W20" s="67"/>
      <c r="X20" s="41"/>
      <c r="Y20" s="36"/>
      <c r="Z20" s="44"/>
      <c r="AA20" s="44"/>
    </row>
    <row r="21" spans="2:111" x14ac:dyDescent="0.2">
      <c r="B21" s="17" t="s">
        <v>88</v>
      </c>
      <c r="C21" s="42">
        <f>C9+C15</f>
        <v>20061.69619799588</v>
      </c>
      <c r="D21" s="61">
        <f>E21/C21</f>
        <v>113.54336559734512</v>
      </c>
      <c r="E21" s="62">
        <f>E9+E15</f>
        <v>2277872.5059119146</v>
      </c>
      <c r="F21" s="33">
        <f>F9+F15</f>
        <v>22290.773553328752</v>
      </c>
      <c r="G21" s="61">
        <f>H21/F21</f>
        <v>113.54336559734516</v>
      </c>
      <c r="H21" s="62">
        <f>H9+H15</f>
        <v>2530969.4510132391</v>
      </c>
      <c r="I21" s="33">
        <f>I9+I15</f>
        <v>25634.389586328067</v>
      </c>
      <c r="J21" s="61">
        <f>K21/I21</f>
        <v>113.54336559734514</v>
      </c>
      <c r="K21" s="62">
        <f>K9+K15</f>
        <v>2910614.8686652249</v>
      </c>
      <c r="L21" s="33">
        <f>L9+L15</f>
        <v>23405.31223099519</v>
      </c>
      <c r="M21" s="61">
        <f>N21/L21</f>
        <v>113.54336559734514</v>
      </c>
      <c r="N21" s="62">
        <f>N9+N15</f>
        <v>2657517.9235639009</v>
      </c>
      <c r="O21" s="33">
        <f>O9+O15</f>
        <v>23405.31223099519</v>
      </c>
      <c r="P21" s="61">
        <f>Q21/O21</f>
        <v>113.54336559734514</v>
      </c>
      <c r="Q21" s="62">
        <f>Q9+Q15</f>
        <v>2657517.9235639009</v>
      </c>
      <c r="R21" s="33">
        <f>R9+R15</f>
        <v>24519.850908661629</v>
      </c>
      <c r="S21" s="61">
        <f>T21/R21</f>
        <v>113.54336559734516</v>
      </c>
      <c r="T21" s="62">
        <f>T9+T15</f>
        <v>2784066.3961145631</v>
      </c>
      <c r="U21" s="35">
        <f>C21+F21+I21+L21+O21+R21</f>
        <v>139317.3347083047</v>
      </c>
      <c r="V21" s="64">
        <f>IFERROR(W21/U21,0)</f>
        <v>113.54336559734516</v>
      </c>
      <c r="W21" s="67">
        <f>E21+H21+K21+N21+Q21+T21</f>
        <v>15818559.068832744</v>
      </c>
      <c r="X21" s="41"/>
      <c r="Y21" s="36"/>
      <c r="Z21" s="44"/>
      <c r="AA21" s="44"/>
    </row>
    <row r="22" spans="2:111" x14ac:dyDescent="0.2">
      <c r="B22" s="17" t="s">
        <v>89</v>
      </c>
      <c r="C22" s="42">
        <f t="shared" ref="C22:C23" si="2">C10+C16</f>
        <v>33131.005957446803</v>
      </c>
      <c r="D22" s="61">
        <f>E22/C22</f>
        <v>108.74965</v>
      </c>
      <c r="E22" s="62">
        <f t="shared" ref="E22:F23" si="3">E10+E16</f>
        <v>3602985.302020255</v>
      </c>
      <c r="F22" s="33">
        <f t="shared" si="3"/>
        <v>36812.228841607561</v>
      </c>
      <c r="G22" s="61">
        <f>H22/F22</f>
        <v>108.74965</v>
      </c>
      <c r="H22" s="62">
        <f t="shared" ref="H22:I23" si="4">H10+H16</f>
        <v>4003317.0022447277</v>
      </c>
      <c r="I22" s="33">
        <f t="shared" si="4"/>
        <v>42334.063167848697</v>
      </c>
      <c r="J22" s="61">
        <f>K22/I22</f>
        <v>108.74965</v>
      </c>
      <c r="K22" s="62">
        <f t="shared" ref="K22:L23" si="5">K10+K16</f>
        <v>4603814.5525814369</v>
      </c>
      <c r="L22" s="33">
        <f t="shared" si="5"/>
        <v>38652.84028368794</v>
      </c>
      <c r="M22" s="61">
        <f>N22/L22</f>
        <v>108.74964999999999</v>
      </c>
      <c r="N22" s="62">
        <f t="shared" ref="N22:O23" si="6">N10+N16</f>
        <v>4203482.8523569638</v>
      </c>
      <c r="O22" s="33">
        <f t="shared" si="6"/>
        <v>38652.84028368794</v>
      </c>
      <c r="P22" s="61">
        <f>Q22/O22</f>
        <v>108.74964999999999</v>
      </c>
      <c r="Q22" s="62">
        <f t="shared" ref="Q22:R23" si="7">Q10+Q16</f>
        <v>4203482.8523569638</v>
      </c>
      <c r="R22" s="33">
        <f t="shared" si="7"/>
        <v>40493.451725768318</v>
      </c>
      <c r="S22" s="61">
        <f>T22/R22</f>
        <v>108.74965</v>
      </c>
      <c r="T22" s="62">
        <f t="shared" ref="T22:T23" si="8">T10+T16</f>
        <v>4403648.7024692008</v>
      </c>
      <c r="U22" s="35">
        <f>C22+F22+I22+L22+O22+R22</f>
        <v>230076.43026004726</v>
      </c>
      <c r="V22" s="64">
        <f t="shared" ref="V22:V24" si="9">IFERROR(W22/U22,0)</f>
        <v>108.74965</v>
      </c>
      <c r="W22" s="67">
        <f>E22+H22+K22+N22+Q22+T22</f>
        <v>25020731.264029548</v>
      </c>
      <c r="X22" s="41"/>
      <c r="Y22" s="36"/>
      <c r="Z22" s="44"/>
      <c r="AA22" s="44"/>
    </row>
    <row r="23" spans="2:111" x14ac:dyDescent="0.2">
      <c r="B23" s="17" t="s">
        <v>90</v>
      </c>
      <c r="C23" s="42">
        <f t="shared" si="2"/>
        <v>2301.9574468085111</v>
      </c>
      <c r="D23" s="61">
        <f>E23/C23</f>
        <v>178.76398596938776</v>
      </c>
      <c r="E23" s="62">
        <f t="shared" si="3"/>
        <v>411507.08872340433</v>
      </c>
      <c r="F23" s="33">
        <f t="shared" si="3"/>
        <v>2557.7304964539012</v>
      </c>
      <c r="G23" s="61">
        <f>H23/F23</f>
        <v>178.76398596938776</v>
      </c>
      <c r="H23" s="62">
        <f t="shared" si="4"/>
        <v>457230.09858156036</v>
      </c>
      <c r="I23" s="33">
        <f t="shared" si="4"/>
        <v>2941.3900709219865</v>
      </c>
      <c r="J23" s="61">
        <f>K23/I23</f>
        <v>178.76398596938776</v>
      </c>
      <c r="K23" s="62">
        <f t="shared" si="5"/>
        <v>525814.61336879444</v>
      </c>
      <c r="L23" s="33">
        <f t="shared" si="5"/>
        <v>2685.6170212765965</v>
      </c>
      <c r="M23" s="61">
        <f>N23/L23</f>
        <v>178.76398596938773</v>
      </c>
      <c r="N23" s="62">
        <f t="shared" si="6"/>
        <v>480091.60351063835</v>
      </c>
      <c r="O23" s="33">
        <f t="shared" si="6"/>
        <v>2685.6170212765965</v>
      </c>
      <c r="P23" s="61">
        <f>Q23/O23</f>
        <v>178.76398596938773</v>
      </c>
      <c r="Q23" s="62">
        <f t="shared" si="7"/>
        <v>480091.60351063835</v>
      </c>
      <c r="R23" s="33">
        <f t="shared" si="7"/>
        <v>2813.5035460992913</v>
      </c>
      <c r="S23" s="61">
        <f>T23/R23</f>
        <v>178.76398596938773</v>
      </c>
      <c r="T23" s="62">
        <f t="shared" si="8"/>
        <v>502953.10843971634</v>
      </c>
      <c r="U23" s="35">
        <f>C23+F23+I23+L23+O23+R23</f>
        <v>15985.815602836883</v>
      </c>
      <c r="V23" s="64">
        <f t="shared" si="9"/>
        <v>178.76398596938773</v>
      </c>
      <c r="W23" s="67">
        <f>E23+H23+K23+N23+Q23+T23</f>
        <v>2857688.1161347521</v>
      </c>
      <c r="X23" s="41"/>
      <c r="Y23" s="36"/>
      <c r="Z23" s="44"/>
      <c r="AA23" s="44"/>
    </row>
    <row r="24" spans="2:111" ht="17" thickBot="1" x14ac:dyDescent="0.25">
      <c r="B24" s="37" t="s">
        <v>3</v>
      </c>
      <c r="C24" s="38">
        <f>SUM(C21:C23)</f>
        <v>55494.659602251195</v>
      </c>
      <c r="D24" s="60">
        <f>E24/C24</f>
        <v>113.38685455060109</v>
      </c>
      <c r="E24" s="63">
        <f>SUM(E21:E23)</f>
        <v>6292364.8966555744</v>
      </c>
      <c r="F24" s="38">
        <f>SUM(F21:F23)</f>
        <v>61660.732891390209</v>
      </c>
      <c r="G24" s="60">
        <f>H24/F24</f>
        <v>113.3868545506011</v>
      </c>
      <c r="H24" s="63">
        <f>SUM(H21:H23)</f>
        <v>6991516.5518395267</v>
      </c>
      <c r="I24" s="38">
        <f>SUM(I21:I23)</f>
        <v>70909.842825098749</v>
      </c>
      <c r="J24" s="60">
        <f>K24/I24</f>
        <v>113.38685455060109</v>
      </c>
      <c r="K24" s="63">
        <f>SUM(K21:K23)</f>
        <v>8040244.0346154561</v>
      </c>
      <c r="L24" s="38">
        <f>SUM(L21:L23)</f>
        <v>64743.76953595972</v>
      </c>
      <c r="M24" s="60">
        <f>N24/L24</f>
        <v>113.3868545506011</v>
      </c>
      <c r="N24" s="63">
        <f>SUM(N21:N23)</f>
        <v>7341092.3794315029</v>
      </c>
      <c r="O24" s="38">
        <f>SUM(O21:O23)</f>
        <v>64743.76953595972</v>
      </c>
      <c r="P24" s="60">
        <f>Q24/O24</f>
        <v>113.3868545506011</v>
      </c>
      <c r="Q24" s="63">
        <f>SUM(Q21:Q23)</f>
        <v>7341092.3794315029</v>
      </c>
      <c r="R24" s="38">
        <f>SUM(R21:R23)</f>
        <v>67826.806180529238</v>
      </c>
      <c r="S24" s="60">
        <f>T24/R24</f>
        <v>113.38685455060109</v>
      </c>
      <c r="T24" s="63">
        <f>SUM(T21:T23)</f>
        <v>7690668.20702348</v>
      </c>
      <c r="U24" s="38">
        <f>SUM(U21:U23)</f>
        <v>385379.58057118882</v>
      </c>
      <c r="V24" s="65">
        <f t="shared" si="9"/>
        <v>113.3868545506011</v>
      </c>
      <c r="W24" s="68">
        <f>SUM(W21:W23)</f>
        <v>43696978.448997043</v>
      </c>
      <c r="X24" s="41"/>
      <c r="Y24" s="36"/>
      <c r="Z24" s="44"/>
      <c r="AA24" s="44"/>
    </row>
    <row r="25" spans="2:111" x14ac:dyDescent="0.2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1"/>
      <c r="Y25" s="36"/>
      <c r="Z25" s="44"/>
      <c r="AA25" s="44"/>
    </row>
    <row r="26" spans="2:111" x14ac:dyDescent="0.2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1"/>
      <c r="Y26" s="36"/>
      <c r="Z26" s="44"/>
      <c r="AA26" s="44"/>
    </row>
    <row r="27" spans="2:111" x14ac:dyDescent="0.2">
      <c r="W27" s="36"/>
    </row>
    <row r="28" spans="2:111" ht="17" thickBot="1" x14ac:dyDescent="0.25"/>
    <row r="29" spans="2:111" x14ac:dyDescent="0.2">
      <c r="B29" s="82"/>
      <c r="C29" s="457" t="s">
        <v>85</v>
      </c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  <c r="R29" s="458"/>
      <c r="S29" s="458"/>
      <c r="T29" s="458"/>
      <c r="U29" s="458"/>
      <c r="V29" s="458"/>
      <c r="W29" s="459"/>
      <c r="X29" s="14"/>
      <c r="Y29" s="451" t="s">
        <v>3</v>
      </c>
      <c r="Z29" s="452"/>
      <c r="AA29" s="453"/>
    </row>
    <row r="30" spans="2:111" x14ac:dyDescent="0.2">
      <c r="B30" s="305"/>
      <c r="C30" s="438" t="s">
        <v>23</v>
      </c>
      <c r="D30" s="438"/>
      <c r="E30" s="439"/>
      <c r="F30" s="437" t="s">
        <v>24</v>
      </c>
      <c r="G30" s="438"/>
      <c r="H30" s="439"/>
      <c r="I30" s="437" t="s">
        <v>25</v>
      </c>
      <c r="J30" s="438"/>
      <c r="K30" s="439"/>
      <c r="L30" s="437" t="s">
        <v>26</v>
      </c>
      <c r="M30" s="438"/>
      <c r="N30" s="439"/>
      <c r="O30" s="437" t="s">
        <v>27</v>
      </c>
      <c r="P30" s="438"/>
      <c r="Q30" s="439"/>
      <c r="R30" s="437" t="s">
        <v>28</v>
      </c>
      <c r="S30" s="438"/>
      <c r="T30" s="440"/>
      <c r="U30" s="448" t="s">
        <v>159</v>
      </c>
      <c r="V30" s="449"/>
      <c r="W30" s="450"/>
      <c r="X30" s="16"/>
      <c r="Y30" s="454"/>
      <c r="Z30" s="455"/>
      <c r="AA30" s="456"/>
    </row>
    <row r="31" spans="2:111" x14ac:dyDescent="0.2">
      <c r="B31" s="79"/>
      <c r="C31" s="16" t="s">
        <v>0</v>
      </c>
      <c r="D31" s="16" t="s">
        <v>157</v>
      </c>
      <c r="E31" s="19" t="s">
        <v>1</v>
      </c>
      <c r="F31" s="16" t="s">
        <v>0</v>
      </c>
      <c r="G31" s="16" t="s">
        <v>157</v>
      </c>
      <c r="H31" s="19" t="s">
        <v>1</v>
      </c>
      <c r="I31" s="308" t="s">
        <v>0</v>
      </c>
      <c r="J31" s="16" t="s">
        <v>157</v>
      </c>
      <c r="K31" s="19" t="s">
        <v>1</v>
      </c>
      <c r="L31" s="308" t="s">
        <v>0</v>
      </c>
      <c r="M31" s="16" t="s">
        <v>157</v>
      </c>
      <c r="N31" s="19" t="s">
        <v>1</v>
      </c>
      <c r="O31" s="308" t="s">
        <v>0</v>
      </c>
      <c r="P31" s="16" t="s">
        <v>158</v>
      </c>
      <c r="Q31" s="19" t="s">
        <v>1</v>
      </c>
      <c r="R31" s="308" t="s">
        <v>0</v>
      </c>
      <c r="S31" s="16" t="s">
        <v>157</v>
      </c>
      <c r="T31" s="309" t="s">
        <v>1</v>
      </c>
      <c r="U31" s="24" t="s">
        <v>0</v>
      </c>
      <c r="V31" s="24" t="s">
        <v>157</v>
      </c>
      <c r="W31" s="25" t="s">
        <v>1</v>
      </c>
      <c r="X31" s="16"/>
      <c r="Y31" s="47" t="s">
        <v>0</v>
      </c>
      <c r="Z31" s="24" t="s">
        <v>157</v>
      </c>
      <c r="AA31" s="25" t="s">
        <v>1</v>
      </c>
    </row>
    <row r="32" spans="2:111" x14ac:dyDescent="0.2">
      <c r="B32" s="306"/>
      <c r="E32" s="27"/>
      <c r="H32" s="27"/>
      <c r="I32" s="28"/>
      <c r="K32" s="27"/>
      <c r="L32" s="28"/>
      <c r="N32" s="27"/>
      <c r="O32" s="28"/>
      <c r="Q32" s="27"/>
      <c r="U32" s="29"/>
      <c r="V32" s="30"/>
      <c r="W32" s="31"/>
      <c r="Y32" s="29"/>
      <c r="Z32" s="30"/>
      <c r="AA32" s="31"/>
    </row>
    <row r="33" spans="2:32" x14ac:dyDescent="0.2">
      <c r="B33" s="79" t="s">
        <v>88</v>
      </c>
      <c r="C33" s="33">
        <f>'Tab 3'!C33</f>
        <v>23055.169549073435</v>
      </c>
      <c r="D33" s="59">
        <f>'Distinta base aggiornata'!$F$8</f>
        <v>108.74965</v>
      </c>
      <c r="E33" s="62">
        <f>C33*D33</f>
        <v>2507241.6191523941</v>
      </c>
      <c r="F33" s="33">
        <f>'Tab 3'!F33</f>
        <v>12575.547026767326</v>
      </c>
      <c r="G33" s="59">
        <f>'Distinta base aggiornata'!$F$8</f>
        <v>108.74965</v>
      </c>
      <c r="H33" s="62">
        <f>F33*G33</f>
        <v>1367586.3377194875</v>
      </c>
      <c r="I33" s="33">
        <f>'Tab 3'!I33</f>
        <v>23055.169549073435</v>
      </c>
      <c r="J33" s="59">
        <f>'Distinta base aggiornata'!$F$8</f>
        <v>108.74965</v>
      </c>
      <c r="K33" s="62">
        <f>I33*J33</f>
        <v>2507241.6191523941</v>
      </c>
      <c r="L33" s="33">
        <f>'Tab 3'!L33</f>
        <v>22007.207296842822</v>
      </c>
      <c r="M33" s="59">
        <f>'Distinta base aggiornata'!$F$8</f>
        <v>108.74965</v>
      </c>
      <c r="N33" s="62">
        <f>L33*M33</f>
        <v>2393276.0910091032</v>
      </c>
      <c r="O33" s="33">
        <f>'Tab 3'!O33</f>
        <v>22007.207296842822</v>
      </c>
      <c r="P33" s="59">
        <f>'Distinta base aggiornata'!$F$8</f>
        <v>108.74965</v>
      </c>
      <c r="Q33" s="62">
        <f>O33*P33</f>
        <v>2393276.0910091032</v>
      </c>
      <c r="R33" s="33">
        <f>'Tab 3'!R33</f>
        <v>12575.547026767326</v>
      </c>
      <c r="S33" s="59">
        <f>'Distinta base aggiornata'!$F$8</f>
        <v>108.74965</v>
      </c>
      <c r="T33" s="62">
        <f>R33*S33</f>
        <v>1367586.3377194875</v>
      </c>
      <c r="U33" s="35">
        <f>C33+F33+I33+L33+O33+R33</f>
        <v>115275.84774536717</v>
      </c>
      <c r="V33" s="64">
        <f>IFERROR(W33/U33,0)</f>
        <v>108.74964999999999</v>
      </c>
      <c r="W33" s="67">
        <f>E33+H33+K33+N33+Q33+T33</f>
        <v>12536208.095761968</v>
      </c>
      <c r="X33" s="36"/>
      <c r="Y33" s="35">
        <f>U9+U33</f>
        <v>246271.12927419349</v>
      </c>
      <c r="Z33" s="64">
        <f>IFERROR(AA33/Y33,0)</f>
        <v>108.74965000000002</v>
      </c>
      <c r="AA33" s="67">
        <f>W9+W33</f>
        <v>26781899.1136733</v>
      </c>
    </row>
    <row r="34" spans="2:32" x14ac:dyDescent="0.2">
      <c r="B34" s="79" t="s">
        <v>89</v>
      </c>
      <c r="C34" s="33">
        <f>'Tab 3'!C34</f>
        <v>40493.451725768318</v>
      </c>
      <c r="D34" s="59">
        <f>'Distinta base aggiornata'!$F$8</f>
        <v>108.74965</v>
      </c>
      <c r="E34" s="62">
        <f>C34*D34</f>
        <v>4403648.7024692008</v>
      </c>
      <c r="F34" s="33">
        <f>'Tab 3'!F34</f>
        <v>22087.337304964538</v>
      </c>
      <c r="G34" s="59">
        <f>'Distinta base aggiornata'!$F$8</f>
        <v>108.74965</v>
      </c>
      <c r="H34" s="62">
        <f>F34*G34</f>
        <v>2401990.201346837</v>
      </c>
      <c r="I34" s="33">
        <f>'Tab 3'!I34</f>
        <v>40493.451725768318</v>
      </c>
      <c r="J34" s="59">
        <f>'Distinta base aggiornata'!$F$8</f>
        <v>108.74965</v>
      </c>
      <c r="K34" s="62">
        <f>I34*J34</f>
        <v>4403648.7024692008</v>
      </c>
      <c r="L34" s="33">
        <f>'Tab 3'!L34</f>
        <v>38652.84028368794</v>
      </c>
      <c r="M34" s="59">
        <f>'Distinta base aggiornata'!$F$8</f>
        <v>108.74965</v>
      </c>
      <c r="N34" s="62">
        <f>L34*M34</f>
        <v>4203482.8523569638</v>
      </c>
      <c r="O34" s="33">
        <f>'Tab 3'!O34</f>
        <v>38652.84028368794</v>
      </c>
      <c r="P34" s="59">
        <f>'Distinta base aggiornata'!$F$8</f>
        <v>108.74965</v>
      </c>
      <c r="Q34" s="62">
        <f>O34*P34</f>
        <v>4203482.8523569638</v>
      </c>
      <c r="R34" s="33">
        <f>'Tab 3'!R34</f>
        <v>22087.337304964538</v>
      </c>
      <c r="S34" s="59">
        <f>'Distinta base aggiornata'!$F$8</f>
        <v>108.74965</v>
      </c>
      <c r="T34" s="62">
        <f>R34*S34</f>
        <v>2401990.201346837</v>
      </c>
      <c r="U34" s="35">
        <f>C34+F34+I34+L34+O34+R34</f>
        <v>202467.25862884161</v>
      </c>
      <c r="V34" s="64">
        <f t="shared" ref="V34:V36" si="10">IFERROR(W34/U34,0)</f>
        <v>108.74964999999999</v>
      </c>
      <c r="W34" s="67">
        <f>E34+H34+K34+N34+Q34+T34</f>
        <v>22018243.512346003</v>
      </c>
      <c r="X34" s="36"/>
      <c r="Y34" s="35">
        <f>U10+U34</f>
        <v>432543.68888888886</v>
      </c>
      <c r="Z34" s="64">
        <f t="shared" ref="Z34:Z36" si="11">IFERROR(AA34/Y34,0)</f>
        <v>108.74964999999999</v>
      </c>
      <c r="AA34" s="67">
        <f>W10+W34</f>
        <v>47038974.776375547</v>
      </c>
    </row>
    <row r="35" spans="2:32" x14ac:dyDescent="0.2">
      <c r="B35" s="79" t="s">
        <v>90</v>
      </c>
      <c r="C35" s="33">
        <f>'Tab 3'!C35</f>
        <v>358.86524822695065</v>
      </c>
      <c r="D35" s="59">
        <f>'Distinta base aggiornata'!$F$8</f>
        <v>108.74965</v>
      </c>
      <c r="E35" s="62">
        <f>C35*D35</f>
        <v>39026.470141844002</v>
      </c>
      <c r="F35" s="33">
        <f>'Tab 3'!F35</f>
        <v>195.744680851064</v>
      </c>
      <c r="G35" s="59">
        <f>'Distinta base aggiornata'!$F$8</f>
        <v>108.74965</v>
      </c>
      <c r="H35" s="62">
        <f>F35*G35</f>
        <v>21287.165531914914</v>
      </c>
      <c r="I35" s="33">
        <f>'Tab 3'!I35</f>
        <v>358.86524822695065</v>
      </c>
      <c r="J35" s="59">
        <f>'Distinta base aggiornata'!$F$8</f>
        <v>108.74965</v>
      </c>
      <c r="K35" s="62">
        <f>I35*J35</f>
        <v>39026.470141844002</v>
      </c>
      <c r="L35" s="33">
        <f>'Tab 3'!L35</f>
        <v>342.55319148936201</v>
      </c>
      <c r="M35" s="59">
        <f>'Distinta base aggiornata'!$F$8</f>
        <v>108.74965</v>
      </c>
      <c r="N35" s="62">
        <f>L35*M35</f>
        <v>37252.5396808511</v>
      </c>
      <c r="O35" s="33">
        <f>'Tab 3'!O35</f>
        <v>342.55319148936201</v>
      </c>
      <c r="P35" s="59">
        <f>'Distinta base aggiornata'!$F$8</f>
        <v>108.74965</v>
      </c>
      <c r="Q35" s="62">
        <f>O35*P35</f>
        <v>37252.5396808511</v>
      </c>
      <c r="R35" s="33">
        <f>'Tab 3'!R35</f>
        <v>195.744680851064</v>
      </c>
      <c r="S35" s="59">
        <f>'Distinta base aggiornata'!$F$8</f>
        <v>108.74965</v>
      </c>
      <c r="T35" s="62">
        <f>R35*S35</f>
        <v>21287.165531914914</v>
      </c>
      <c r="U35" s="35">
        <f>C35+F35+I35+L35+O35+R35</f>
        <v>1794.3262411347532</v>
      </c>
      <c r="V35" s="64">
        <f t="shared" si="10"/>
        <v>108.74965000000002</v>
      </c>
      <c r="W35" s="67">
        <f>E35+H35+K35+N35+Q35+T35</f>
        <v>195132.35070922005</v>
      </c>
      <c r="X35" s="36"/>
      <c r="Y35" s="35">
        <f>U11+U35</f>
        <v>3833.3333333333367</v>
      </c>
      <c r="Z35" s="64">
        <f t="shared" si="11"/>
        <v>108.74965</v>
      </c>
      <c r="AA35" s="67">
        <f>W11+W35</f>
        <v>416873.65833333373</v>
      </c>
    </row>
    <row r="36" spans="2:32" ht="17" thickBot="1" x14ac:dyDescent="0.25">
      <c r="B36" s="307" t="s">
        <v>78</v>
      </c>
      <c r="C36" s="39">
        <f>SUM(C33:C35)</f>
        <v>63907.486523068706</v>
      </c>
      <c r="D36" s="60">
        <f>E36/C36</f>
        <v>108.74965</v>
      </c>
      <c r="E36" s="63">
        <f>SUM(E33:E35)</f>
        <v>6949916.7917634388</v>
      </c>
      <c r="F36" s="39">
        <f>SUM(F33:F35)</f>
        <v>34858.629012582933</v>
      </c>
      <c r="G36" s="60">
        <f>H36/F36</f>
        <v>108.74965</v>
      </c>
      <c r="H36" s="63">
        <f>SUM(H33:H35)</f>
        <v>3790863.7045982396</v>
      </c>
      <c r="I36" s="39">
        <f>SUM(I33:I35)</f>
        <v>63907.486523068706</v>
      </c>
      <c r="J36" s="60">
        <f>K36/I36</f>
        <v>108.74965</v>
      </c>
      <c r="K36" s="63">
        <f>SUM(K33:K35)</f>
        <v>6949916.7917634388</v>
      </c>
      <c r="L36" s="39">
        <f>SUM(L33:L35)</f>
        <v>61002.600772020131</v>
      </c>
      <c r="M36" s="60">
        <f>N36/L36</f>
        <v>108.74964999999999</v>
      </c>
      <c r="N36" s="63">
        <f>SUM(N33:N35)</f>
        <v>6634011.4830469182</v>
      </c>
      <c r="O36" s="39">
        <f>SUM(O33:O35)</f>
        <v>61002.600772020131</v>
      </c>
      <c r="P36" s="60">
        <f>Q36/O36</f>
        <v>108.74964999999999</v>
      </c>
      <c r="Q36" s="63">
        <f>SUM(Q33:Q35)</f>
        <v>6634011.4830469182</v>
      </c>
      <c r="R36" s="39">
        <f>SUM(R33:R35)</f>
        <v>34858.629012582933</v>
      </c>
      <c r="S36" s="60">
        <f>T36/R36</f>
        <v>108.74965</v>
      </c>
      <c r="T36" s="63">
        <f>SUM(T33:T35)</f>
        <v>3790863.7045982396</v>
      </c>
      <c r="U36" s="38">
        <f>SUM(U33:U35)</f>
        <v>319537.43261534348</v>
      </c>
      <c r="V36" s="65">
        <f t="shared" si="10"/>
        <v>108.74965000000002</v>
      </c>
      <c r="W36" s="68">
        <f>SUM(W33:W35)</f>
        <v>34749583.958817191</v>
      </c>
      <c r="X36" s="41"/>
      <c r="Y36" s="38">
        <f>SUM(Y33:Y35)</f>
        <v>682648.15149641572</v>
      </c>
      <c r="Z36" s="65">
        <f t="shared" si="11"/>
        <v>108.74964999999999</v>
      </c>
      <c r="AA36" s="68">
        <f>SUM(AA33:AA35)</f>
        <v>74237747.548382178</v>
      </c>
      <c r="AC36" s="48"/>
      <c r="AD36" s="48"/>
      <c r="AE36" s="48"/>
      <c r="AF36" s="43"/>
    </row>
    <row r="37" spans="2:32" x14ac:dyDescent="0.2">
      <c r="B37" s="79"/>
      <c r="D37" s="59"/>
      <c r="E37" s="62"/>
      <c r="G37" s="59"/>
      <c r="H37" s="62"/>
      <c r="J37" s="59"/>
      <c r="K37" s="62"/>
      <c r="M37" s="59"/>
      <c r="N37" s="62"/>
      <c r="P37" s="59"/>
      <c r="Q37" s="62"/>
      <c r="S37" s="59"/>
      <c r="T37" s="62"/>
      <c r="U37" s="29"/>
      <c r="V37" s="66"/>
      <c r="W37" s="67"/>
      <c r="Y37" s="29"/>
      <c r="Z37" s="66"/>
      <c r="AA37" s="67"/>
      <c r="AC37" s="48"/>
      <c r="AD37" s="48"/>
      <c r="AE37" s="48"/>
    </row>
    <row r="38" spans="2:32" x14ac:dyDescent="0.2">
      <c r="B38" s="306"/>
      <c r="D38" s="59"/>
      <c r="E38" s="62"/>
      <c r="G38" s="59"/>
      <c r="H38" s="62"/>
      <c r="J38" s="59"/>
      <c r="K38" s="62"/>
      <c r="M38" s="59"/>
      <c r="N38" s="62"/>
      <c r="P38" s="59"/>
      <c r="Q38" s="62"/>
      <c r="S38" s="59"/>
      <c r="T38" s="62"/>
      <c r="U38" s="29"/>
      <c r="V38" s="66"/>
      <c r="W38" s="67"/>
      <c r="Y38" s="29"/>
      <c r="Z38" s="66"/>
      <c r="AA38" s="67"/>
      <c r="AC38" s="48"/>
      <c r="AD38" s="48"/>
      <c r="AE38" s="48"/>
    </row>
    <row r="39" spans="2:32" x14ac:dyDescent="0.2">
      <c r="B39" s="79" t="s">
        <v>88</v>
      </c>
      <c r="C39" s="33">
        <f>'Tab 3'!C39</f>
        <v>1464.6813595881949</v>
      </c>
      <c r="D39" s="59">
        <f>'Distinta base aggiornata'!$F$17</f>
        <v>189</v>
      </c>
      <c r="E39" s="62">
        <f>C39*D39</f>
        <v>276824.77696216886</v>
      </c>
      <c r="F39" s="33">
        <f>'Tab 3'!F39</f>
        <v>798.91710522992457</v>
      </c>
      <c r="G39" s="59">
        <f>'Distinta base aggiornata'!$F$17</f>
        <v>189</v>
      </c>
      <c r="H39" s="62">
        <f>F39*G39</f>
        <v>150995.33288845574</v>
      </c>
      <c r="I39" s="33">
        <f>'Tab 3'!I39</f>
        <v>1464.6813595881949</v>
      </c>
      <c r="J39" s="59">
        <f>'Distinta base aggiornata'!$F$17</f>
        <v>189</v>
      </c>
      <c r="K39" s="62">
        <f>I39*J39</f>
        <v>276824.77696216886</v>
      </c>
      <c r="L39" s="33">
        <f>'Tab 3'!L39</f>
        <v>1398.1049341523681</v>
      </c>
      <c r="M39" s="59">
        <f>'Distinta base aggiornata'!$F$17</f>
        <v>189</v>
      </c>
      <c r="N39" s="62">
        <f>L39*M39</f>
        <v>264241.83255479758</v>
      </c>
      <c r="O39" s="33">
        <f>'Tab 3'!O39</f>
        <v>1398.1049341523681</v>
      </c>
      <c r="P39" s="59">
        <f>'Distinta base aggiornata'!$F$17</f>
        <v>189</v>
      </c>
      <c r="Q39" s="62">
        <f>O39*P39</f>
        <v>264241.83255479758</v>
      </c>
      <c r="R39" s="33">
        <f>'Tab 3'!R39</f>
        <v>798.91710522992457</v>
      </c>
      <c r="S39" s="59">
        <f>'Distinta base aggiornata'!$F$17</f>
        <v>189</v>
      </c>
      <c r="T39" s="62">
        <f>R39*S39</f>
        <v>150995.33288845574</v>
      </c>
      <c r="U39" s="35">
        <f>C39+F39+I39+L39+O39+R39</f>
        <v>7323.4067979409756</v>
      </c>
      <c r="V39" s="64">
        <f>IFERROR(W39/U39,0)</f>
        <v>189</v>
      </c>
      <c r="W39" s="67">
        <f>E39+H39+K39+N39+Q39+T39</f>
        <v>1384123.8848108444</v>
      </c>
      <c r="X39" s="36"/>
      <c r="Y39" s="35">
        <f>U15+U39</f>
        <v>15645.459977419358</v>
      </c>
      <c r="Z39" s="64">
        <f>IFERROR(AA39/Y39,0)</f>
        <v>189</v>
      </c>
      <c r="AA39" s="67">
        <f>W15+W39</f>
        <v>2956991.9357322585</v>
      </c>
      <c r="AC39" s="48"/>
      <c r="AD39" s="48"/>
      <c r="AE39" s="48"/>
    </row>
    <row r="40" spans="2:32" x14ac:dyDescent="0.2">
      <c r="B40" s="79" t="s">
        <v>89</v>
      </c>
      <c r="C40" s="33">
        <f>'Tab 3'!C40</f>
        <v>0</v>
      </c>
      <c r="D40" s="59">
        <f>'Distinta base aggiornata'!$F$17</f>
        <v>189</v>
      </c>
      <c r="E40" s="62">
        <f>C40*D40</f>
        <v>0</v>
      </c>
      <c r="F40" s="33">
        <f>'Tab 3'!F40</f>
        <v>0</v>
      </c>
      <c r="G40" s="59">
        <f>'Distinta base aggiornata'!$F$17</f>
        <v>189</v>
      </c>
      <c r="H40" s="62">
        <f>F40*G40</f>
        <v>0</v>
      </c>
      <c r="I40" s="33">
        <f>'Tab 3'!I40</f>
        <v>0</v>
      </c>
      <c r="J40" s="59">
        <f>'Distinta base aggiornata'!$F$17</f>
        <v>189</v>
      </c>
      <c r="K40" s="62">
        <f>I40*J40</f>
        <v>0</v>
      </c>
      <c r="L40" s="33">
        <f>'Tab 3'!L40</f>
        <v>0</v>
      </c>
      <c r="M40" s="59">
        <f>'Distinta base aggiornata'!$F$17</f>
        <v>189</v>
      </c>
      <c r="N40" s="62">
        <f>L40*M40</f>
        <v>0</v>
      </c>
      <c r="O40" s="33">
        <f>'Tab 3'!O40</f>
        <v>0</v>
      </c>
      <c r="P40" s="59">
        <f>'Distinta base aggiornata'!$F$17</f>
        <v>189</v>
      </c>
      <c r="Q40" s="62">
        <f>O40*P40</f>
        <v>0</v>
      </c>
      <c r="R40" s="33">
        <f>'Tab 3'!R40</f>
        <v>0</v>
      </c>
      <c r="S40" s="59">
        <f>'Distinta base aggiornata'!$F$17</f>
        <v>189</v>
      </c>
      <c r="T40" s="62">
        <f>R40*S40</f>
        <v>0</v>
      </c>
      <c r="U40" s="35">
        <f>C40+F40+I40+L40+O40+R40</f>
        <v>0</v>
      </c>
      <c r="V40" s="64">
        <f t="shared" ref="V40:V42" si="12">IFERROR(W40/U40,0)</f>
        <v>0</v>
      </c>
      <c r="W40" s="67">
        <f>E40+H40+K40+N40+Q40+T40</f>
        <v>0</v>
      </c>
      <c r="X40" s="36"/>
      <c r="Y40" s="35">
        <f>U16+U40</f>
        <v>0</v>
      </c>
      <c r="Z40" s="64">
        <f t="shared" ref="Z40:Z42" si="13">IFERROR(AA40/Y40,0)</f>
        <v>0</v>
      </c>
      <c r="AA40" s="67">
        <f>W16+W40</f>
        <v>0</v>
      </c>
      <c r="AC40" s="48"/>
      <c r="AD40" s="48"/>
      <c r="AE40" s="48"/>
    </row>
    <row r="41" spans="2:32" x14ac:dyDescent="0.2">
      <c r="B41" s="79" t="s">
        <v>90</v>
      </c>
      <c r="C41" s="33">
        <f>'Tab 3'!C41</f>
        <v>2454.6382978723404</v>
      </c>
      <c r="D41" s="59">
        <f>'Distinta base aggiornata'!$F$17</f>
        <v>189</v>
      </c>
      <c r="E41" s="62">
        <f>C41*D41</f>
        <v>463926.63829787233</v>
      </c>
      <c r="F41" s="33">
        <f>'Tab 3'!F41</f>
        <v>1338.8936170212767</v>
      </c>
      <c r="G41" s="59">
        <f>'Distinta base aggiornata'!$F$17</f>
        <v>189</v>
      </c>
      <c r="H41" s="62">
        <f>F41*G41</f>
        <v>253050.8936170213</v>
      </c>
      <c r="I41" s="33">
        <f>'Tab 3'!I41</f>
        <v>2454.6382978723404</v>
      </c>
      <c r="J41" s="59">
        <f>'Distinta base aggiornata'!$F$17</f>
        <v>189</v>
      </c>
      <c r="K41" s="62">
        <f>I41*J41</f>
        <v>463926.63829787233</v>
      </c>
      <c r="L41" s="33">
        <f>'Tab 3'!L41</f>
        <v>2343.0638297872342</v>
      </c>
      <c r="M41" s="59">
        <f>'Distinta base aggiornata'!$F$17</f>
        <v>189</v>
      </c>
      <c r="N41" s="62">
        <f>L41*M41</f>
        <v>442839.06382978725</v>
      </c>
      <c r="O41" s="33">
        <f>'Tab 3'!O41</f>
        <v>2343.0638297872342</v>
      </c>
      <c r="P41" s="59">
        <f>'Distinta base aggiornata'!$F$17</f>
        <v>189</v>
      </c>
      <c r="Q41" s="62">
        <f>O41*P41</f>
        <v>442839.06382978725</v>
      </c>
      <c r="R41" s="33">
        <f>'Tab 3'!R41</f>
        <v>1338.8936170212767</v>
      </c>
      <c r="S41" s="59">
        <f>'Distinta base aggiornata'!$F$17</f>
        <v>189</v>
      </c>
      <c r="T41" s="62">
        <f>R41*S41</f>
        <v>253050.8936170213</v>
      </c>
      <c r="U41" s="35">
        <f>C41+F41+I41+L41+O41+R41</f>
        <v>12273.191489361701</v>
      </c>
      <c r="V41" s="64">
        <f t="shared" si="12"/>
        <v>189</v>
      </c>
      <c r="W41" s="67">
        <f>E41+H41+K41+N41+Q41+T41</f>
        <v>2319633.1914893617</v>
      </c>
      <c r="X41" s="36"/>
      <c r="Y41" s="35">
        <f>U17+U41</f>
        <v>26220</v>
      </c>
      <c r="Z41" s="64">
        <f t="shared" si="13"/>
        <v>189</v>
      </c>
      <c r="AA41" s="67">
        <f>W17+W41</f>
        <v>4955580</v>
      </c>
      <c r="AC41" s="48"/>
      <c r="AD41" s="48"/>
      <c r="AE41" s="48"/>
    </row>
    <row r="42" spans="2:32" ht="17" thickBot="1" x14ac:dyDescent="0.25">
      <c r="B42" s="307" t="s">
        <v>79</v>
      </c>
      <c r="C42" s="39">
        <f>SUM(C39:C41)</f>
        <v>3919.3196574605354</v>
      </c>
      <c r="D42" s="60">
        <f>E42/C42</f>
        <v>189</v>
      </c>
      <c r="E42" s="63">
        <f>SUM(E39:E41)</f>
        <v>740751.41526004113</v>
      </c>
      <c r="F42" s="39">
        <f>SUM(F39:F41)</f>
        <v>2137.8107222512012</v>
      </c>
      <c r="G42" s="60">
        <f>H42/F42</f>
        <v>189</v>
      </c>
      <c r="H42" s="63">
        <f>SUM(H39:H41)</f>
        <v>404046.22650547704</v>
      </c>
      <c r="I42" s="39">
        <f>SUM(I39:I41)</f>
        <v>3919.3196574605354</v>
      </c>
      <c r="J42" s="60">
        <f>K42/I42</f>
        <v>189</v>
      </c>
      <c r="K42" s="63">
        <f>SUM(K39:K41)</f>
        <v>740751.41526004113</v>
      </c>
      <c r="L42" s="39">
        <f>SUM(L39:L41)</f>
        <v>3741.1687639396023</v>
      </c>
      <c r="M42" s="60">
        <f>N42/L42</f>
        <v>189</v>
      </c>
      <c r="N42" s="63">
        <f>SUM(N39:N41)</f>
        <v>707080.89638458483</v>
      </c>
      <c r="O42" s="39">
        <f>SUM(O39:O41)</f>
        <v>3741.1687639396023</v>
      </c>
      <c r="P42" s="60">
        <f>Q42/O42</f>
        <v>189</v>
      </c>
      <c r="Q42" s="63">
        <f>SUM(Q39:Q41)</f>
        <v>707080.89638458483</v>
      </c>
      <c r="R42" s="39">
        <f>SUM(R39:R41)</f>
        <v>2137.8107222512012</v>
      </c>
      <c r="S42" s="60">
        <f>T42/R42</f>
        <v>189</v>
      </c>
      <c r="T42" s="63">
        <f>SUM(T39:T41)</f>
        <v>404046.22650547704</v>
      </c>
      <c r="U42" s="38">
        <f>SUM(U39:U41)</f>
        <v>19596.598287302677</v>
      </c>
      <c r="V42" s="65">
        <f t="shared" si="12"/>
        <v>189</v>
      </c>
      <c r="W42" s="68">
        <f>SUM(W39:W41)</f>
        <v>3703757.0763002061</v>
      </c>
      <c r="X42" s="41"/>
      <c r="Y42" s="38">
        <f>SUM(Y39:Y41)</f>
        <v>41865.459977419356</v>
      </c>
      <c r="Z42" s="65">
        <f t="shared" si="13"/>
        <v>189</v>
      </c>
      <c r="AA42" s="68">
        <f>SUM(AA39:AA41)</f>
        <v>7912571.9357322585</v>
      </c>
      <c r="AC42" s="48"/>
      <c r="AD42" s="48"/>
      <c r="AE42" s="48"/>
      <c r="AF42" s="43"/>
    </row>
    <row r="43" spans="2:32" x14ac:dyDescent="0.2">
      <c r="B43" s="79"/>
      <c r="D43" s="59"/>
      <c r="E43" s="62"/>
      <c r="G43" s="59"/>
      <c r="H43" s="62"/>
      <c r="J43" s="59"/>
      <c r="K43" s="62"/>
      <c r="M43" s="59"/>
      <c r="N43" s="62"/>
      <c r="P43" s="59"/>
      <c r="Q43" s="62"/>
      <c r="S43" s="59"/>
      <c r="T43" s="62"/>
      <c r="U43" s="29"/>
      <c r="V43" s="66"/>
      <c r="W43" s="67"/>
      <c r="Y43" s="29"/>
      <c r="Z43" s="66"/>
      <c r="AA43" s="67"/>
    </row>
    <row r="44" spans="2:32" x14ac:dyDescent="0.2">
      <c r="B44" s="306"/>
      <c r="D44" s="59"/>
      <c r="E44" s="62"/>
      <c r="G44" s="59"/>
      <c r="H44" s="62"/>
      <c r="J44" s="59"/>
      <c r="K44" s="62"/>
      <c r="M44" s="59"/>
      <c r="N44" s="62"/>
      <c r="P44" s="59"/>
      <c r="Q44" s="62"/>
      <c r="S44" s="59"/>
      <c r="T44" s="62"/>
      <c r="U44" s="29"/>
      <c r="V44" s="66"/>
      <c r="W44" s="67"/>
      <c r="Y44" s="29"/>
      <c r="Z44" s="66"/>
      <c r="AA44" s="67"/>
    </row>
    <row r="45" spans="2:32" x14ac:dyDescent="0.2">
      <c r="B45" s="79" t="s">
        <v>88</v>
      </c>
      <c r="C45" s="33">
        <f>C33+C39</f>
        <v>24519.850908661629</v>
      </c>
      <c r="D45" s="61">
        <f>E45/C45</f>
        <v>113.54336559734516</v>
      </c>
      <c r="E45" s="62">
        <f>E33+E39</f>
        <v>2784066.3961145631</v>
      </c>
      <c r="F45" s="33">
        <f>F33+F39</f>
        <v>13374.464131997251</v>
      </c>
      <c r="G45" s="61">
        <f>H45/F45</f>
        <v>113.54336559734516</v>
      </c>
      <c r="H45" s="62">
        <f>H33+H39</f>
        <v>1518581.6706079433</v>
      </c>
      <c r="I45" s="33">
        <f>I33+I39</f>
        <v>24519.850908661629</v>
      </c>
      <c r="J45" s="61">
        <f>K45/I45</f>
        <v>113.54336559734516</v>
      </c>
      <c r="K45" s="62">
        <f>K33+K39</f>
        <v>2784066.3961145631</v>
      </c>
      <c r="L45" s="33">
        <f>L33+L39</f>
        <v>23405.31223099519</v>
      </c>
      <c r="M45" s="61">
        <f>N45/L45</f>
        <v>113.54336559734514</v>
      </c>
      <c r="N45" s="62">
        <f>N33+N39</f>
        <v>2657517.9235639009</v>
      </c>
      <c r="O45" s="33">
        <f>O33+O39</f>
        <v>23405.31223099519</v>
      </c>
      <c r="P45" s="61">
        <f>Q45/O45</f>
        <v>113.54336559734514</v>
      </c>
      <c r="Q45" s="62">
        <f>Q33+Q39</f>
        <v>2657517.9235639009</v>
      </c>
      <c r="R45" s="33">
        <f>R33+R39</f>
        <v>13374.464131997251</v>
      </c>
      <c r="S45" s="61">
        <f>T45/R45</f>
        <v>113.54336559734516</v>
      </c>
      <c r="T45" s="62">
        <f>T33+T39</f>
        <v>1518581.6706079433</v>
      </c>
      <c r="U45" s="35">
        <f>C45+F45+I45+L45+O45+R45</f>
        <v>122599.25454330814</v>
      </c>
      <c r="V45" s="64">
        <f>IFERROR(W45/U45,0)</f>
        <v>113.54336559734516</v>
      </c>
      <c r="W45" s="67">
        <f>E45+H45+K45+N45+Q45+T45</f>
        <v>13920331.980572816</v>
      </c>
      <c r="Y45" s="35">
        <f>U21+U45</f>
        <v>261916.58925161284</v>
      </c>
      <c r="Z45" s="64">
        <f>IFERROR(AA45/Y45,0)</f>
        <v>113.54336559734516</v>
      </c>
      <c r="AA45" s="67">
        <f>W21+W45</f>
        <v>29738891.04940556</v>
      </c>
    </row>
    <row r="46" spans="2:32" x14ac:dyDescent="0.2">
      <c r="B46" s="79" t="s">
        <v>89</v>
      </c>
      <c r="C46" s="33">
        <f t="shared" ref="C46" si="14">C34+C40</f>
        <v>40493.451725768318</v>
      </c>
      <c r="D46" s="61">
        <f>E46/C46</f>
        <v>108.74965</v>
      </c>
      <c r="E46" s="62">
        <f t="shared" ref="E46:F47" si="15">E34+E40</f>
        <v>4403648.7024692008</v>
      </c>
      <c r="F46" s="33">
        <f t="shared" si="15"/>
        <v>22087.337304964538</v>
      </c>
      <c r="G46" s="61">
        <f>H46/F46</f>
        <v>108.74965000000002</v>
      </c>
      <c r="H46" s="62">
        <f t="shared" ref="H46:I47" si="16">H34+H40</f>
        <v>2401990.201346837</v>
      </c>
      <c r="I46" s="33">
        <f t="shared" si="16"/>
        <v>40493.451725768318</v>
      </c>
      <c r="J46" s="61">
        <f>K46/I46</f>
        <v>108.74965</v>
      </c>
      <c r="K46" s="62">
        <f t="shared" ref="K46:L47" si="17">K34+K40</f>
        <v>4403648.7024692008</v>
      </c>
      <c r="L46" s="33">
        <f t="shared" si="17"/>
        <v>38652.84028368794</v>
      </c>
      <c r="M46" s="61">
        <f>N46/L46</f>
        <v>108.74964999999999</v>
      </c>
      <c r="N46" s="62">
        <f t="shared" ref="N46:O47" si="18">N34+N40</f>
        <v>4203482.8523569638</v>
      </c>
      <c r="O46" s="33">
        <f t="shared" si="18"/>
        <v>38652.84028368794</v>
      </c>
      <c r="P46" s="61">
        <f>Q46/O46</f>
        <v>108.74964999999999</v>
      </c>
      <c r="Q46" s="62">
        <f t="shared" ref="Q46:R47" si="19">Q34+Q40</f>
        <v>4203482.8523569638</v>
      </c>
      <c r="R46" s="33">
        <f t="shared" si="19"/>
        <v>22087.337304964538</v>
      </c>
      <c r="S46" s="61">
        <f>T46/R46</f>
        <v>108.74965000000002</v>
      </c>
      <c r="T46" s="62">
        <f t="shared" ref="T46:T47" si="20">T34+T40</f>
        <v>2401990.201346837</v>
      </c>
      <c r="U46" s="35">
        <f>C46+F46+I46+L46+O46+R46</f>
        <v>202467.25862884161</v>
      </c>
      <c r="V46" s="64">
        <f t="shared" ref="V46:V48" si="21">IFERROR(W46/U46,0)</f>
        <v>108.74964999999999</v>
      </c>
      <c r="W46" s="67">
        <f>E46+H46+K46+N46+Q46+T46</f>
        <v>22018243.512346003</v>
      </c>
      <c r="Y46" s="35">
        <f>U22+U46</f>
        <v>432543.68888888886</v>
      </c>
      <c r="Z46" s="64">
        <f t="shared" ref="Z46:Z48" si="22">IFERROR(AA46/Y46,0)</f>
        <v>108.74964999999999</v>
      </c>
      <c r="AA46" s="67">
        <f>W22+W46</f>
        <v>47038974.776375547</v>
      </c>
    </row>
    <row r="47" spans="2:32" x14ac:dyDescent="0.2">
      <c r="B47" s="79" t="s">
        <v>90</v>
      </c>
      <c r="C47" s="33">
        <f t="shared" ref="C47" si="23">C35+C41</f>
        <v>2813.5035460992913</v>
      </c>
      <c r="D47" s="61">
        <f>E47/C47</f>
        <v>178.76398596938773</v>
      </c>
      <c r="E47" s="62">
        <f t="shared" si="15"/>
        <v>502953.10843971634</v>
      </c>
      <c r="F47" s="33">
        <f t="shared" si="15"/>
        <v>1534.6382978723407</v>
      </c>
      <c r="G47" s="61">
        <f>H47/F47</f>
        <v>178.76398596938773</v>
      </c>
      <c r="H47" s="62">
        <f t="shared" si="16"/>
        <v>274338.05914893618</v>
      </c>
      <c r="I47" s="33">
        <f t="shared" si="16"/>
        <v>2813.5035460992913</v>
      </c>
      <c r="J47" s="61">
        <f>K47/I47</f>
        <v>178.76398596938773</v>
      </c>
      <c r="K47" s="62">
        <f t="shared" si="17"/>
        <v>502953.10843971634</v>
      </c>
      <c r="L47" s="33">
        <f t="shared" si="17"/>
        <v>2685.6170212765965</v>
      </c>
      <c r="M47" s="61">
        <f>N47/L47</f>
        <v>178.76398596938773</v>
      </c>
      <c r="N47" s="62">
        <f t="shared" si="18"/>
        <v>480091.60351063835</v>
      </c>
      <c r="O47" s="33">
        <f t="shared" si="18"/>
        <v>2685.6170212765965</v>
      </c>
      <c r="P47" s="61">
        <f>Q47/O47</f>
        <v>178.76398596938773</v>
      </c>
      <c r="Q47" s="62">
        <f t="shared" si="19"/>
        <v>480091.60351063835</v>
      </c>
      <c r="R47" s="33">
        <f t="shared" si="19"/>
        <v>1534.6382978723407</v>
      </c>
      <c r="S47" s="61">
        <f>T47/R47</f>
        <v>178.76398596938773</v>
      </c>
      <c r="T47" s="62">
        <f t="shared" si="20"/>
        <v>274338.05914893618</v>
      </c>
      <c r="U47" s="35">
        <f>C47+F47+I47+L47+O47+R47</f>
        <v>14067.517730496456</v>
      </c>
      <c r="V47" s="64">
        <f t="shared" si="21"/>
        <v>178.76398596938773</v>
      </c>
      <c r="W47" s="67">
        <f>E47+H47+K47+N47+Q47+T47</f>
        <v>2514765.5421985816</v>
      </c>
      <c r="Y47" s="35">
        <f>U23+U47</f>
        <v>30053.333333333339</v>
      </c>
      <c r="Z47" s="64">
        <f t="shared" si="22"/>
        <v>178.7639859693877</v>
      </c>
      <c r="AA47" s="67">
        <f>W23+W47</f>
        <v>5372453.6583333332</v>
      </c>
    </row>
    <row r="48" spans="2:32" ht="17" thickBot="1" x14ac:dyDescent="0.25">
      <c r="B48" s="307" t="s">
        <v>3</v>
      </c>
      <c r="C48" s="39">
        <f>SUM(C45:C47)</f>
        <v>67826.806180529238</v>
      </c>
      <c r="D48" s="60">
        <f>E48/C48</f>
        <v>113.38685455060109</v>
      </c>
      <c r="E48" s="63">
        <f>SUM(E45:E47)</f>
        <v>7690668.20702348</v>
      </c>
      <c r="F48" s="38">
        <f>SUM(F45:F47)</f>
        <v>36996.43973483413</v>
      </c>
      <c r="G48" s="60">
        <f>H48/F48</f>
        <v>113.3868545506011</v>
      </c>
      <c r="H48" s="63">
        <f>SUM(H45:H47)</f>
        <v>4194909.9311037166</v>
      </c>
      <c r="I48" s="38">
        <f>SUM(I45:I47)</f>
        <v>67826.806180529238</v>
      </c>
      <c r="J48" s="60">
        <f>K48/I48</f>
        <v>113.38685455060109</v>
      </c>
      <c r="K48" s="63">
        <f>SUM(K45:K47)</f>
        <v>7690668.20702348</v>
      </c>
      <c r="L48" s="38">
        <f>SUM(L45:L47)</f>
        <v>64743.76953595972</v>
      </c>
      <c r="M48" s="60">
        <f>N48/L48</f>
        <v>113.3868545506011</v>
      </c>
      <c r="N48" s="63">
        <f>SUM(N45:N47)</f>
        <v>7341092.3794315029</v>
      </c>
      <c r="O48" s="38">
        <f>SUM(O45:O47)</f>
        <v>64743.76953595972</v>
      </c>
      <c r="P48" s="60">
        <f>Q48/O48</f>
        <v>113.3868545506011</v>
      </c>
      <c r="Q48" s="63">
        <f>SUM(Q45:Q47)</f>
        <v>7341092.3794315029</v>
      </c>
      <c r="R48" s="38">
        <f>SUM(R45:R47)</f>
        <v>36996.43973483413</v>
      </c>
      <c r="S48" s="60">
        <f>T48/R48</f>
        <v>113.3868545506011</v>
      </c>
      <c r="T48" s="63">
        <f>SUM(T45:T47)</f>
        <v>4194909.9311037166</v>
      </c>
      <c r="U48" s="38">
        <f>SUM(U45:U47)</f>
        <v>339134.03090264625</v>
      </c>
      <c r="V48" s="65">
        <f t="shared" si="21"/>
        <v>113.38685455060109</v>
      </c>
      <c r="W48" s="68">
        <f>SUM(W45:W47)</f>
        <v>38453341.035117403</v>
      </c>
      <c r="Y48" s="38">
        <f>SUM(Y45:Y47)</f>
        <v>724513.61147383507</v>
      </c>
      <c r="Z48" s="65">
        <f t="shared" si="22"/>
        <v>113.38685455060107</v>
      </c>
      <c r="AA48" s="68">
        <f>SUM(AA45:AA47)</f>
        <v>82150319.484114438</v>
      </c>
    </row>
  </sheetData>
  <mergeCells count="17">
    <mergeCell ref="C29:W29"/>
    <mergeCell ref="Y29:AA30"/>
    <mergeCell ref="C30:E30"/>
    <mergeCell ref="F30:H30"/>
    <mergeCell ref="I30:K30"/>
    <mergeCell ref="L30:N30"/>
    <mergeCell ref="O30:Q30"/>
    <mergeCell ref="R30:T30"/>
    <mergeCell ref="U30:W30"/>
    <mergeCell ref="C5:W5"/>
    <mergeCell ref="C6:E6"/>
    <mergeCell ref="F6:H6"/>
    <mergeCell ref="I6:K6"/>
    <mergeCell ref="L6:N6"/>
    <mergeCell ref="O6:Q6"/>
    <mergeCell ref="R6:T6"/>
    <mergeCell ref="U6:W6"/>
  </mergeCells>
  <pageMargins left="0.25" right="0.25" top="0.75" bottom="0.75" header="0.3" footer="0.3"/>
  <pageSetup paperSize="9" scale="43" orientation="landscape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83A5-FE9F-DC4A-ACCF-9449521E30C6}">
  <sheetPr codeName="Foglio3">
    <pageSetUpPr fitToPage="1"/>
  </sheetPr>
  <dimension ref="B1:S34"/>
  <sheetViews>
    <sheetView showGridLines="0" topLeftCell="A17" zoomScale="189" zoomScaleNormal="180" workbookViewId="0">
      <selection activeCell="C15" sqref="C15"/>
    </sheetView>
  </sheetViews>
  <sheetFormatPr baseColWidth="10" defaultRowHeight="16" x14ac:dyDescent="0.2"/>
  <cols>
    <col min="1" max="1" width="2" style="3" customWidth="1"/>
    <col min="2" max="2" width="18.83203125" style="3" customWidth="1"/>
    <col min="3" max="3" width="8.1640625" style="3" customWidth="1"/>
    <col min="4" max="4" width="7.5" style="3" customWidth="1"/>
    <col min="5" max="5" width="13.5" style="3" customWidth="1"/>
    <col min="6" max="6" width="7.83203125" style="3" bestFit="1" customWidth="1"/>
    <col min="7" max="7" width="7.5" style="3" customWidth="1"/>
    <col min="8" max="8" width="13.6640625" style="3" customWidth="1"/>
    <col min="9" max="10" width="7.5" style="3" customWidth="1"/>
    <col min="11" max="11" width="13.83203125" style="3" customWidth="1"/>
    <col min="12" max="12" width="11.33203125" style="3" customWidth="1"/>
    <col min="13" max="13" width="7.5" style="3" customWidth="1"/>
    <col min="14" max="14" width="14.5" style="3" customWidth="1"/>
    <col min="15" max="15" width="5" style="3" customWidth="1"/>
    <col min="16" max="19" width="8.1640625" style="3" customWidth="1"/>
    <col min="20" max="16384" width="10.83203125" style="3"/>
  </cols>
  <sheetData>
    <row r="1" spans="2:19" x14ac:dyDescent="0.2">
      <c r="B1" s="74" t="s">
        <v>113</v>
      </c>
    </row>
    <row r="2" spans="2:19" ht="17" thickBot="1" x14ac:dyDescent="0.25"/>
    <row r="3" spans="2:19" x14ac:dyDescent="0.2">
      <c r="B3" s="430"/>
      <c r="C3" s="444" t="s">
        <v>59</v>
      </c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3"/>
      <c r="P3" s="441" t="s">
        <v>84</v>
      </c>
      <c r="Q3" s="442"/>
      <c r="R3" s="442"/>
      <c r="S3" s="443"/>
    </row>
    <row r="4" spans="2:19" x14ac:dyDescent="0.2">
      <c r="B4" s="431"/>
      <c r="C4" s="437" t="s">
        <v>81</v>
      </c>
      <c r="D4" s="438"/>
      <c r="E4" s="439"/>
      <c r="F4" s="437" t="s">
        <v>82</v>
      </c>
      <c r="G4" s="438"/>
      <c r="H4" s="439"/>
      <c r="I4" s="437" t="s">
        <v>83</v>
      </c>
      <c r="J4" s="438"/>
      <c r="K4" s="439"/>
      <c r="L4" s="437" t="s">
        <v>3</v>
      </c>
      <c r="M4" s="438"/>
      <c r="N4" s="440"/>
      <c r="P4" s="80" t="s">
        <v>76</v>
      </c>
      <c r="Q4" s="81" t="s">
        <v>77</v>
      </c>
      <c r="R4" s="81" t="s">
        <v>57</v>
      </c>
      <c r="S4" s="198" t="s">
        <v>68</v>
      </c>
    </row>
    <row r="5" spans="2:19" x14ac:dyDescent="0.2">
      <c r="B5" s="432"/>
      <c r="C5" s="183" t="s">
        <v>80</v>
      </c>
      <c r="D5" s="184" t="s">
        <v>9</v>
      </c>
      <c r="E5" s="185" t="s">
        <v>37</v>
      </c>
      <c r="F5" s="183" t="s">
        <v>80</v>
      </c>
      <c r="G5" s="184" t="s">
        <v>9</v>
      </c>
      <c r="H5" s="185" t="s">
        <v>37</v>
      </c>
      <c r="I5" s="183" t="s">
        <v>80</v>
      </c>
      <c r="J5" s="184" t="s">
        <v>9</v>
      </c>
      <c r="K5" s="185" t="s">
        <v>37</v>
      </c>
      <c r="L5" s="183" t="s">
        <v>80</v>
      </c>
      <c r="M5" s="184" t="s">
        <v>9</v>
      </c>
      <c r="N5" s="189" t="s">
        <v>37</v>
      </c>
      <c r="P5" s="80" t="s">
        <v>37</v>
      </c>
      <c r="Q5" s="81" t="s">
        <v>37</v>
      </c>
      <c r="R5" s="81" t="s">
        <v>37</v>
      </c>
      <c r="S5" s="198" t="s">
        <v>37</v>
      </c>
    </row>
    <row r="6" spans="2:19" x14ac:dyDescent="0.2">
      <c r="B6" s="190" t="s">
        <v>78</v>
      </c>
      <c r="C6" s="186">
        <f>+E6/D6</f>
        <v>151632.33333333334</v>
      </c>
      <c r="D6" s="187">
        <f>+'Tab 0'!$B33</f>
        <v>180</v>
      </c>
      <c r="E6" s="188">
        <f>+E$8*P6</f>
        <v>27293820</v>
      </c>
      <c r="F6" s="186">
        <f>+H6/G6</f>
        <v>441371.11111111112</v>
      </c>
      <c r="G6" s="187">
        <f>+'Tab 0'!$B33</f>
        <v>180</v>
      </c>
      <c r="H6" s="188">
        <f>+H$8*Q6</f>
        <v>79446800</v>
      </c>
      <c r="I6" s="186">
        <f>+K6/J6</f>
        <v>5125.6000000000004</v>
      </c>
      <c r="J6" s="187">
        <f>+'Tab 0'!$B33</f>
        <v>180</v>
      </c>
      <c r="K6" s="188">
        <f>+K$8*R6</f>
        <v>922608</v>
      </c>
      <c r="L6" s="186">
        <f t="shared" ref="L6:N7" si="0">+C6+F6+I6</f>
        <v>598129.04444444447</v>
      </c>
      <c r="M6" s="187">
        <f>+N6/L6</f>
        <v>180</v>
      </c>
      <c r="N6" s="191">
        <f t="shared" si="0"/>
        <v>107663228</v>
      </c>
      <c r="P6" s="205">
        <f>+'Tab 0'!B37</f>
        <v>0.71</v>
      </c>
      <c r="Q6" s="202">
        <f>+'Tab 0'!C37</f>
        <v>1</v>
      </c>
      <c r="R6" s="202">
        <f>+'Tab 0'!D37</f>
        <v>0.09</v>
      </c>
      <c r="S6" s="199">
        <f>N6/N$8</f>
        <v>0.84019999999999995</v>
      </c>
    </row>
    <row r="7" spans="2:19" x14ac:dyDescent="0.2">
      <c r="B7" s="75" t="s">
        <v>79</v>
      </c>
      <c r="C7" s="34">
        <f>+E7/D7</f>
        <v>22296.360000000004</v>
      </c>
      <c r="D7" s="76">
        <f>+'Tab 0'!$B34</f>
        <v>500</v>
      </c>
      <c r="E7" s="62">
        <f>+E$8*P7</f>
        <v>11148180.000000002</v>
      </c>
      <c r="F7" s="34">
        <f>+H7/G7</f>
        <v>0</v>
      </c>
      <c r="G7" s="76">
        <f>+'Tab 0'!$B34</f>
        <v>500</v>
      </c>
      <c r="H7" s="62">
        <f>+H$8*Q7</f>
        <v>0</v>
      </c>
      <c r="I7" s="34">
        <f>+K7/J7</f>
        <v>18657.184000000001</v>
      </c>
      <c r="J7" s="76">
        <f>+'Tab 0'!$B34</f>
        <v>500</v>
      </c>
      <c r="K7" s="62">
        <f>+K$8*R7</f>
        <v>9328592</v>
      </c>
      <c r="L7" s="34">
        <f t="shared" si="0"/>
        <v>40953.544000000009</v>
      </c>
      <c r="M7" s="76">
        <f>+N7/L7</f>
        <v>499.99999999999989</v>
      </c>
      <c r="N7" s="192">
        <f t="shared" si="0"/>
        <v>20476772</v>
      </c>
      <c r="P7" s="205">
        <f>+'Tab 0'!B38</f>
        <v>0.29000000000000004</v>
      </c>
      <c r="Q7" s="202">
        <f>+'Tab 0'!C38</f>
        <v>0</v>
      </c>
      <c r="R7" s="202">
        <f>+'Tab 0'!D38</f>
        <v>0.91</v>
      </c>
      <c r="S7" s="199">
        <f>N7/N$8</f>
        <v>0.1598</v>
      </c>
    </row>
    <row r="8" spans="2:19" ht="17" thickBot="1" x14ac:dyDescent="0.25">
      <c r="B8" s="193" t="s">
        <v>3</v>
      </c>
      <c r="C8" s="194"/>
      <c r="D8" s="195"/>
      <c r="E8" s="196">
        <f>+'Tab 1'!C11</f>
        <v>38442000</v>
      </c>
      <c r="F8" s="194"/>
      <c r="G8" s="195"/>
      <c r="H8" s="196">
        <f>+'Tab 1'!D11</f>
        <v>79446800</v>
      </c>
      <c r="I8" s="194"/>
      <c r="J8" s="195"/>
      <c r="K8" s="196">
        <f>+'Tab 1'!E11</f>
        <v>10251200</v>
      </c>
      <c r="L8" s="194"/>
      <c r="M8" s="195"/>
      <c r="N8" s="197">
        <f>+E8+H8+K8</f>
        <v>128140000</v>
      </c>
      <c r="P8" s="204"/>
      <c r="Q8" s="200"/>
      <c r="R8" s="200"/>
      <c r="S8" s="201"/>
    </row>
    <row r="10" spans="2:19" ht="17" thickBot="1" x14ac:dyDescent="0.25"/>
    <row r="11" spans="2:19" x14ac:dyDescent="0.2">
      <c r="B11" s="430"/>
      <c r="C11" s="433" t="s">
        <v>85</v>
      </c>
      <c r="D11" s="434"/>
      <c r="E11" s="434"/>
      <c r="F11" s="434"/>
      <c r="G11" s="434"/>
      <c r="H11" s="434"/>
      <c r="I11" s="434"/>
      <c r="J11" s="434"/>
      <c r="K11" s="434"/>
      <c r="L11" s="434"/>
      <c r="M11" s="434"/>
      <c r="N11" s="435"/>
      <c r="P11" s="436" t="s">
        <v>84</v>
      </c>
      <c r="Q11" s="434"/>
      <c r="R11" s="434"/>
      <c r="S11" s="435"/>
    </row>
    <row r="12" spans="2:19" x14ac:dyDescent="0.2">
      <c r="B12" s="431"/>
      <c r="C12" s="437" t="s">
        <v>81</v>
      </c>
      <c r="D12" s="438"/>
      <c r="E12" s="439"/>
      <c r="F12" s="437" t="s">
        <v>82</v>
      </c>
      <c r="G12" s="438"/>
      <c r="H12" s="439"/>
      <c r="I12" s="437" t="s">
        <v>83</v>
      </c>
      <c r="J12" s="438"/>
      <c r="K12" s="439"/>
      <c r="L12" s="437" t="s">
        <v>3</v>
      </c>
      <c r="M12" s="438"/>
      <c r="N12" s="440"/>
      <c r="P12" s="80" t="s">
        <v>76</v>
      </c>
      <c r="Q12" s="81" t="s">
        <v>77</v>
      </c>
      <c r="R12" s="81" t="s">
        <v>57</v>
      </c>
      <c r="S12" s="198" t="s">
        <v>68</v>
      </c>
    </row>
    <row r="13" spans="2:19" x14ac:dyDescent="0.2">
      <c r="B13" s="432"/>
      <c r="C13" s="183" t="s">
        <v>80</v>
      </c>
      <c r="D13" s="184" t="s">
        <v>9</v>
      </c>
      <c r="E13" s="185" t="s">
        <v>37</v>
      </c>
      <c r="F13" s="183" t="s">
        <v>80</v>
      </c>
      <c r="G13" s="184" t="s">
        <v>9</v>
      </c>
      <c r="H13" s="185" t="s">
        <v>37</v>
      </c>
      <c r="I13" s="183" t="s">
        <v>80</v>
      </c>
      <c r="J13" s="184" t="s">
        <v>9</v>
      </c>
      <c r="K13" s="185" t="s">
        <v>37</v>
      </c>
      <c r="L13" s="183" t="s">
        <v>80</v>
      </c>
      <c r="M13" s="184" t="s">
        <v>9</v>
      </c>
      <c r="N13" s="189" t="s">
        <v>37</v>
      </c>
      <c r="P13" s="80" t="s">
        <v>37</v>
      </c>
      <c r="Q13" s="81" t="s">
        <v>37</v>
      </c>
      <c r="R13" s="81" t="s">
        <v>37</v>
      </c>
      <c r="S13" s="198" t="s">
        <v>37</v>
      </c>
    </row>
    <row r="14" spans="2:19" x14ac:dyDescent="0.2">
      <c r="B14" s="190" t="s">
        <v>78</v>
      </c>
      <c r="C14" s="186">
        <f>+E14/D14</f>
        <v>246271.12927419352</v>
      </c>
      <c r="D14" s="187">
        <f>+D6</f>
        <v>180</v>
      </c>
      <c r="E14" s="188">
        <f>+E$16*P14</f>
        <v>44328803.269354835</v>
      </c>
      <c r="F14" s="186">
        <f>+H14/G14</f>
        <v>432543.68888888886</v>
      </c>
      <c r="G14" s="187">
        <f>+G6</f>
        <v>180</v>
      </c>
      <c r="H14" s="188">
        <f>+H$16*Q14</f>
        <v>77857864</v>
      </c>
      <c r="I14" s="186">
        <f>+K14/J14</f>
        <v>3833.3333333333367</v>
      </c>
      <c r="J14" s="187">
        <f>+J6</f>
        <v>180</v>
      </c>
      <c r="K14" s="188">
        <f>+K$16*R14</f>
        <v>690000.00000000058</v>
      </c>
      <c r="L14" s="186">
        <f t="shared" ref="L14:L15" si="1">+C14+F14+I14</f>
        <v>682648.15149641572</v>
      </c>
      <c r="M14" s="187">
        <f>+N14/L14</f>
        <v>180</v>
      </c>
      <c r="N14" s="191">
        <f t="shared" ref="N14:N15" si="2">+E14+H14+K14</f>
        <v>122876667.26935484</v>
      </c>
      <c r="P14" s="206">
        <v>0.85</v>
      </c>
      <c r="Q14" s="202">
        <f>+Q6</f>
        <v>1</v>
      </c>
      <c r="R14" s="202">
        <f>1-R15</f>
        <v>5.0000000000000044E-2</v>
      </c>
      <c r="S14" s="199">
        <f>N14/N$8</f>
        <v>0.95892513867141282</v>
      </c>
    </row>
    <row r="15" spans="2:19" x14ac:dyDescent="0.2">
      <c r="B15" s="75" t="s">
        <v>79</v>
      </c>
      <c r="C15" s="34">
        <f>+E15/D15</f>
        <v>15645.459977419358</v>
      </c>
      <c r="D15" s="76">
        <f>+D7</f>
        <v>500</v>
      </c>
      <c r="E15" s="62">
        <f>+E$16*P15</f>
        <v>7822729.9887096789</v>
      </c>
      <c r="F15" s="34">
        <f>+H15/G15</f>
        <v>0</v>
      </c>
      <c r="G15" s="76">
        <f>+G7</f>
        <v>500</v>
      </c>
      <c r="H15" s="62">
        <f>+H$16*Q15</f>
        <v>0</v>
      </c>
      <c r="I15" s="34">
        <f>+K15/J15</f>
        <v>26220</v>
      </c>
      <c r="J15" s="76">
        <f>+J7</f>
        <v>500</v>
      </c>
      <c r="K15" s="62">
        <f>+K$16*R15</f>
        <v>13110000</v>
      </c>
      <c r="L15" s="34">
        <f t="shared" si="1"/>
        <v>41865.459977419356</v>
      </c>
      <c r="M15" s="76">
        <f>+N15/L15</f>
        <v>500.00000000000006</v>
      </c>
      <c r="N15" s="192">
        <f t="shared" si="2"/>
        <v>20932729.988709681</v>
      </c>
      <c r="P15" s="205">
        <f>1-P14</f>
        <v>0.15000000000000002</v>
      </c>
      <c r="Q15" s="202">
        <f>+Q7</f>
        <v>0</v>
      </c>
      <c r="R15" s="203">
        <v>0.95</v>
      </c>
      <c r="S15" s="199">
        <f>N15/N$8</f>
        <v>0.16335827991813393</v>
      </c>
    </row>
    <row r="16" spans="2:19" ht="17" thickBot="1" x14ac:dyDescent="0.25">
      <c r="B16" s="193" t="s">
        <v>3</v>
      </c>
      <c r="C16" s="194"/>
      <c r="D16" s="195"/>
      <c r="E16" s="196">
        <f>+'Tab 1'!G11</f>
        <v>52151533.258064516</v>
      </c>
      <c r="F16" s="194"/>
      <c r="G16" s="195"/>
      <c r="H16" s="196">
        <f>+'Tab 1'!H11</f>
        <v>77857864</v>
      </c>
      <c r="I16" s="194"/>
      <c r="J16" s="195"/>
      <c r="K16" s="196">
        <f>+'Tab 1'!I11</f>
        <v>13800000</v>
      </c>
      <c r="L16" s="194"/>
      <c r="M16" s="195"/>
      <c r="N16" s="197">
        <f>+E16+H16+K16</f>
        <v>143809397.25806451</v>
      </c>
      <c r="P16" s="204"/>
      <c r="Q16" s="200"/>
      <c r="R16" s="200"/>
      <c r="S16" s="201"/>
    </row>
    <row r="18" spans="2:19" x14ac:dyDescent="0.2">
      <c r="B18" s="3" t="s">
        <v>78</v>
      </c>
    </row>
    <row r="19" spans="2:19" x14ac:dyDescent="0.2">
      <c r="B19" s="3" t="s">
        <v>204</v>
      </c>
      <c r="E19" s="73" t="e">
        <f>+E14-E20</f>
        <v>#REF!</v>
      </c>
    </row>
    <row r="20" spans="2:19" x14ac:dyDescent="0.2">
      <c r="B20" s="3" t="s">
        <v>205</v>
      </c>
      <c r="E20" s="54" t="e">
        <f>#REF!</f>
        <v>#REF!</v>
      </c>
    </row>
    <row r="21" spans="2:19" x14ac:dyDescent="0.2">
      <c r="B21" s="3" t="s">
        <v>206</v>
      </c>
      <c r="E21" s="78">
        <f>IFERROR((E19-E6)/E6,0)</f>
        <v>0</v>
      </c>
      <c r="H21" s="78">
        <f>IFERROR((H14-H6)/H6,0)</f>
        <v>-0.02</v>
      </c>
      <c r="K21" s="78">
        <f>IFERROR((K14-K6)/K6,0)</f>
        <v>-0.25212007699911493</v>
      </c>
      <c r="N21" s="78">
        <f>IFERROR((N14-N6)/N6,0)</f>
        <v>0.14130580655964389</v>
      </c>
    </row>
    <row r="22" spans="2:19" x14ac:dyDescent="0.2">
      <c r="E22" s="78"/>
      <c r="H22" s="78"/>
      <c r="K22" s="78"/>
      <c r="N22" s="78"/>
    </row>
    <row r="23" spans="2:19" x14ac:dyDescent="0.2">
      <c r="B23" s="3" t="s">
        <v>79</v>
      </c>
      <c r="E23" s="78"/>
      <c r="H23" s="78"/>
      <c r="K23" s="78"/>
      <c r="N23" s="78"/>
    </row>
    <row r="24" spans="2:19" x14ac:dyDescent="0.2">
      <c r="B24" s="3" t="s">
        <v>204</v>
      </c>
      <c r="E24" s="73" t="e">
        <f>+E15-E25</f>
        <v>#REF!</v>
      </c>
      <c r="H24" s="78"/>
      <c r="K24" s="78"/>
      <c r="N24" s="78"/>
    </row>
    <row r="25" spans="2:19" x14ac:dyDescent="0.2">
      <c r="B25" s="3" t="s">
        <v>205</v>
      </c>
      <c r="E25" s="54" t="e">
        <f>+#REF!</f>
        <v>#REF!</v>
      </c>
      <c r="H25" s="78"/>
      <c r="K25" s="78"/>
      <c r="N25" s="78"/>
    </row>
    <row r="26" spans="2:19" x14ac:dyDescent="0.2">
      <c r="B26" s="3" t="s">
        <v>207</v>
      </c>
      <c r="E26" s="78">
        <f>IFERROR((E24-E7)/E7,0)</f>
        <v>0</v>
      </c>
      <c r="H26" s="78">
        <f>IFERROR((H15-H7)/H7,0)</f>
        <v>0</v>
      </c>
      <c r="K26" s="78">
        <f>IFERROR((K15-K7)/K7,0)</f>
        <v>0.40535677838627737</v>
      </c>
      <c r="N26" s="78">
        <f>IFERROR((N15-N7)/N7,0)</f>
        <v>2.2267083342515155E-2</v>
      </c>
    </row>
    <row r="27" spans="2:19" s="12" customFormat="1" x14ac:dyDescent="0.2">
      <c r="B27" s="12" t="s">
        <v>203</v>
      </c>
      <c r="E27" s="368">
        <f>IFERROR((E16-E8)/E8,0)</f>
        <v>0.35662903225806453</v>
      </c>
      <c r="H27" s="368">
        <f>IFERROR((H16-H8)/H8,0)</f>
        <v>-0.02</v>
      </c>
      <c r="K27" s="368">
        <f>IFERROR((K16-K8)/K8,0)</f>
        <v>0.34618386140159202</v>
      </c>
      <c r="N27" s="368">
        <f>IFERROR((N16-N8)/N8,0)</f>
        <v>0.12228341858954665</v>
      </c>
    </row>
    <row r="28" spans="2:19" ht="17" thickBot="1" x14ac:dyDescent="0.25"/>
    <row r="29" spans="2:19" x14ac:dyDescent="0.2">
      <c r="B29" s="430"/>
      <c r="C29" s="433" t="s">
        <v>126</v>
      </c>
      <c r="D29" s="434"/>
      <c r="E29" s="434"/>
      <c r="F29" s="434"/>
      <c r="G29" s="434"/>
      <c r="H29" s="434"/>
      <c r="I29" s="434"/>
      <c r="J29" s="434"/>
      <c r="K29" s="434"/>
      <c r="L29" s="434"/>
      <c r="M29" s="434"/>
      <c r="N29" s="435"/>
      <c r="P29" s="436" t="s">
        <v>84</v>
      </c>
      <c r="Q29" s="434"/>
      <c r="R29" s="434"/>
      <c r="S29" s="435"/>
    </row>
    <row r="30" spans="2:19" x14ac:dyDescent="0.2">
      <c r="B30" s="431"/>
      <c r="C30" s="437" t="s">
        <v>81</v>
      </c>
      <c r="D30" s="438"/>
      <c r="E30" s="439"/>
      <c r="F30" s="437" t="s">
        <v>82</v>
      </c>
      <c r="G30" s="438"/>
      <c r="H30" s="439"/>
      <c r="I30" s="437" t="s">
        <v>83</v>
      </c>
      <c r="J30" s="438"/>
      <c r="K30" s="439"/>
      <c r="L30" s="437" t="s">
        <v>3</v>
      </c>
      <c r="M30" s="438"/>
      <c r="N30" s="440"/>
      <c r="P30" s="80" t="s">
        <v>76</v>
      </c>
      <c r="Q30" s="81" t="s">
        <v>77</v>
      </c>
      <c r="R30" s="81" t="s">
        <v>57</v>
      </c>
      <c r="S30" s="198" t="s">
        <v>68</v>
      </c>
    </row>
    <row r="31" spans="2:19" x14ac:dyDescent="0.2">
      <c r="B31" s="432"/>
      <c r="C31" s="183" t="s">
        <v>80</v>
      </c>
      <c r="D31" s="184" t="s">
        <v>9</v>
      </c>
      <c r="E31" s="185" t="s">
        <v>37</v>
      </c>
      <c r="F31" s="183" t="s">
        <v>80</v>
      </c>
      <c r="G31" s="184" t="s">
        <v>9</v>
      </c>
      <c r="H31" s="185" t="s">
        <v>37</v>
      </c>
      <c r="I31" s="183" t="s">
        <v>80</v>
      </c>
      <c r="J31" s="184" t="s">
        <v>9</v>
      </c>
      <c r="K31" s="185" t="s">
        <v>37</v>
      </c>
      <c r="L31" s="183" t="s">
        <v>80</v>
      </c>
      <c r="M31" s="184" t="s">
        <v>9</v>
      </c>
      <c r="N31" s="189" t="s">
        <v>37</v>
      </c>
      <c r="P31" s="80" t="s">
        <v>37</v>
      </c>
      <c r="Q31" s="81" t="s">
        <v>37</v>
      </c>
      <c r="R31" s="81" t="s">
        <v>37</v>
      </c>
      <c r="S31" s="198" t="s">
        <v>37</v>
      </c>
    </row>
    <row r="32" spans="2:19" x14ac:dyDescent="0.2">
      <c r="B32" s="190" t="s">
        <v>78</v>
      </c>
      <c r="C32" s="186">
        <f>+E32/D32</f>
        <v>251196.55185967742</v>
      </c>
      <c r="D32" s="187">
        <f>+D14</f>
        <v>180</v>
      </c>
      <c r="E32" s="188">
        <f>+E$34*P32</f>
        <v>45215379.334741935</v>
      </c>
      <c r="F32" s="186">
        <f>+H32/G32</f>
        <v>415241.94133333332</v>
      </c>
      <c r="G32" s="187">
        <f>+G14</f>
        <v>180</v>
      </c>
      <c r="H32" s="188">
        <f>+H$34*Q32</f>
        <v>74743549.439999998</v>
      </c>
      <c r="I32" s="186">
        <f>+K32/J32</f>
        <v>4140.0000000000036</v>
      </c>
      <c r="J32" s="187">
        <f>+J14</f>
        <v>180</v>
      </c>
      <c r="K32" s="188">
        <f>+K$34*R32</f>
        <v>745200.0000000007</v>
      </c>
      <c r="L32" s="186">
        <f t="shared" ref="L32:L33" si="3">+C32+F32+I32</f>
        <v>670578.4931930108</v>
      </c>
      <c r="M32" s="187">
        <f>+N32/L32</f>
        <v>179.99999999999997</v>
      </c>
      <c r="N32" s="191">
        <f t="shared" ref="N32:N33" si="4">+E32+H32+K32</f>
        <v>120704128.77474193</v>
      </c>
      <c r="P32" s="205">
        <f t="shared" ref="P32:R33" si="5">+P14</f>
        <v>0.85</v>
      </c>
      <c r="Q32" s="202">
        <f t="shared" si="5"/>
        <v>1</v>
      </c>
      <c r="R32" s="202">
        <f t="shared" si="5"/>
        <v>5.0000000000000044E-2</v>
      </c>
      <c r="S32" s="199">
        <f>N32/N$8</f>
        <v>0.94197072557157746</v>
      </c>
    </row>
    <row r="33" spans="2:19" x14ac:dyDescent="0.2">
      <c r="B33" s="75" t="s">
        <v>79</v>
      </c>
      <c r="C33" s="34">
        <f>+E33/D33</f>
        <v>15958.369176967744</v>
      </c>
      <c r="D33" s="76">
        <f>+D15</f>
        <v>500</v>
      </c>
      <c r="E33" s="62">
        <f>+E$34*P33</f>
        <v>7979184.5884838719</v>
      </c>
      <c r="F33" s="34">
        <f>+H33/G33</f>
        <v>0</v>
      </c>
      <c r="G33" s="76">
        <f>+G15</f>
        <v>500</v>
      </c>
      <c r="H33" s="62">
        <f>+H$34*Q33</f>
        <v>0</v>
      </c>
      <c r="I33" s="34">
        <f>+K33/J33</f>
        <v>28317.599999999999</v>
      </c>
      <c r="J33" s="76">
        <f>+J15</f>
        <v>500</v>
      </c>
      <c r="K33" s="62">
        <f>+K$34*R33</f>
        <v>14158800</v>
      </c>
      <c r="L33" s="34">
        <f t="shared" si="3"/>
        <v>44275.969176967745</v>
      </c>
      <c r="M33" s="76">
        <f>+N33/L33</f>
        <v>499.99999999999994</v>
      </c>
      <c r="N33" s="192">
        <f t="shared" si="4"/>
        <v>22137984.58848387</v>
      </c>
      <c r="P33" s="205">
        <f t="shared" si="5"/>
        <v>0.15000000000000002</v>
      </c>
      <c r="Q33" s="202">
        <f t="shared" si="5"/>
        <v>0</v>
      </c>
      <c r="R33" s="202">
        <f t="shared" si="5"/>
        <v>0.95</v>
      </c>
      <c r="S33" s="199">
        <f>N33/N$8</f>
        <v>0.17276404392448783</v>
      </c>
    </row>
    <row r="34" spans="2:19" ht="17" thickBot="1" x14ac:dyDescent="0.25">
      <c r="B34" s="193" t="s">
        <v>3</v>
      </c>
      <c r="C34" s="194"/>
      <c r="D34" s="195"/>
      <c r="E34" s="196">
        <f>+'Tab 1'!Q11</f>
        <v>53194563.923225805</v>
      </c>
      <c r="F34" s="194"/>
      <c r="G34" s="195"/>
      <c r="H34" s="196">
        <f>+'Tab 1'!R11</f>
        <v>74743549.439999998</v>
      </c>
      <c r="I34" s="194"/>
      <c r="J34" s="195"/>
      <c r="K34" s="196">
        <f>+'Tab 1'!S11</f>
        <v>14904000</v>
      </c>
      <c r="L34" s="194"/>
      <c r="M34" s="195"/>
      <c r="N34" s="197">
        <f>+E34+H34+K34</f>
        <v>142842113.36322582</v>
      </c>
      <c r="P34" s="204"/>
      <c r="Q34" s="200"/>
      <c r="R34" s="200"/>
      <c r="S34" s="201"/>
    </row>
  </sheetData>
  <mergeCells count="21">
    <mergeCell ref="P11:S11"/>
    <mergeCell ref="I12:K12"/>
    <mergeCell ref="L12:N12"/>
    <mergeCell ref="P3:S3"/>
    <mergeCell ref="B3:B5"/>
    <mergeCell ref="B11:B13"/>
    <mergeCell ref="C11:N11"/>
    <mergeCell ref="C12:E12"/>
    <mergeCell ref="F12:H12"/>
    <mergeCell ref="C4:E4"/>
    <mergeCell ref="F4:H4"/>
    <mergeCell ref="I4:K4"/>
    <mergeCell ref="L4:N4"/>
    <mergeCell ref="C3:N3"/>
    <mergeCell ref="B29:B31"/>
    <mergeCell ref="C29:N29"/>
    <mergeCell ref="P29:S29"/>
    <mergeCell ref="C30:E30"/>
    <mergeCell ref="F30:H30"/>
    <mergeCell ref="I30:K30"/>
    <mergeCell ref="L30:N30"/>
  </mergeCells>
  <pageMargins left="0.7" right="0.7" top="0.75" bottom="0.75" header="0.3" footer="0.3"/>
  <pageSetup paperSize="9" scale="76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4">
    <pageSetUpPr fitToPage="1"/>
  </sheetPr>
  <dimension ref="B2:DG50"/>
  <sheetViews>
    <sheetView showGridLines="0" zoomScale="140" zoomScaleNormal="140" workbookViewId="0">
      <selection activeCell="C6" sqref="C6:E6"/>
    </sheetView>
  </sheetViews>
  <sheetFormatPr baseColWidth="10" defaultColWidth="9.1640625" defaultRowHeight="16" x14ac:dyDescent="0.2"/>
  <cols>
    <col min="1" max="1" width="2.6640625" style="3" customWidth="1"/>
    <col min="2" max="2" width="20" style="3" customWidth="1"/>
    <col min="3" max="3" width="11.33203125" style="3" bestFit="1" customWidth="1"/>
    <col min="4" max="4" width="9.1640625" style="3"/>
    <col min="5" max="5" width="14" style="3" bestFit="1" customWidth="1"/>
    <col min="6" max="6" width="11.33203125" style="3" bestFit="1" customWidth="1"/>
    <col min="7" max="7" width="9.1640625" style="3"/>
    <col min="8" max="8" width="14" style="3" bestFit="1" customWidth="1"/>
    <col min="9" max="9" width="11.33203125" style="3" bestFit="1" customWidth="1"/>
    <col min="10" max="10" width="9.1640625" style="3"/>
    <col min="11" max="11" width="14" style="3" bestFit="1" customWidth="1"/>
    <col min="12" max="12" width="11.33203125" style="3" bestFit="1" customWidth="1"/>
    <col min="13" max="13" width="9.1640625" style="3"/>
    <col min="14" max="14" width="14" style="3" bestFit="1" customWidth="1"/>
    <col min="15" max="15" width="11.33203125" style="3" bestFit="1" customWidth="1"/>
    <col min="16" max="16" width="9.1640625" style="3"/>
    <col min="17" max="17" width="14" style="3" bestFit="1" customWidth="1"/>
    <col min="18" max="18" width="11.33203125" style="3" bestFit="1" customWidth="1"/>
    <col min="19" max="19" width="9.1640625" style="3"/>
    <col min="20" max="20" width="14" style="3" bestFit="1" customWidth="1"/>
    <col min="21" max="21" width="12.33203125" style="3" bestFit="1" customWidth="1"/>
    <col min="22" max="22" width="9.1640625" style="3"/>
    <col min="23" max="23" width="14" style="3" bestFit="1" customWidth="1"/>
    <col min="24" max="24" width="2.33203125" style="3" customWidth="1"/>
    <col min="25" max="25" width="15" style="3" bestFit="1" customWidth="1"/>
    <col min="26" max="26" width="8.6640625" style="3" bestFit="1" customWidth="1"/>
    <col min="27" max="27" width="16.5" style="3" bestFit="1" customWidth="1"/>
    <col min="28" max="28" width="8.6640625" style="3" bestFit="1" customWidth="1"/>
    <col min="29" max="29" width="10.33203125" style="3" bestFit="1" customWidth="1"/>
    <col min="30" max="30" width="8.6640625" style="3" bestFit="1" customWidth="1"/>
    <col min="31" max="31" width="10.33203125" style="3" bestFit="1" customWidth="1"/>
    <col min="32" max="33" width="8.6640625" style="3" bestFit="1" customWidth="1"/>
    <col min="34" max="34" width="12.83203125" style="3" bestFit="1" customWidth="1"/>
    <col min="35" max="35" width="9.1640625" style="3"/>
    <col min="36" max="36" width="14" style="3" bestFit="1" customWidth="1"/>
    <col min="37" max="16384" width="9.1640625" style="3"/>
  </cols>
  <sheetData>
    <row r="2" spans="2:24" x14ac:dyDescent="0.2">
      <c r="B2" s="74" t="s">
        <v>112</v>
      </c>
    </row>
    <row r="3" spans="2:24" x14ac:dyDescent="0.2">
      <c r="B3" s="12"/>
      <c r="E3" s="36"/>
    </row>
    <row r="4" spans="2:24" ht="17" thickBot="1" x14ac:dyDescent="0.25"/>
    <row r="5" spans="2:24" x14ac:dyDescent="0.2">
      <c r="B5" s="13"/>
      <c r="C5" s="457" t="s">
        <v>85</v>
      </c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458"/>
      <c r="U5" s="458"/>
      <c r="V5" s="458"/>
      <c r="W5" s="459"/>
      <c r="X5" s="14"/>
    </row>
    <row r="6" spans="2:24" x14ac:dyDescent="0.2">
      <c r="B6" s="15"/>
      <c r="C6" s="461" t="s">
        <v>29</v>
      </c>
      <c r="D6" s="462"/>
      <c r="E6" s="462"/>
      <c r="F6" s="462" t="s">
        <v>30</v>
      </c>
      <c r="G6" s="462"/>
      <c r="H6" s="462"/>
      <c r="I6" s="462" t="s">
        <v>31</v>
      </c>
      <c r="J6" s="462"/>
      <c r="K6" s="462"/>
      <c r="L6" s="462" t="s">
        <v>32</v>
      </c>
      <c r="M6" s="462"/>
      <c r="N6" s="462"/>
      <c r="O6" s="462" t="s">
        <v>33</v>
      </c>
      <c r="P6" s="462"/>
      <c r="Q6" s="462"/>
      <c r="R6" s="462" t="s">
        <v>34</v>
      </c>
      <c r="S6" s="462"/>
      <c r="T6" s="437"/>
      <c r="U6" s="448" t="s">
        <v>2</v>
      </c>
      <c r="V6" s="449"/>
      <c r="W6" s="450"/>
      <c r="X6" s="16"/>
    </row>
    <row r="7" spans="2:24" x14ac:dyDescent="0.2">
      <c r="B7" s="17"/>
      <c r="C7" s="18" t="s">
        <v>0</v>
      </c>
      <c r="D7" s="16" t="s">
        <v>9</v>
      </c>
      <c r="E7" s="19" t="s">
        <v>1</v>
      </c>
      <c r="F7" s="20" t="s">
        <v>0</v>
      </c>
      <c r="G7" s="20" t="s">
        <v>9</v>
      </c>
      <c r="H7" s="21" t="s">
        <v>1</v>
      </c>
      <c r="I7" s="22" t="s">
        <v>0</v>
      </c>
      <c r="J7" s="20" t="s">
        <v>9</v>
      </c>
      <c r="K7" s="21" t="s">
        <v>1</v>
      </c>
      <c r="L7" s="22" t="s">
        <v>0</v>
      </c>
      <c r="M7" s="20" t="s">
        <v>9</v>
      </c>
      <c r="N7" s="21" t="s">
        <v>1</v>
      </c>
      <c r="O7" s="22" t="s">
        <v>0</v>
      </c>
      <c r="P7" s="20" t="s">
        <v>9</v>
      </c>
      <c r="Q7" s="21" t="s">
        <v>1</v>
      </c>
      <c r="R7" s="22" t="s">
        <v>0</v>
      </c>
      <c r="S7" s="20" t="s">
        <v>9</v>
      </c>
      <c r="T7" s="23" t="s">
        <v>1</v>
      </c>
      <c r="U7" s="24" t="s">
        <v>0</v>
      </c>
      <c r="V7" s="24" t="s">
        <v>9</v>
      </c>
      <c r="W7" s="25" t="s">
        <v>1</v>
      </c>
      <c r="X7" s="16"/>
    </row>
    <row r="8" spans="2:24" x14ac:dyDescent="0.2">
      <c r="B8" s="26"/>
      <c r="C8" s="17"/>
      <c r="E8" s="27"/>
      <c r="H8" s="27"/>
      <c r="I8" s="28"/>
      <c r="K8" s="27"/>
      <c r="L8" s="28"/>
      <c r="N8" s="27"/>
      <c r="O8" s="28"/>
      <c r="Q8" s="27"/>
      <c r="U8" s="29"/>
      <c r="V8" s="30"/>
      <c r="W8" s="31"/>
    </row>
    <row r="9" spans="2:24" x14ac:dyDescent="0.2">
      <c r="B9" s="17" t="s">
        <v>88</v>
      </c>
      <c r="C9" s="32">
        <f>QUANTITÀ!B8</f>
        <v>18863.320540150991</v>
      </c>
      <c r="D9" s="59">
        <f>PREZZI!B5</f>
        <v>180</v>
      </c>
      <c r="E9" s="62">
        <f>C9*D9</f>
        <v>3395397.6972271786</v>
      </c>
      <c r="F9" s="33">
        <f>QUANTITÀ!C8</f>
        <v>20959.245044612213</v>
      </c>
      <c r="G9" s="59">
        <f>PREZZI!C5</f>
        <v>180</v>
      </c>
      <c r="H9" s="62">
        <f>F9*G9</f>
        <v>3772664.1080301981</v>
      </c>
      <c r="I9" s="34">
        <f>QUANTITÀ!D8</f>
        <v>24103.131801304044</v>
      </c>
      <c r="J9" s="59">
        <f>PREZZI!D5</f>
        <v>180</v>
      </c>
      <c r="K9" s="62">
        <f>I9*J9</f>
        <v>4338563.7242347281</v>
      </c>
      <c r="L9" s="34">
        <f>QUANTITÀ!E8</f>
        <v>22007.207296842822</v>
      </c>
      <c r="M9" s="59">
        <f>PREZZI!E5</f>
        <v>180</v>
      </c>
      <c r="N9" s="62">
        <f>L9*M9</f>
        <v>3961297.3134317081</v>
      </c>
      <c r="O9" s="34">
        <f>QUANTITÀ!F8</f>
        <v>22007.207296842822</v>
      </c>
      <c r="P9" s="59">
        <f>PREZZI!F5</f>
        <v>180</v>
      </c>
      <c r="Q9" s="62">
        <f>O9*P9</f>
        <v>3961297.3134317081</v>
      </c>
      <c r="R9" s="33">
        <f>QUANTITÀ!G8</f>
        <v>23055.169549073435</v>
      </c>
      <c r="S9" s="59">
        <f>PREZZI!G5</f>
        <v>180</v>
      </c>
      <c r="T9" s="62">
        <f>R9*S9</f>
        <v>4149930.5188332181</v>
      </c>
      <c r="U9" s="35">
        <f>C9+F9+I9+L9+O9+R9</f>
        <v>130995.28152882634</v>
      </c>
      <c r="V9" s="64">
        <f>IFERROR(W9/U9,0)</f>
        <v>180.00000000000003</v>
      </c>
      <c r="W9" s="67">
        <f>E9+H9+K9+N9+Q9+T9</f>
        <v>23579150.675188743</v>
      </c>
      <c r="X9" s="36"/>
    </row>
    <row r="10" spans="2:24" x14ac:dyDescent="0.2">
      <c r="B10" s="17" t="s">
        <v>89</v>
      </c>
      <c r="C10" s="32">
        <f>QUANTITÀ!B9</f>
        <v>33131.005957446803</v>
      </c>
      <c r="D10" s="59">
        <f>PREZZI!B6</f>
        <v>180</v>
      </c>
      <c r="E10" s="62">
        <f>C10*D10</f>
        <v>5963581.0723404242</v>
      </c>
      <c r="F10" s="33">
        <f>QUANTITÀ!C9</f>
        <v>36812.228841607561</v>
      </c>
      <c r="G10" s="59">
        <f>PREZZI!C6</f>
        <v>180</v>
      </c>
      <c r="H10" s="62">
        <f>F10*G10</f>
        <v>6626201.1914893612</v>
      </c>
      <c r="I10" s="34">
        <f>QUANTITÀ!D9</f>
        <v>42334.063167848697</v>
      </c>
      <c r="J10" s="59">
        <f>PREZZI!D6</f>
        <v>180</v>
      </c>
      <c r="K10" s="62">
        <f>I10*J10</f>
        <v>7620131.3702127654</v>
      </c>
      <c r="L10" s="34">
        <f>QUANTITÀ!E9</f>
        <v>38652.84028368794</v>
      </c>
      <c r="M10" s="59">
        <f>PREZZI!E6</f>
        <v>180</v>
      </c>
      <c r="N10" s="62">
        <f>L10*M10</f>
        <v>6957511.2510638293</v>
      </c>
      <c r="O10" s="34">
        <f>QUANTITÀ!F9</f>
        <v>38652.84028368794</v>
      </c>
      <c r="P10" s="59">
        <f>PREZZI!F6</f>
        <v>180</v>
      </c>
      <c r="Q10" s="62">
        <f>O10*P10</f>
        <v>6957511.2510638293</v>
      </c>
      <c r="R10" s="33">
        <f>QUANTITÀ!G9</f>
        <v>40493.451725768318</v>
      </c>
      <c r="S10" s="59">
        <f>PREZZI!G6</f>
        <v>180</v>
      </c>
      <c r="T10" s="62">
        <f>R10*S10</f>
        <v>7288821.3106382973</v>
      </c>
      <c r="U10" s="35">
        <f>C10+F10+I10+L10+O10+R10</f>
        <v>230076.43026004726</v>
      </c>
      <c r="V10" s="64">
        <f t="shared" ref="V10:V12" si="0">IFERROR(W10/U10,0)</f>
        <v>180.00000000000006</v>
      </c>
      <c r="W10" s="67">
        <f>E10+H10+K10+N10+Q10+T10</f>
        <v>41413757.446808517</v>
      </c>
      <c r="X10" s="36"/>
    </row>
    <row r="11" spans="2:24" x14ac:dyDescent="0.2">
      <c r="B11" s="17" t="s">
        <v>90</v>
      </c>
      <c r="C11" s="32">
        <f>QUANTITÀ!B10</f>
        <v>293.61702127659601</v>
      </c>
      <c r="D11" s="59">
        <f>PREZZI!B7</f>
        <v>180</v>
      </c>
      <c r="E11" s="62">
        <f>C11*D11</f>
        <v>52851.063829787279</v>
      </c>
      <c r="F11" s="33">
        <f>QUANTITÀ!C10</f>
        <v>326.2411347517733</v>
      </c>
      <c r="G11" s="59">
        <f>PREZZI!C7</f>
        <v>180</v>
      </c>
      <c r="H11" s="62">
        <f>F11*G11</f>
        <v>58723.404255319198</v>
      </c>
      <c r="I11" s="34">
        <f>QUANTITÀ!D10</f>
        <v>375.1773049645393</v>
      </c>
      <c r="J11" s="59">
        <f>PREZZI!D7</f>
        <v>180</v>
      </c>
      <c r="K11" s="62">
        <f>I11*J11</f>
        <v>67531.914893617068</v>
      </c>
      <c r="L11" s="34">
        <f>QUANTITÀ!E10</f>
        <v>342.55319148936201</v>
      </c>
      <c r="M11" s="59">
        <f>PREZZI!E7</f>
        <v>180</v>
      </c>
      <c r="N11" s="62">
        <f>L11*M11</f>
        <v>61659.574468085164</v>
      </c>
      <c r="O11" s="34">
        <f>QUANTITÀ!F10</f>
        <v>342.55319148936201</v>
      </c>
      <c r="P11" s="59">
        <f>PREZZI!F7</f>
        <v>180</v>
      </c>
      <c r="Q11" s="62">
        <f>O11*P11</f>
        <v>61659.574468085164</v>
      </c>
      <c r="R11" s="33">
        <f>QUANTITÀ!G10</f>
        <v>358.86524822695065</v>
      </c>
      <c r="S11" s="59">
        <f>PREZZI!G7</f>
        <v>180</v>
      </c>
      <c r="T11" s="62">
        <f>R11*S11</f>
        <v>64595.744680851116</v>
      </c>
      <c r="U11" s="35">
        <f>C11+F11+I11+L11+O11+R11</f>
        <v>2039.0070921985832</v>
      </c>
      <c r="V11" s="64">
        <f t="shared" si="0"/>
        <v>180</v>
      </c>
      <c r="W11" s="67">
        <f>E11+H11+K11+N11+Q11+T11</f>
        <v>367021.276595745</v>
      </c>
      <c r="X11" s="36"/>
    </row>
    <row r="12" spans="2:24" s="12" customFormat="1" ht="17" thickBot="1" x14ac:dyDescent="0.25">
      <c r="B12" s="37" t="s">
        <v>78</v>
      </c>
      <c r="C12" s="38">
        <f>SUM(C9:C11)</f>
        <v>52287.943518874388</v>
      </c>
      <c r="D12" s="60">
        <f>E12/C12</f>
        <v>180</v>
      </c>
      <c r="E12" s="63">
        <f>SUM(E9:E11)</f>
        <v>9411829.8333973903</v>
      </c>
      <c r="F12" s="39">
        <f>SUM(F9:F11)</f>
        <v>58097.71502097154</v>
      </c>
      <c r="G12" s="60">
        <f>H12/F12</f>
        <v>180.00000000000003</v>
      </c>
      <c r="H12" s="63">
        <f>SUM(H9:H11)</f>
        <v>10457588.703774879</v>
      </c>
      <c r="I12" s="40">
        <f>SUM(I9:I11)</f>
        <v>66812.372274117282</v>
      </c>
      <c r="J12" s="60">
        <f>K12/I12</f>
        <v>180</v>
      </c>
      <c r="K12" s="63">
        <f>SUM(K9:K11)</f>
        <v>12026227.009341111</v>
      </c>
      <c r="L12" s="40">
        <f>SUM(L9:L11)</f>
        <v>61002.600772020131</v>
      </c>
      <c r="M12" s="60">
        <f>N12/L12</f>
        <v>180</v>
      </c>
      <c r="N12" s="63">
        <f>SUM(N9:N11)</f>
        <v>10980468.138963623</v>
      </c>
      <c r="O12" s="40">
        <f>SUM(O9:O11)</f>
        <v>61002.600772020131</v>
      </c>
      <c r="P12" s="60">
        <f>Q12/O12</f>
        <v>180</v>
      </c>
      <c r="Q12" s="63">
        <f>SUM(Q9:Q11)</f>
        <v>10980468.138963623</v>
      </c>
      <c r="R12" s="39">
        <f>SUM(R9:R11)</f>
        <v>63907.486523068706</v>
      </c>
      <c r="S12" s="60">
        <f>T12/R12</f>
        <v>180</v>
      </c>
      <c r="T12" s="63">
        <f>SUM(T9:T11)</f>
        <v>11503347.574152367</v>
      </c>
      <c r="U12" s="38">
        <f>SUM(U9:U11)</f>
        <v>363110.71888107219</v>
      </c>
      <c r="V12" s="65">
        <f t="shared" si="0"/>
        <v>180.00000000000003</v>
      </c>
      <c r="W12" s="68">
        <f>SUM(W9:W11)</f>
        <v>65359929.398593001</v>
      </c>
      <c r="X12" s="41"/>
    </row>
    <row r="13" spans="2:24" x14ac:dyDescent="0.2">
      <c r="B13" s="17"/>
      <c r="C13" s="17"/>
      <c r="D13" s="59"/>
      <c r="E13" s="62"/>
      <c r="G13" s="59"/>
      <c r="H13" s="62"/>
      <c r="I13" s="28"/>
      <c r="J13" s="59"/>
      <c r="K13" s="62"/>
      <c r="L13" s="28"/>
      <c r="M13" s="59"/>
      <c r="N13" s="62"/>
      <c r="O13" s="28"/>
      <c r="P13" s="59"/>
      <c r="Q13" s="62"/>
      <c r="S13" s="59"/>
      <c r="T13" s="62"/>
      <c r="U13" s="29"/>
      <c r="V13" s="66"/>
      <c r="W13" s="67"/>
    </row>
    <row r="14" spans="2:24" x14ac:dyDescent="0.2">
      <c r="B14" s="26"/>
      <c r="C14" s="17"/>
      <c r="D14" s="59"/>
      <c r="E14" s="62"/>
      <c r="G14" s="59"/>
      <c r="H14" s="62"/>
      <c r="I14" s="28"/>
      <c r="J14" s="59"/>
      <c r="K14" s="62"/>
      <c r="L14" s="28"/>
      <c r="M14" s="59"/>
      <c r="N14" s="62"/>
      <c r="O14" s="28"/>
      <c r="P14" s="59"/>
      <c r="Q14" s="62"/>
      <c r="S14" s="59"/>
      <c r="T14" s="62"/>
      <c r="U14" s="29"/>
      <c r="V14" s="66"/>
      <c r="W14" s="67"/>
    </row>
    <row r="15" spans="2:24" x14ac:dyDescent="0.2">
      <c r="B15" s="17" t="s">
        <v>88</v>
      </c>
      <c r="C15" s="32">
        <f>QUANTITÀ!B15</f>
        <v>1198.375657844887</v>
      </c>
      <c r="D15" s="59">
        <f>PREZZI!B12</f>
        <v>500</v>
      </c>
      <c r="E15" s="62">
        <f>C15*D15</f>
        <v>599187.82892244344</v>
      </c>
      <c r="F15" s="33">
        <f>QUANTITÀ!C15</f>
        <v>1331.528508716541</v>
      </c>
      <c r="G15" s="59">
        <f>PREZZI!C12</f>
        <v>500</v>
      </c>
      <c r="H15" s="62">
        <f>F15*G15</f>
        <v>665764.25435827044</v>
      </c>
      <c r="I15" s="34">
        <f>QUANTITÀ!D15</f>
        <v>1531.257785024022</v>
      </c>
      <c r="J15" s="59">
        <f>PREZZI!D12</f>
        <v>500</v>
      </c>
      <c r="K15" s="62">
        <f>I15*J15</f>
        <v>765628.89251201099</v>
      </c>
      <c r="L15" s="34">
        <f>QUANTITÀ!E15</f>
        <v>1398.1049341523681</v>
      </c>
      <c r="M15" s="59">
        <f>PREZZI!E12</f>
        <v>500</v>
      </c>
      <c r="N15" s="62">
        <f>L15*M15</f>
        <v>699052.467076184</v>
      </c>
      <c r="O15" s="34">
        <f>QUANTITÀ!F15</f>
        <v>1398.1049341523681</v>
      </c>
      <c r="P15" s="59">
        <f>PREZZI!F12</f>
        <v>500</v>
      </c>
      <c r="Q15" s="62">
        <f>O15*P15</f>
        <v>699052.467076184</v>
      </c>
      <c r="R15" s="33">
        <f>QUANTITÀ!G15</f>
        <v>1464.6813595881949</v>
      </c>
      <c r="S15" s="59">
        <f>PREZZI!G12</f>
        <v>500</v>
      </c>
      <c r="T15" s="62">
        <f>R15*S15</f>
        <v>732340.67979409744</v>
      </c>
      <c r="U15" s="35">
        <f>C15+F15+I15+L15+O15+R15</f>
        <v>8322.0531794783819</v>
      </c>
      <c r="V15" s="64">
        <f>IFERROR(W15/U15,0)</f>
        <v>499.99999999999994</v>
      </c>
      <c r="W15" s="67">
        <f>E15+H15+K15+N15+Q15+T15</f>
        <v>4161026.5897391904</v>
      </c>
      <c r="X15" s="36"/>
    </row>
    <row r="16" spans="2:24" x14ac:dyDescent="0.2">
      <c r="B16" s="17" t="s">
        <v>89</v>
      </c>
      <c r="C16" s="32">
        <f>QUANTITÀ!B16</f>
        <v>0</v>
      </c>
      <c r="D16" s="59">
        <f>PREZZI!B13</f>
        <v>500</v>
      </c>
      <c r="E16" s="62">
        <f>C16*D16</f>
        <v>0</v>
      </c>
      <c r="F16" s="33">
        <f>QUANTITÀ!C16</f>
        <v>0</v>
      </c>
      <c r="G16" s="59">
        <f>PREZZI!C13</f>
        <v>500</v>
      </c>
      <c r="H16" s="62">
        <f>F16*G16</f>
        <v>0</v>
      </c>
      <c r="I16" s="34">
        <f>QUANTITÀ!D16</f>
        <v>0</v>
      </c>
      <c r="J16" s="59">
        <f>PREZZI!D13</f>
        <v>500</v>
      </c>
      <c r="K16" s="62">
        <f>I16*J16</f>
        <v>0</v>
      </c>
      <c r="L16" s="34">
        <f>QUANTITÀ!E16</f>
        <v>0</v>
      </c>
      <c r="M16" s="59">
        <f>PREZZI!E13</f>
        <v>500</v>
      </c>
      <c r="N16" s="62">
        <f>L16*M16</f>
        <v>0</v>
      </c>
      <c r="O16" s="34">
        <f>QUANTITÀ!F16</f>
        <v>0</v>
      </c>
      <c r="P16" s="59">
        <f>PREZZI!F13</f>
        <v>500</v>
      </c>
      <c r="Q16" s="62">
        <f>O16*P16</f>
        <v>0</v>
      </c>
      <c r="R16" s="33">
        <f>QUANTITÀ!G16</f>
        <v>0</v>
      </c>
      <c r="S16" s="59">
        <f>PREZZI!G13</f>
        <v>500</v>
      </c>
      <c r="T16" s="62">
        <f>R16*S16</f>
        <v>0</v>
      </c>
      <c r="U16" s="35">
        <f>C16+F16+I16+L16+O16+R16</f>
        <v>0</v>
      </c>
      <c r="V16" s="64">
        <f t="shared" ref="V16:V18" si="1">IFERROR(W16/U16,0)</f>
        <v>0</v>
      </c>
      <c r="W16" s="67">
        <f>E16+H16+K16+N16+Q16+T16</f>
        <v>0</v>
      </c>
      <c r="X16" s="36"/>
    </row>
    <row r="17" spans="2:111" x14ac:dyDescent="0.2">
      <c r="B17" s="17" t="s">
        <v>90</v>
      </c>
      <c r="C17" s="32">
        <f>QUANTITÀ!B17</f>
        <v>2008.3404255319151</v>
      </c>
      <c r="D17" s="59">
        <f>PREZZI!B14</f>
        <v>500</v>
      </c>
      <c r="E17" s="62">
        <f>C17*D17</f>
        <v>1004170.2127659576</v>
      </c>
      <c r="F17" s="33">
        <f>QUANTITÀ!C17</f>
        <v>2231.489361702128</v>
      </c>
      <c r="G17" s="59">
        <f>PREZZI!C14</f>
        <v>500</v>
      </c>
      <c r="H17" s="62">
        <f>F17*G17</f>
        <v>1115744.6808510639</v>
      </c>
      <c r="I17" s="34">
        <f>QUANTITÀ!D17</f>
        <v>2566.2127659574471</v>
      </c>
      <c r="J17" s="59">
        <f>PREZZI!D14</f>
        <v>500</v>
      </c>
      <c r="K17" s="62">
        <f>I17*J17</f>
        <v>1283106.3829787236</v>
      </c>
      <c r="L17" s="34">
        <f>QUANTITÀ!E17</f>
        <v>2343.0638297872342</v>
      </c>
      <c r="M17" s="59">
        <f>PREZZI!E14</f>
        <v>500</v>
      </c>
      <c r="N17" s="62">
        <f>L17*M17</f>
        <v>1171531.9148936172</v>
      </c>
      <c r="O17" s="34">
        <f>QUANTITÀ!F17</f>
        <v>2343.0638297872342</v>
      </c>
      <c r="P17" s="59">
        <f>PREZZI!F14</f>
        <v>500</v>
      </c>
      <c r="Q17" s="62">
        <f>O17*P17</f>
        <v>1171531.9148936172</v>
      </c>
      <c r="R17" s="33">
        <f>QUANTITÀ!G17</f>
        <v>2454.6382978723404</v>
      </c>
      <c r="S17" s="59">
        <f>PREZZI!G14</f>
        <v>500</v>
      </c>
      <c r="T17" s="62">
        <f>R17*S17</f>
        <v>1227319.1489361702</v>
      </c>
      <c r="U17" s="35">
        <f>C17+F17+I17+L17+O17+R17</f>
        <v>13946.808510638297</v>
      </c>
      <c r="V17" s="64">
        <f t="shared" si="1"/>
        <v>500.00000000000006</v>
      </c>
      <c r="W17" s="67">
        <f>E17+H17+K17+N17+Q17+T17</f>
        <v>6973404.2553191492</v>
      </c>
      <c r="X17" s="36"/>
    </row>
    <row r="18" spans="2:111" ht="17" thickBot="1" x14ac:dyDescent="0.25">
      <c r="B18" s="37" t="s">
        <v>79</v>
      </c>
      <c r="C18" s="38">
        <f>SUM(C15:C17)</f>
        <v>3206.7160833768021</v>
      </c>
      <c r="D18" s="60">
        <f>E18/C18</f>
        <v>500</v>
      </c>
      <c r="E18" s="63">
        <f>SUM(E15:E17)</f>
        <v>1603358.041688401</v>
      </c>
      <c r="F18" s="39">
        <f>SUM(F15:F17)</f>
        <v>3563.0178704186692</v>
      </c>
      <c r="G18" s="60">
        <f>H18/F18</f>
        <v>499.99999999999994</v>
      </c>
      <c r="H18" s="63">
        <f>SUM(H15:H17)</f>
        <v>1781508.9352093344</v>
      </c>
      <c r="I18" s="40">
        <f>SUM(I15:I17)</f>
        <v>4097.4705509814694</v>
      </c>
      <c r="J18" s="60">
        <f>K18/I18</f>
        <v>500</v>
      </c>
      <c r="K18" s="63">
        <f>SUM(K15:K17)</f>
        <v>2048735.2754907347</v>
      </c>
      <c r="L18" s="40">
        <f>SUM(L15:L17)</f>
        <v>3741.1687639396023</v>
      </c>
      <c r="M18" s="60">
        <f>N18/L18</f>
        <v>500</v>
      </c>
      <c r="N18" s="63">
        <f>SUM(N15:N17)</f>
        <v>1870584.3819698012</v>
      </c>
      <c r="O18" s="40">
        <f>SUM(O15:O17)</f>
        <v>3741.1687639396023</v>
      </c>
      <c r="P18" s="60">
        <f>Q18/O18</f>
        <v>500</v>
      </c>
      <c r="Q18" s="63">
        <f>SUM(Q15:Q17)</f>
        <v>1870584.3819698012</v>
      </c>
      <c r="R18" s="39">
        <f>SUM(R15:R17)</f>
        <v>3919.3196574605354</v>
      </c>
      <c r="S18" s="60">
        <f>T18/R18</f>
        <v>499.99999999999994</v>
      </c>
      <c r="T18" s="63">
        <f>SUM(T15:T17)</f>
        <v>1959659.8287302675</v>
      </c>
      <c r="U18" s="38">
        <f>SUM(U15:U17)</f>
        <v>22268.861690116679</v>
      </c>
      <c r="V18" s="65">
        <f t="shared" si="1"/>
        <v>500.00000000000006</v>
      </c>
      <c r="W18" s="68">
        <f>SUM(W15:W17)</f>
        <v>11134430.845058341</v>
      </c>
      <c r="X18" s="41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</row>
    <row r="19" spans="2:111" x14ac:dyDescent="0.2">
      <c r="B19" s="17"/>
      <c r="C19" s="17"/>
      <c r="D19" s="59"/>
      <c r="E19" s="62"/>
      <c r="G19" s="59"/>
      <c r="H19" s="62"/>
      <c r="I19" s="28"/>
      <c r="J19" s="59"/>
      <c r="K19" s="62"/>
      <c r="L19" s="28"/>
      <c r="M19" s="59"/>
      <c r="N19" s="62"/>
      <c r="O19" s="28"/>
      <c r="P19" s="59"/>
      <c r="Q19" s="62"/>
      <c r="S19" s="59"/>
      <c r="T19" s="62"/>
      <c r="U19" s="29"/>
      <c r="V19" s="66"/>
      <c r="W19" s="67"/>
      <c r="X19" s="41"/>
      <c r="Y19" s="36"/>
      <c r="Z19" s="44"/>
      <c r="AA19" s="44"/>
    </row>
    <row r="20" spans="2:111" x14ac:dyDescent="0.2">
      <c r="B20" s="26"/>
      <c r="C20" s="17"/>
      <c r="D20" s="59"/>
      <c r="E20" s="62"/>
      <c r="G20" s="59"/>
      <c r="H20" s="62"/>
      <c r="I20" s="28"/>
      <c r="J20" s="59"/>
      <c r="K20" s="62"/>
      <c r="L20" s="28"/>
      <c r="M20" s="59"/>
      <c r="N20" s="62"/>
      <c r="O20" s="28"/>
      <c r="P20" s="59"/>
      <c r="Q20" s="62"/>
      <c r="S20" s="59"/>
      <c r="T20" s="62"/>
      <c r="U20" s="29"/>
      <c r="V20" s="66"/>
      <c r="W20" s="67"/>
      <c r="X20" s="41"/>
      <c r="Y20" s="36"/>
      <c r="Z20" s="44"/>
      <c r="AA20" s="44"/>
    </row>
    <row r="21" spans="2:111" x14ac:dyDescent="0.2">
      <c r="B21" s="17" t="s">
        <v>88</v>
      </c>
      <c r="C21" s="42">
        <f>C9+C15</f>
        <v>20061.69619799588</v>
      </c>
      <c r="D21" s="61">
        <f>E21/C21</f>
        <v>199.11504424778761</v>
      </c>
      <c r="E21" s="62">
        <f>E9+E15</f>
        <v>3994585.5261496222</v>
      </c>
      <c r="F21" s="42">
        <f>F9+F15</f>
        <v>22290.773553328752</v>
      </c>
      <c r="G21" s="61">
        <f>H21/F21</f>
        <v>199.11504424778761</v>
      </c>
      <c r="H21" s="62">
        <f>H9+H15</f>
        <v>4438428.3623884683</v>
      </c>
      <c r="I21" s="42">
        <f>I9+I15</f>
        <v>25634.389586328067</v>
      </c>
      <c r="J21" s="61">
        <f>K21/I21</f>
        <v>199.11504424778764</v>
      </c>
      <c r="K21" s="62">
        <f>K9+K15</f>
        <v>5104192.6167467395</v>
      </c>
      <c r="L21" s="42">
        <f>L9+L15</f>
        <v>23405.31223099519</v>
      </c>
      <c r="M21" s="61">
        <f>N21/L21</f>
        <v>199.11504424778764</v>
      </c>
      <c r="N21" s="62">
        <f>N9+N15</f>
        <v>4660349.7805078924</v>
      </c>
      <c r="O21" s="42">
        <f>O9+O15</f>
        <v>23405.31223099519</v>
      </c>
      <c r="P21" s="61">
        <f>Q21/O21</f>
        <v>199.11504424778764</v>
      </c>
      <c r="Q21" s="62">
        <f>Q9+Q15</f>
        <v>4660349.7805078924</v>
      </c>
      <c r="R21" s="42">
        <f>R9+R15</f>
        <v>24519.850908661629</v>
      </c>
      <c r="S21" s="61">
        <f>T21/R21</f>
        <v>199.11504424778761</v>
      </c>
      <c r="T21" s="62">
        <f>T9+T15</f>
        <v>4882271.1986273155</v>
      </c>
      <c r="U21" s="35">
        <f>C21+F21+I21+L21+O21+R21</f>
        <v>139317.3347083047</v>
      </c>
      <c r="V21" s="64">
        <f>IFERROR(W21/U21,0)</f>
        <v>199.11504424778764</v>
      </c>
      <c r="W21" s="67">
        <f>E21+H21+K21+N21+Q21+T21</f>
        <v>27740177.264927931</v>
      </c>
      <c r="X21" s="41"/>
      <c r="Y21" s="36"/>
      <c r="Z21" s="44"/>
      <c r="AA21" s="44"/>
    </row>
    <row r="22" spans="2:111" x14ac:dyDescent="0.2">
      <c r="B22" s="17" t="s">
        <v>89</v>
      </c>
      <c r="C22" s="42">
        <f t="shared" ref="C22:C23" si="2">C10+C16</f>
        <v>33131.005957446803</v>
      </c>
      <c r="D22" s="61">
        <f>E22/C22</f>
        <v>180</v>
      </c>
      <c r="E22" s="62">
        <f t="shared" ref="E22:F23" si="3">E10+E16</f>
        <v>5963581.0723404242</v>
      </c>
      <c r="F22" s="42">
        <f t="shared" si="3"/>
        <v>36812.228841607561</v>
      </c>
      <c r="G22" s="61">
        <f>H22/F22</f>
        <v>180</v>
      </c>
      <c r="H22" s="62">
        <f t="shared" ref="H22:I23" si="4">H10+H16</f>
        <v>6626201.1914893612</v>
      </c>
      <c r="I22" s="42">
        <f t="shared" si="4"/>
        <v>42334.063167848697</v>
      </c>
      <c r="J22" s="61">
        <f>K22/I22</f>
        <v>180</v>
      </c>
      <c r="K22" s="62">
        <f t="shared" ref="K22:L23" si="5">K10+K16</f>
        <v>7620131.3702127654</v>
      </c>
      <c r="L22" s="42">
        <f t="shared" si="5"/>
        <v>38652.84028368794</v>
      </c>
      <c r="M22" s="61">
        <f>N22/L22</f>
        <v>180</v>
      </c>
      <c r="N22" s="62">
        <f t="shared" ref="N22:O23" si="6">N10+N16</f>
        <v>6957511.2510638293</v>
      </c>
      <c r="O22" s="42">
        <f t="shared" si="6"/>
        <v>38652.84028368794</v>
      </c>
      <c r="P22" s="61">
        <f>Q22/O22</f>
        <v>180</v>
      </c>
      <c r="Q22" s="62">
        <f t="shared" ref="Q22:R23" si="7">Q10+Q16</f>
        <v>6957511.2510638293</v>
      </c>
      <c r="R22" s="42">
        <f t="shared" si="7"/>
        <v>40493.451725768318</v>
      </c>
      <c r="S22" s="61">
        <f>T22/R22</f>
        <v>180</v>
      </c>
      <c r="T22" s="62">
        <f t="shared" ref="T22" si="8">T10+T16</f>
        <v>7288821.3106382973</v>
      </c>
      <c r="U22" s="35">
        <f>C22+F22+I22+L22+O22+R22</f>
        <v>230076.43026004726</v>
      </c>
      <c r="V22" s="64">
        <f t="shared" ref="V22:V24" si="9">IFERROR(W22/U22,0)</f>
        <v>180.00000000000006</v>
      </c>
      <c r="W22" s="67">
        <f>E22+H22+K22+N22+Q22+T22</f>
        <v>41413757.446808517</v>
      </c>
      <c r="X22" s="41"/>
      <c r="Y22" s="36"/>
      <c r="Z22" s="44"/>
      <c r="AA22" s="44"/>
    </row>
    <row r="23" spans="2:111" x14ac:dyDescent="0.2">
      <c r="B23" s="17" t="s">
        <v>90</v>
      </c>
      <c r="C23" s="42">
        <f t="shared" si="2"/>
        <v>2301.9574468085111</v>
      </c>
      <c r="D23" s="61">
        <f>E23/C23</f>
        <v>459.18367346938771</v>
      </c>
      <c r="E23" s="62">
        <f t="shared" si="3"/>
        <v>1057021.2765957448</v>
      </c>
      <c r="F23" s="42">
        <f t="shared" si="3"/>
        <v>2557.7304964539012</v>
      </c>
      <c r="G23" s="61">
        <f>H23/F23</f>
        <v>459.18367346938771</v>
      </c>
      <c r="H23" s="62">
        <f t="shared" ref="H23" si="10">H11+H17</f>
        <v>1174468.0851063831</v>
      </c>
      <c r="I23" s="42">
        <f t="shared" si="4"/>
        <v>2941.3900709219865</v>
      </c>
      <c r="J23" s="61">
        <f>K23/I23</f>
        <v>459.18367346938777</v>
      </c>
      <c r="K23" s="62">
        <f t="shared" ref="K23" si="11">K11+K17</f>
        <v>1350638.2978723408</v>
      </c>
      <c r="L23" s="42">
        <f t="shared" si="5"/>
        <v>2685.6170212765965</v>
      </c>
      <c r="M23" s="61">
        <f>N23/L23</f>
        <v>459.18367346938766</v>
      </c>
      <c r="N23" s="62">
        <f t="shared" ref="N23" si="12">N11+N17</f>
        <v>1233191.4893617022</v>
      </c>
      <c r="O23" s="42">
        <f t="shared" si="6"/>
        <v>2685.6170212765965</v>
      </c>
      <c r="P23" s="61">
        <f>Q23/O23</f>
        <v>459.18367346938766</v>
      </c>
      <c r="Q23" s="62">
        <f t="shared" ref="Q23" si="13">Q11+Q17</f>
        <v>1233191.4893617022</v>
      </c>
      <c r="R23" s="42">
        <f t="shared" si="7"/>
        <v>2813.5035460992913</v>
      </c>
      <c r="S23" s="61">
        <f>T23/R23</f>
        <v>459.18367346938771</v>
      </c>
      <c r="T23" s="62">
        <f t="shared" ref="T23" si="14">T11+T17</f>
        <v>1291914.8936170214</v>
      </c>
      <c r="U23" s="35">
        <f>C23+F23+I23+L23+O23+R23</f>
        <v>15985.815602836883</v>
      </c>
      <c r="V23" s="64">
        <f t="shared" si="9"/>
        <v>459.18367346938777</v>
      </c>
      <c r="W23" s="67">
        <f>E23+H23+K23+N23+Q23+T23</f>
        <v>7340425.5319148954</v>
      </c>
      <c r="X23" s="41"/>
      <c r="Y23" s="36"/>
      <c r="Z23" s="44"/>
      <c r="AA23" s="44"/>
    </row>
    <row r="24" spans="2:111" ht="17" thickBot="1" x14ac:dyDescent="0.25">
      <c r="B24" s="37" t="s">
        <v>3</v>
      </c>
      <c r="C24" s="38">
        <f>SUM(C21:C23)</f>
        <v>55494.659602251195</v>
      </c>
      <c r="D24" s="60">
        <f>E24/C24</f>
        <v>198.49095307612177</v>
      </c>
      <c r="E24" s="63">
        <f>SUM(E21:E23)</f>
        <v>11015187.875085792</v>
      </c>
      <c r="F24" s="38">
        <f>SUM(F21:F23)</f>
        <v>61660.732891390209</v>
      </c>
      <c r="G24" s="60">
        <f>H24/F24</f>
        <v>198.4909530761218</v>
      </c>
      <c r="H24" s="63">
        <f>SUM(H21:H23)</f>
        <v>12239097.638984215</v>
      </c>
      <c r="I24" s="38">
        <f>SUM(I21:I23)</f>
        <v>70909.842825098749</v>
      </c>
      <c r="J24" s="60">
        <f>K24/I24</f>
        <v>198.49095307612177</v>
      </c>
      <c r="K24" s="63">
        <f>SUM(K21:K23)</f>
        <v>14074962.284831846</v>
      </c>
      <c r="L24" s="38">
        <f>SUM(L21:L23)</f>
        <v>64743.76953595972</v>
      </c>
      <c r="M24" s="60">
        <f>N24/L24</f>
        <v>198.49095307612177</v>
      </c>
      <c r="N24" s="63">
        <f>SUM(N21:N23)</f>
        <v>12851052.520933423</v>
      </c>
      <c r="O24" s="38">
        <f>SUM(O21:O23)</f>
        <v>64743.76953595972</v>
      </c>
      <c r="P24" s="60">
        <f>Q24/O24</f>
        <v>198.49095307612177</v>
      </c>
      <c r="Q24" s="63">
        <f>SUM(Q21:Q23)</f>
        <v>12851052.520933423</v>
      </c>
      <c r="R24" s="38">
        <f>SUM(R21:R23)</f>
        <v>67826.806180529238</v>
      </c>
      <c r="S24" s="60">
        <f>T24/R24</f>
        <v>198.49095307612174</v>
      </c>
      <c r="T24" s="63">
        <f>SUM(T21:T23)</f>
        <v>13463007.402882634</v>
      </c>
      <c r="U24" s="38">
        <f>SUM(U21:U23)</f>
        <v>385379.58057118882</v>
      </c>
      <c r="V24" s="65">
        <f t="shared" si="9"/>
        <v>198.49095307612177</v>
      </c>
      <c r="W24" s="68">
        <f>SUM(W21:W23)</f>
        <v>76494360.24365133</v>
      </c>
      <c r="X24" s="41"/>
      <c r="Y24" s="36"/>
      <c r="Z24" s="44"/>
      <c r="AA24" s="44"/>
    </row>
    <row r="25" spans="2:111" x14ac:dyDescent="0.2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1"/>
      <c r="Y25" s="36"/>
      <c r="Z25" s="44"/>
      <c r="AA25" s="44"/>
    </row>
    <row r="26" spans="2:111" x14ac:dyDescent="0.2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1"/>
      <c r="Y26" s="36"/>
      <c r="Z26" s="44"/>
      <c r="AA26" s="44"/>
    </row>
    <row r="27" spans="2:111" x14ac:dyDescent="0.2">
      <c r="W27" s="36"/>
    </row>
    <row r="28" spans="2:111" ht="17" thickBot="1" x14ac:dyDescent="0.25"/>
    <row r="29" spans="2:111" x14ac:dyDescent="0.2">
      <c r="B29" s="13"/>
      <c r="C29" s="457" t="s">
        <v>85</v>
      </c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  <c r="R29" s="458"/>
      <c r="S29" s="458"/>
      <c r="T29" s="458"/>
      <c r="U29" s="458"/>
      <c r="V29" s="458"/>
      <c r="W29" s="459"/>
      <c r="X29" s="14"/>
      <c r="Y29" s="451" t="s">
        <v>3</v>
      </c>
      <c r="Z29" s="452"/>
      <c r="AA29" s="453"/>
    </row>
    <row r="30" spans="2:111" x14ac:dyDescent="0.2">
      <c r="B30" s="15"/>
      <c r="C30" s="460" t="s">
        <v>23</v>
      </c>
      <c r="D30" s="438"/>
      <c r="E30" s="439"/>
      <c r="F30" s="445" t="s">
        <v>24</v>
      </c>
      <c r="G30" s="446"/>
      <c r="H30" s="447"/>
      <c r="I30" s="445" t="s">
        <v>25</v>
      </c>
      <c r="J30" s="446"/>
      <c r="K30" s="447"/>
      <c r="L30" s="445" t="s">
        <v>26</v>
      </c>
      <c r="M30" s="446"/>
      <c r="N30" s="447"/>
      <c r="O30" s="445" t="s">
        <v>27</v>
      </c>
      <c r="P30" s="446"/>
      <c r="Q30" s="447"/>
      <c r="R30" s="445" t="s">
        <v>28</v>
      </c>
      <c r="S30" s="446"/>
      <c r="T30" s="447"/>
      <c r="U30" s="448" t="s">
        <v>159</v>
      </c>
      <c r="V30" s="449"/>
      <c r="W30" s="450"/>
      <c r="X30" s="16"/>
      <c r="Y30" s="454"/>
      <c r="Z30" s="455"/>
      <c r="AA30" s="456"/>
    </row>
    <row r="31" spans="2:111" x14ac:dyDescent="0.2">
      <c r="B31" s="17"/>
      <c r="C31" s="18" t="s">
        <v>0</v>
      </c>
      <c r="D31" s="16" t="s">
        <v>9</v>
      </c>
      <c r="E31" s="19" t="s">
        <v>1</v>
      </c>
      <c r="F31" s="20" t="s">
        <v>0</v>
      </c>
      <c r="G31" s="20" t="s">
        <v>9</v>
      </c>
      <c r="H31" s="21" t="s">
        <v>1</v>
      </c>
      <c r="I31" s="22" t="s">
        <v>0</v>
      </c>
      <c r="J31" s="20" t="s">
        <v>9</v>
      </c>
      <c r="K31" s="21" t="s">
        <v>1</v>
      </c>
      <c r="L31" s="22" t="s">
        <v>0</v>
      </c>
      <c r="M31" s="20" t="s">
        <v>9</v>
      </c>
      <c r="N31" s="21" t="s">
        <v>1</v>
      </c>
      <c r="O31" s="22" t="s">
        <v>0</v>
      </c>
      <c r="P31" s="20" t="s">
        <v>9</v>
      </c>
      <c r="Q31" s="21" t="s">
        <v>1</v>
      </c>
      <c r="R31" s="22" t="s">
        <v>0</v>
      </c>
      <c r="S31" s="20" t="s">
        <v>9</v>
      </c>
      <c r="T31" s="23" t="s">
        <v>1</v>
      </c>
      <c r="U31" s="24" t="s">
        <v>0</v>
      </c>
      <c r="V31" s="24" t="s">
        <v>9</v>
      </c>
      <c r="W31" s="25" t="s">
        <v>1</v>
      </c>
      <c r="X31" s="16"/>
      <c r="Y31" s="47" t="s">
        <v>0</v>
      </c>
      <c r="Z31" s="24" t="s">
        <v>9</v>
      </c>
      <c r="AA31" s="25" t="s">
        <v>1</v>
      </c>
    </row>
    <row r="32" spans="2:111" x14ac:dyDescent="0.2">
      <c r="B32" s="26"/>
      <c r="C32" s="17"/>
      <c r="E32" s="27"/>
      <c r="H32" s="27"/>
      <c r="I32" s="28"/>
      <c r="K32" s="27"/>
      <c r="L32" s="28"/>
      <c r="N32" s="27"/>
      <c r="O32" s="28"/>
      <c r="Q32" s="27"/>
      <c r="U32" s="29"/>
      <c r="V32" s="30"/>
      <c r="W32" s="31"/>
      <c r="Y32" s="29"/>
      <c r="Z32" s="30"/>
      <c r="AA32" s="31"/>
    </row>
    <row r="33" spans="2:32" x14ac:dyDescent="0.2">
      <c r="B33" s="17" t="s">
        <v>88</v>
      </c>
      <c r="C33" s="32">
        <f>QUANTITÀ!H8</f>
        <v>23055.169549073435</v>
      </c>
      <c r="D33" s="59">
        <f>PREZZI!H5</f>
        <v>180</v>
      </c>
      <c r="E33" s="62">
        <f>C33*D33</f>
        <v>4149930.5188332181</v>
      </c>
      <c r="F33" s="33">
        <f>QUANTITÀ!I8</f>
        <v>12575.547026767326</v>
      </c>
      <c r="G33" s="59">
        <f>PREZZI!I5</f>
        <v>180</v>
      </c>
      <c r="H33" s="62">
        <f>F33*G33</f>
        <v>2263598.4648181186</v>
      </c>
      <c r="I33" s="34">
        <f>QUANTITÀ!J8</f>
        <v>23055.169549073435</v>
      </c>
      <c r="J33" s="59">
        <f>PREZZI!J5</f>
        <v>180</v>
      </c>
      <c r="K33" s="62">
        <f>I33*J33</f>
        <v>4149930.5188332181</v>
      </c>
      <c r="L33" s="34">
        <f>QUANTITÀ!K8</f>
        <v>22007.207296842822</v>
      </c>
      <c r="M33" s="59">
        <f>PREZZI!K5</f>
        <v>180</v>
      </c>
      <c r="N33" s="62">
        <f>L33*M33</f>
        <v>3961297.3134317081</v>
      </c>
      <c r="O33" s="34">
        <f>QUANTITÀ!L8</f>
        <v>22007.207296842822</v>
      </c>
      <c r="P33" s="59">
        <f>PREZZI!L5</f>
        <v>180</v>
      </c>
      <c r="Q33" s="62">
        <f>O33*P33</f>
        <v>3961297.3134317081</v>
      </c>
      <c r="R33" s="33">
        <f>QUANTITÀ!M8</f>
        <v>12575.547026767326</v>
      </c>
      <c r="S33" s="59">
        <f>PREZZI!M5</f>
        <v>180</v>
      </c>
      <c r="T33" s="62">
        <f>R33*S33</f>
        <v>2263598.4648181186</v>
      </c>
      <c r="U33" s="35">
        <f>C33+F33+I33+L33+O33+R33</f>
        <v>115275.84774536717</v>
      </c>
      <c r="V33" s="64">
        <f>IFERROR(W33/U33,0)</f>
        <v>180.00000000000003</v>
      </c>
      <c r="W33" s="67">
        <f>E33+H33+K33+N33+Q33+T33</f>
        <v>20749652.594166093</v>
      </c>
      <c r="X33" s="36"/>
      <c r="Y33" s="35">
        <f>U9+U33</f>
        <v>246271.12927419349</v>
      </c>
      <c r="Z33" s="64">
        <f>IFERROR(AA33/Y33,0)</f>
        <v>180.00000000000003</v>
      </c>
      <c r="AA33" s="67">
        <f>W9+W33</f>
        <v>44328803.269354835</v>
      </c>
    </row>
    <row r="34" spans="2:32" x14ac:dyDescent="0.2">
      <c r="B34" s="17" t="s">
        <v>89</v>
      </c>
      <c r="C34" s="32">
        <f>QUANTITÀ!H9</f>
        <v>40493.451725768318</v>
      </c>
      <c r="D34" s="59">
        <f>PREZZI!H6</f>
        <v>180</v>
      </c>
      <c r="E34" s="62">
        <f>C34*D34</f>
        <v>7288821.3106382973</v>
      </c>
      <c r="F34" s="33">
        <f>QUANTITÀ!I9</f>
        <v>22087.337304964538</v>
      </c>
      <c r="G34" s="59">
        <f>PREZZI!I6</f>
        <v>180</v>
      </c>
      <c r="H34" s="62">
        <f>F34*G34</f>
        <v>3975720.7148936167</v>
      </c>
      <c r="I34" s="34">
        <f>QUANTITÀ!J9</f>
        <v>40493.451725768318</v>
      </c>
      <c r="J34" s="59">
        <f>PREZZI!J6</f>
        <v>180</v>
      </c>
      <c r="K34" s="62">
        <f>I34*J34</f>
        <v>7288821.3106382973</v>
      </c>
      <c r="L34" s="34">
        <f>QUANTITÀ!K9</f>
        <v>38652.84028368794</v>
      </c>
      <c r="M34" s="59">
        <f>PREZZI!K6</f>
        <v>180</v>
      </c>
      <c r="N34" s="62">
        <f>L34*M34</f>
        <v>6957511.2510638293</v>
      </c>
      <c r="O34" s="34">
        <f>QUANTITÀ!L9</f>
        <v>38652.84028368794</v>
      </c>
      <c r="P34" s="59">
        <f>PREZZI!L6</f>
        <v>180</v>
      </c>
      <c r="Q34" s="62">
        <f>O34*P34</f>
        <v>6957511.2510638293</v>
      </c>
      <c r="R34" s="33">
        <f>QUANTITÀ!M9</f>
        <v>22087.337304964538</v>
      </c>
      <c r="S34" s="59">
        <f>PREZZI!M6</f>
        <v>180</v>
      </c>
      <c r="T34" s="62">
        <f>R34*S34</f>
        <v>3975720.7148936167</v>
      </c>
      <c r="U34" s="35">
        <f>C34+F34+I34+L34+O34+R34</f>
        <v>202467.25862884161</v>
      </c>
      <c r="V34" s="64">
        <f t="shared" ref="V34:V36" si="15">IFERROR(W34/U34,0)</f>
        <v>180</v>
      </c>
      <c r="W34" s="67">
        <f>E34+H34+K34+N34+Q34+T34</f>
        <v>36444106.55319149</v>
      </c>
      <c r="X34" s="36"/>
      <c r="Y34" s="35">
        <f>U10+U34</f>
        <v>432543.68888888886</v>
      </c>
      <c r="Z34" s="64">
        <f t="shared" ref="Z34:Z36" si="16">IFERROR(AA34/Y34,0)</f>
        <v>180</v>
      </c>
      <c r="AA34" s="67">
        <f>W10+W34</f>
        <v>77857864</v>
      </c>
    </row>
    <row r="35" spans="2:32" x14ac:dyDescent="0.2">
      <c r="B35" s="17" t="s">
        <v>90</v>
      </c>
      <c r="C35" s="32">
        <f>QUANTITÀ!H10</f>
        <v>358.86524822695065</v>
      </c>
      <c r="D35" s="59">
        <f>PREZZI!H7</f>
        <v>180</v>
      </c>
      <c r="E35" s="62">
        <f>C35*D35</f>
        <v>64595.744680851116</v>
      </c>
      <c r="F35" s="33">
        <f>QUANTITÀ!I10</f>
        <v>195.744680851064</v>
      </c>
      <c r="G35" s="59">
        <f>PREZZI!I7</f>
        <v>180</v>
      </c>
      <c r="H35" s="62">
        <f>F35*G35</f>
        <v>35234.042553191524</v>
      </c>
      <c r="I35" s="34">
        <f>QUANTITÀ!J10</f>
        <v>358.86524822695065</v>
      </c>
      <c r="J35" s="59">
        <f>PREZZI!J7</f>
        <v>180</v>
      </c>
      <c r="K35" s="62">
        <f>I35*J35</f>
        <v>64595.744680851116</v>
      </c>
      <c r="L35" s="34">
        <f>QUANTITÀ!K10</f>
        <v>342.55319148936201</v>
      </c>
      <c r="M35" s="59">
        <f>PREZZI!K7</f>
        <v>180</v>
      </c>
      <c r="N35" s="62">
        <f>L35*M35</f>
        <v>61659.574468085164</v>
      </c>
      <c r="O35" s="34">
        <f>QUANTITÀ!L10</f>
        <v>342.55319148936201</v>
      </c>
      <c r="P35" s="59">
        <f>PREZZI!L7</f>
        <v>180</v>
      </c>
      <c r="Q35" s="62">
        <f>O35*P35</f>
        <v>61659.574468085164</v>
      </c>
      <c r="R35" s="33">
        <f>QUANTITÀ!M10</f>
        <v>195.744680851064</v>
      </c>
      <c r="S35" s="59">
        <f>PREZZI!M7</f>
        <v>180</v>
      </c>
      <c r="T35" s="62">
        <f>R35*S35</f>
        <v>35234.042553191524</v>
      </c>
      <c r="U35" s="35">
        <f>C35+F35+I35+L35+O35+R35</f>
        <v>1794.3262411347532</v>
      </c>
      <c r="V35" s="64">
        <f t="shared" si="15"/>
        <v>180.00000000000003</v>
      </c>
      <c r="W35" s="67">
        <f>E35+H35+K35+N35+Q35+T35</f>
        <v>322978.72340425564</v>
      </c>
      <c r="X35" s="36"/>
      <c r="Y35" s="35">
        <f>U11+U35</f>
        <v>3833.3333333333367</v>
      </c>
      <c r="Z35" s="64">
        <f t="shared" si="16"/>
        <v>180.00000000000003</v>
      </c>
      <c r="AA35" s="67">
        <f>W11+W35</f>
        <v>690000.0000000007</v>
      </c>
    </row>
    <row r="36" spans="2:32" ht="17" thickBot="1" x14ac:dyDescent="0.25">
      <c r="B36" s="37" t="s">
        <v>78</v>
      </c>
      <c r="C36" s="38">
        <f>SUM(C33:C35)</f>
        <v>63907.486523068706</v>
      </c>
      <c r="D36" s="60">
        <f>E36/C36</f>
        <v>180</v>
      </c>
      <c r="E36" s="63">
        <f>SUM(E33:E35)</f>
        <v>11503347.574152367</v>
      </c>
      <c r="F36" s="39">
        <f>SUM(F33:F35)</f>
        <v>34858.629012582933</v>
      </c>
      <c r="G36" s="60">
        <f>H36/F36</f>
        <v>179.99999999999994</v>
      </c>
      <c r="H36" s="63">
        <f>SUM(H33:H35)</f>
        <v>6274553.2222649259</v>
      </c>
      <c r="I36" s="40">
        <f>SUM(I33:I35)</f>
        <v>63907.486523068706</v>
      </c>
      <c r="J36" s="60">
        <f>K36/I36</f>
        <v>180</v>
      </c>
      <c r="K36" s="63">
        <f>SUM(K33:K35)</f>
        <v>11503347.574152367</v>
      </c>
      <c r="L36" s="40">
        <f>SUM(L33:L35)</f>
        <v>61002.600772020131</v>
      </c>
      <c r="M36" s="60">
        <f>N36/L36</f>
        <v>180</v>
      </c>
      <c r="N36" s="63">
        <f>SUM(N33:N35)</f>
        <v>10980468.138963623</v>
      </c>
      <c r="O36" s="40">
        <f>SUM(O33:O35)</f>
        <v>61002.600772020131</v>
      </c>
      <c r="P36" s="60">
        <f>Q36/O36</f>
        <v>180</v>
      </c>
      <c r="Q36" s="63">
        <f>SUM(Q33:Q35)</f>
        <v>10980468.138963623</v>
      </c>
      <c r="R36" s="39">
        <f>SUM(R33:R35)</f>
        <v>34858.629012582933</v>
      </c>
      <c r="S36" s="60">
        <f>T36/R36</f>
        <v>179.99999999999994</v>
      </c>
      <c r="T36" s="63">
        <f>SUM(T33:T35)</f>
        <v>6274553.2222649259</v>
      </c>
      <c r="U36" s="38">
        <f>SUM(U33:U35)</f>
        <v>319537.43261534348</v>
      </c>
      <c r="V36" s="65">
        <f t="shared" si="15"/>
        <v>180.00000000000006</v>
      </c>
      <c r="W36" s="68">
        <f>SUM(W33:W35)</f>
        <v>57516737.870761842</v>
      </c>
      <c r="X36" s="41"/>
      <c r="Y36" s="38">
        <f>SUM(Y33:Y35)</f>
        <v>682648.15149641572</v>
      </c>
      <c r="Z36" s="65">
        <f t="shared" si="16"/>
        <v>180</v>
      </c>
      <c r="AA36" s="68">
        <f>SUM(AA33:AA35)</f>
        <v>122876667.26935484</v>
      </c>
      <c r="AC36" s="48"/>
      <c r="AD36" s="48"/>
      <c r="AE36" s="48"/>
      <c r="AF36" s="43"/>
    </row>
    <row r="37" spans="2:32" x14ac:dyDescent="0.2">
      <c r="B37" s="17"/>
      <c r="C37" s="17"/>
      <c r="D37" s="59"/>
      <c r="E37" s="62"/>
      <c r="G37" s="59"/>
      <c r="H37" s="62"/>
      <c r="I37" s="28"/>
      <c r="J37" s="59"/>
      <c r="K37" s="62"/>
      <c r="L37" s="28"/>
      <c r="M37" s="59"/>
      <c r="N37" s="62"/>
      <c r="O37" s="28"/>
      <c r="P37" s="59"/>
      <c r="Q37" s="62"/>
      <c r="S37" s="59"/>
      <c r="T37" s="62"/>
      <c r="U37" s="29"/>
      <c r="V37" s="66"/>
      <c r="W37" s="67"/>
      <c r="Y37" s="29"/>
      <c r="Z37" s="66"/>
      <c r="AA37" s="67"/>
      <c r="AC37" s="48"/>
      <c r="AD37" s="48"/>
      <c r="AE37" s="48"/>
    </row>
    <row r="38" spans="2:32" x14ac:dyDescent="0.2">
      <c r="B38" s="26"/>
      <c r="C38" s="17"/>
      <c r="D38" s="59"/>
      <c r="E38" s="62"/>
      <c r="G38" s="59"/>
      <c r="H38" s="62"/>
      <c r="I38" s="28"/>
      <c r="J38" s="59"/>
      <c r="K38" s="62"/>
      <c r="L38" s="28"/>
      <c r="M38" s="59"/>
      <c r="N38" s="62"/>
      <c r="O38" s="28"/>
      <c r="P38" s="59"/>
      <c r="Q38" s="62"/>
      <c r="S38" s="59"/>
      <c r="T38" s="62"/>
      <c r="U38" s="29"/>
      <c r="V38" s="66"/>
      <c r="W38" s="67"/>
      <c r="Y38" s="29"/>
      <c r="Z38" s="66"/>
      <c r="AA38" s="67"/>
      <c r="AC38" s="48"/>
      <c r="AD38" s="48"/>
      <c r="AE38" s="48"/>
    </row>
    <row r="39" spans="2:32" x14ac:dyDescent="0.2">
      <c r="B39" s="17" t="s">
        <v>88</v>
      </c>
      <c r="C39" s="32">
        <f>QUANTITÀ!H15</f>
        <v>1464.6813595881949</v>
      </c>
      <c r="D39" s="59">
        <f>PREZZI!H12</f>
        <v>500</v>
      </c>
      <c r="E39" s="62">
        <f>C39*D39</f>
        <v>732340.67979409744</v>
      </c>
      <c r="F39" s="33">
        <f>QUANTITÀ!I15</f>
        <v>798.91710522992457</v>
      </c>
      <c r="G39" s="59">
        <f>PREZZI!I12</f>
        <v>500</v>
      </c>
      <c r="H39" s="62">
        <f>F39*G39</f>
        <v>399458.55261496227</v>
      </c>
      <c r="I39" s="34">
        <f>QUANTITÀ!J15</f>
        <v>1464.6813595881949</v>
      </c>
      <c r="J39" s="59">
        <f>PREZZI!J12</f>
        <v>500</v>
      </c>
      <c r="K39" s="62">
        <f>I39*J39</f>
        <v>732340.67979409744</v>
      </c>
      <c r="L39" s="34">
        <f>QUANTITÀ!K15</f>
        <v>1398.1049341523681</v>
      </c>
      <c r="M39" s="59">
        <f>PREZZI!K12</f>
        <v>500</v>
      </c>
      <c r="N39" s="62">
        <f>L39*M39</f>
        <v>699052.467076184</v>
      </c>
      <c r="O39" s="34">
        <f>QUANTITÀ!L15</f>
        <v>1398.1049341523681</v>
      </c>
      <c r="P39" s="59">
        <f>PREZZI!L12</f>
        <v>500</v>
      </c>
      <c r="Q39" s="62">
        <f>O39*P39</f>
        <v>699052.467076184</v>
      </c>
      <c r="R39" s="33">
        <f>QUANTITÀ!M15</f>
        <v>798.91710522992457</v>
      </c>
      <c r="S39" s="59">
        <f>PREZZI!M12</f>
        <v>500</v>
      </c>
      <c r="T39" s="62">
        <f>R39*S39</f>
        <v>399458.55261496227</v>
      </c>
      <c r="U39" s="35">
        <f>C39+F39+I39+L39+O39+R39</f>
        <v>7323.4067979409756</v>
      </c>
      <c r="V39" s="64">
        <f>IFERROR(W39/U39,0)</f>
        <v>500</v>
      </c>
      <c r="W39" s="67">
        <f>E39+H39+K39+N39+Q39+T39</f>
        <v>3661703.398970488</v>
      </c>
      <c r="X39" s="36"/>
      <c r="Y39" s="35">
        <f>U15+U39</f>
        <v>15645.459977419358</v>
      </c>
      <c r="Z39" s="64">
        <f>IFERROR(AA39/Y39,0)</f>
        <v>500</v>
      </c>
      <c r="AA39" s="67">
        <f>W15+W39</f>
        <v>7822729.9887096789</v>
      </c>
      <c r="AC39" s="48"/>
      <c r="AD39" s="48"/>
      <c r="AE39" s="48"/>
    </row>
    <row r="40" spans="2:32" x14ac:dyDescent="0.2">
      <c r="B40" s="17" t="s">
        <v>89</v>
      </c>
      <c r="C40" s="32">
        <f>QUANTITÀ!H16</f>
        <v>0</v>
      </c>
      <c r="D40" s="59">
        <f>PREZZI!H13</f>
        <v>500</v>
      </c>
      <c r="E40" s="62">
        <f>C40*D40</f>
        <v>0</v>
      </c>
      <c r="F40" s="33">
        <f>QUANTITÀ!I16</f>
        <v>0</v>
      </c>
      <c r="G40" s="59">
        <f>PREZZI!I13</f>
        <v>500</v>
      </c>
      <c r="H40" s="62">
        <f>F40*G40</f>
        <v>0</v>
      </c>
      <c r="I40" s="34">
        <f>QUANTITÀ!J16</f>
        <v>0</v>
      </c>
      <c r="J40" s="59">
        <f>PREZZI!J13</f>
        <v>500</v>
      </c>
      <c r="K40" s="62">
        <f>I40*J40</f>
        <v>0</v>
      </c>
      <c r="L40" s="34">
        <f>QUANTITÀ!K16</f>
        <v>0</v>
      </c>
      <c r="M40" s="59">
        <f>PREZZI!K13</f>
        <v>500</v>
      </c>
      <c r="N40" s="62">
        <f>L40*M40</f>
        <v>0</v>
      </c>
      <c r="O40" s="34">
        <f>QUANTITÀ!L16</f>
        <v>0</v>
      </c>
      <c r="P40" s="59">
        <f>PREZZI!L13</f>
        <v>500</v>
      </c>
      <c r="Q40" s="62">
        <f>O40*P40</f>
        <v>0</v>
      </c>
      <c r="R40" s="33">
        <f>QUANTITÀ!M16</f>
        <v>0</v>
      </c>
      <c r="S40" s="59">
        <f>PREZZI!M13</f>
        <v>500</v>
      </c>
      <c r="T40" s="62">
        <f>R40*S40</f>
        <v>0</v>
      </c>
      <c r="U40" s="35">
        <f>C40+F40+I40+L40+O40+R40</f>
        <v>0</v>
      </c>
      <c r="V40" s="64">
        <f t="shared" ref="V40:V42" si="17">IFERROR(W40/U40,0)</f>
        <v>0</v>
      </c>
      <c r="W40" s="67">
        <f>E40+H40+K40+N40+Q40+T40</f>
        <v>0</v>
      </c>
      <c r="X40" s="36"/>
      <c r="Y40" s="35">
        <f>U16+U40</f>
        <v>0</v>
      </c>
      <c r="Z40" s="64">
        <f t="shared" ref="Z40:Z42" si="18">IFERROR(AA40/Y40,0)</f>
        <v>0</v>
      </c>
      <c r="AA40" s="67">
        <f>W16+W40</f>
        <v>0</v>
      </c>
      <c r="AC40" s="48"/>
      <c r="AD40" s="48"/>
      <c r="AE40" s="48"/>
    </row>
    <row r="41" spans="2:32" x14ac:dyDescent="0.2">
      <c r="B41" s="17" t="s">
        <v>90</v>
      </c>
      <c r="C41" s="32">
        <f>QUANTITÀ!H17</f>
        <v>2454.6382978723404</v>
      </c>
      <c r="D41" s="59">
        <f>PREZZI!H14</f>
        <v>500</v>
      </c>
      <c r="E41" s="62">
        <f>C41*D41</f>
        <v>1227319.1489361702</v>
      </c>
      <c r="F41" s="33">
        <f>QUANTITÀ!I17</f>
        <v>1338.8936170212767</v>
      </c>
      <c r="G41" s="59">
        <f>PREZZI!I14</f>
        <v>500</v>
      </c>
      <c r="H41" s="62">
        <f>F41*G41</f>
        <v>669446.80851063831</v>
      </c>
      <c r="I41" s="34">
        <f>QUANTITÀ!J17</f>
        <v>2454.6382978723404</v>
      </c>
      <c r="J41" s="59">
        <f>PREZZI!J14</f>
        <v>500</v>
      </c>
      <c r="K41" s="62">
        <f>I41*J41</f>
        <v>1227319.1489361702</v>
      </c>
      <c r="L41" s="34">
        <f>QUANTITÀ!K17</f>
        <v>2343.0638297872342</v>
      </c>
      <c r="M41" s="59">
        <f>PREZZI!K14</f>
        <v>500</v>
      </c>
      <c r="N41" s="62">
        <f>L41*M41</f>
        <v>1171531.9148936172</v>
      </c>
      <c r="O41" s="34">
        <f>QUANTITÀ!L17</f>
        <v>2343.0638297872342</v>
      </c>
      <c r="P41" s="59">
        <f>PREZZI!L14</f>
        <v>500</v>
      </c>
      <c r="Q41" s="62">
        <f>O41*P41</f>
        <v>1171531.9148936172</v>
      </c>
      <c r="R41" s="33">
        <f>QUANTITÀ!M17</f>
        <v>1338.8936170212767</v>
      </c>
      <c r="S41" s="59">
        <f>PREZZI!M14</f>
        <v>500</v>
      </c>
      <c r="T41" s="62">
        <f>R41*S41</f>
        <v>669446.80851063831</v>
      </c>
      <c r="U41" s="35">
        <f>C41+F41+I41+L41+O41+R41</f>
        <v>12273.191489361701</v>
      </c>
      <c r="V41" s="64">
        <f t="shared" si="17"/>
        <v>500.00000000000006</v>
      </c>
      <c r="W41" s="67">
        <f>E41+H41+K41+N41+Q41+T41</f>
        <v>6136595.7446808517</v>
      </c>
      <c r="X41" s="36"/>
      <c r="Y41" s="35">
        <f>U17+U41</f>
        <v>26220</v>
      </c>
      <c r="Z41" s="64">
        <f t="shared" si="18"/>
        <v>500</v>
      </c>
      <c r="AA41" s="67">
        <f>W17+W41</f>
        <v>13110000</v>
      </c>
      <c r="AC41" s="48"/>
      <c r="AD41" s="48"/>
      <c r="AE41" s="48"/>
    </row>
    <row r="42" spans="2:32" ht="17" thickBot="1" x14ac:dyDescent="0.25">
      <c r="B42" s="37" t="s">
        <v>79</v>
      </c>
      <c r="C42" s="38">
        <f>SUM(C39:C41)</f>
        <v>3919.3196574605354</v>
      </c>
      <c r="D42" s="60">
        <f>E42/C42</f>
        <v>499.99999999999994</v>
      </c>
      <c r="E42" s="63">
        <f>SUM(E39:E41)</f>
        <v>1959659.8287302675</v>
      </c>
      <c r="F42" s="39">
        <f>SUM(F39:F41)</f>
        <v>2137.8107222512012</v>
      </c>
      <c r="G42" s="60">
        <f>H42/F42</f>
        <v>499.99999999999994</v>
      </c>
      <c r="H42" s="63">
        <f>SUM(H39:H41)</f>
        <v>1068905.3611256005</v>
      </c>
      <c r="I42" s="40">
        <f>SUM(I39:I41)</f>
        <v>3919.3196574605354</v>
      </c>
      <c r="J42" s="60">
        <f>K42/I42</f>
        <v>499.99999999999994</v>
      </c>
      <c r="K42" s="63">
        <f>SUM(K39:K41)</f>
        <v>1959659.8287302675</v>
      </c>
      <c r="L42" s="40">
        <f>SUM(L39:L41)</f>
        <v>3741.1687639396023</v>
      </c>
      <c r="M42" s="60">
        <f>N42/L42</f>
        <v>500</v>
      </c>
      <c r="N42" s="63">
        <f>SUM(N39:N41)</f>
        <v>1870584.3819698012</v>
      </c>
      <c r="O42" s="40">
        <f>SUM(O39:O41)</f>
        <v>3741.1687639396023</v>
      </c>
      <c r="P42" s="60">
        <f>Q42/O42</f>
        <v>500</v>
      </c>
      <c r="Q42" s="63">
        <f>SUM(Q39:Q41)</f>
        <v>1870584.3819698012</v>
      </c>
      <c r="R42" s="39">
        <f>SUM(R39:R41)</f>
        <v>2137.8107222512012</v>
      </c>
      <c r="S42" s="60">
        <f>T42/R42</f>
        <v>499.99999999999994</v>
      </c>
      <c r="T42" s="63">
        <f>SUM(T39:T41)</f>
        <v>1068905.3611256005</v>
      </c>
      <c r="U42" s="38">
        <f>SUM(U39:U41)</f>
        <v>19596.598287302677</v>
      </c>
      <c r="V42" s="65">
        <f t="shared" si="17"/>
        <v>500.00000000000011</v>
      </c>
      <c r="W42" s="68">
        <f>SUM(W39:W41)</f>
        <v>9798299.1436513402</v>
      </c>
      <c r="X42" s="41"/>
      <c r="Y42" s="38">
        <f>SUM(Y39:Y41)</f>
        <v>41865.459977419356</v>
      </c>
      <c r="Z42" s="65">
        <f t="shared" si="18"/>
        <v>500.00000000000006</v>
      </c>
      <c r="AA42" s="68">
        <f>SUM(AA39:AA41)</f>
        <v>20932729.988709681</v>
      </c>
      <c r="AC42" s="48"/>
      <c r="AD42" s="48"/>
      <c r="AE42" s="48"/>
      <c r="AF42" s="43"/>
    </row>
    <row r="43" spans="2:32" x14ac:dyDescent="0.2">
      <c r="B43" s="17"/>
      <c r="C43" s="17"/>
      <c r="D43" s="59"/>
      <c r="E43" s="62"/>
      <c r="G43" s="59"/>
      <c r="H43" s="62"/>
      <c r="I43" s="28"/>
      <c r="J43" s="59"/>
      <c r="K43" s="62"/>
      <c r="L43" s="28"/>
      <c r="M43" s="59"/>
      <c r="N43" s="62"/>
      <c r="O43" s="28"/>
      <c r="P43" s="59"/>
      <c r="Q43" s="62"/>
      <c r="S43" s="59"/>
      <c r="T43" s="62"/>
      <c r="U43" s="29"/>
      <c r="V43" s="66"/>
      <c r="W43" s="67"/>
      <c r="Y43" s="29"/>
      <c r="Z43" s="66"/>
      <c r="AA43" s="67"/>
    </row>
    <row r="44" spans="2:32" x14ac:dyDescent="0.2">
      <c r="B44" s="26"/>
      <c r="C44" s="17"/>
      <c r="D44" s="59"/>
      <c r="E44" s="62"/>
      <c r="G44" s="59"/>
      <c r="H44" s="62"/>
      <c r="I44" s="28"/>
      <c r="J44" s="59"/>
      <c r="K44" s="62"/>
      <c r="L44" s="28"/>
      <c r="M44" s="59"/>
      <c r="N44" s="62"/>
      <c r="O44" s="28"/>
      <c r="P44" s="59"/>
      <c r="Q44" s="62"/>
      <c r="S44" s="59"/>
      <c r="T44" s="62"/>
      <c r="U44" s="29"/>
      <c r="V44" s="66"/>
      <c r="W44" s="67"/>
      <c r="Y44" s="29"/>
      <c r="Z44" s="66"/>
      <c r="AA44" s="67"/>
    </row>
    <row r="45" spans="2:32" x14ac:dyDescent="0.2">
      <c r="B45" s="17" t="s">
        <v>88</v>
      </c>
      <c r="C45" s="42">
        <f>C33+C39</f>
        <v>24519.850908661629</v>
      </c>
      <c r="D45" s="61">
        <f>E45/C45</f>
        <v>199.11504424778761</v>
      </c>
      <c r="E45" s="62">
        <f>E33+E39</f>
        <v>4882271.1986273155</v>
      </c>
      <c r="F45" s="42">
        <f>F33+F39</f>
        <v>13374.464131997251</v>
      </c>
      <c r="G45" s="61">
        <f>H45/F45</f>
        <v>199.11504424778761</v>
      </c>
      <c r="H45" s="62">
        <f>H33+H39</f>
        <v>2663057.0174330808</v>
      </c>
      <c r="I45" s="42">
        <f>I33+I39</f>
        <v>24519.850908661629</v>
      </c>
      <c r="J45" s="61">
        <f>K45/I45</f>
        <v>199.11504424778761</v>
      </c>
      <c r="K45" s="62">
        <f>K33+K39</f>
        <v>4882271.1986273155</v>
      </c>
      <c r="L45" s="42">
        <f>L33+L39</f>
        <v>23405.31223099519</v>
      </c>
      <c r="M45" s="61">
        <f>N45/L45</f>
        <v>199.11504424778764</v>
      </c>
      <c r="N45" s="62">
        <f>N33+N39</f>
        <v>4660349.7805078924</v>
      </c>
      <c r="O45" s="42">
        <f>O33+O39</f>
        <v>23405.31223099519</v>
      </c>
      <c r="P45" s="61">
        <f>Q45/O45</f>
        <v>199.11504424778764</v>
      </c>
      <c r="Q45" s="62">
        <f>Q33+Q39</f>
        <v>4660349.7805078924</v>
      </c>
      <c r="R45" s="42">
        <f>R33+R39</f>
        <v>13374.464131997251</v>
      </c>
      <c r="S45" s="61">
        <f>T45/R45</f>
        <v>199.11504424778761</v>
      </c>
      <c r="T45" s="62">
        <f>T33+T39</f>
        <v>2663057.0174330808</v>
      </c>
      <c r="U45" s="35">
        <f>C45+F45+I45+L45+O45+R45</f>
        <v>122599.25454330814</v>
      </c>
      <c r="V45" s="64">
        <f>IFERROR(W45/U45,0)</f>
        <v>199.11504424778761</v>
      </c>
      <c r="W45" s="67">
        <f>E45+H45+K45+N45+Q45+T45</f>
        <v>24411355.993136577</v>
      </c>
      <c r="Y45" s="35">
        <f>U21+U45</f>
        <v>261916.58925161284</v>
      </c>
      <c r="Z45" s="64">
        <f>IFERROR(AA45/Y45,0)</f>
        <v>199.11504424778764</v>
      </c>
      <c r="AA45" s="67">
        <f>W21+W45</f>
        <v>52151533.258064508</v>
      </c>
    </row>
    <row r="46" spans="2:32" x14ac:dyDescent="0.2">
      <c r="B46" s="17" t="s">
        <v>89</v>
      </c>
      <c r="C46" s="42">
        <f t="shared" ref="C46:C47" si="19">C34+C40</f>
        <v>40493.451725768318</v>
      </c>
      <c r="D46" s="61">
        <f>E46/C46</f>
        <v>180</v>
      </c>
      <c r="E46" s="62">
        <f t="shared" ref="E46:F47" si="20">E34+E40</f>
        <v>7288821.3106382973</v>
      </c>
      <c r="F46" s="42">
        <f t="shared" si="20"/>
        <v>22087.337304964538</v>
      </c>
      <c r="G46" s="61">
        <f>H46/F46</f>
        <v>180</v>
      </c>
      <c r="H46" s="62">
        <f t="shared" ref="H46:I47" si="21">H34+H40</f>
        <v>3975720.7148936167</v>
      </c>
      <c r="I46" s="42">
        <f t="shared" si="21"/>
        <v>40493.451725768318</v>
      </c>
      <c r="J46" s="61">
        <f>K46/I46</f>
        <v>180</v>
      </c>
      <c r="K46" s="62">
        <f t="shared" ref="K46:L47" si="22">K34+K40</f>
        <v>7288821.3106382973</v>
      </c>
      <c r="L46" s="42">
        <f t="shared" si="22"/>
        <v>38652.84028368794</v>
      </c>
      <c r="M46" s="61">
        <f>N46/L46</f>
        <v>180</v>
      </c>
      <c r="N46" s="62">
        <f t="shared" ref="N46:O47" si="23">N34+N40</f>
        <v>6957511.2510638293</v>
      </c>
      <c r="O46" s="42">
        <f t="shared" si="23"/>
        <v>38652.84028368794</v>
      </c>
      <c r="P46" s="61">
        <f>Q46/O46</f>
        <v>180</v>
      </c>
      <c r="Q46" s="62">
        <f t="shared" ref="Q46:R47" si="24">Q34+Q40</f>
        <v>6957511.2510638293</v>
      </c>
      <c r="R46" s="42">
        <f t="shared" si="24"/>
        <v>22087.337304964538</v>
      </c>
      <c r="S46" s="61">
        <f>T46/R46</f>
        <v>180</v>
      </c>
      <c r="T46" s="62">
        <f t="shared" ref="T46" si="25">T34+T40</f>
        <v>3975720.7148936167</v>
      </c>
      <c r="U46" s="35">
        <f>C46+F46+I46+L46+O46+R46</f>
        <v>202467.25862884161</v>
      </c>
      <c r="V46" s="64">
        <f t="shared" ref="V46:V48" si="26">IFERROR(W46/U46,0)</f>
        <v>180</v>
      </c>
      <c r="W46" s="67">
        <f>E46+H46+K46+N46+Q46+T46</f>
        <v>36444106.55319149</v>
      </c>
      <c r="Y46" s="35">
        <f>U22+U46</f>
        <v>432543.68888888886</v>
      </c>
      <c r="Z46" s="64">
        <f t="shared" ref="Z46:Z48" si="27">IFERROR(AA46/Y46,0)</f>
        <v>180</v>
      </c>
      <c r="AA46" s="67">
        <f>W22+W46</f>
        <v>77857864</v>
      </c>
    </row>
    <row r="47" spans="2:32" x14ac:dyDescent="0.2">
      <c r="B47" s="17" t="s">
        <v>90</v>
      </c>
      <c r="C47" s="42">
        <f t="shared" si="19"/>
        <v>2813.5035460992913</v>
      </c>
      <c r="D47" s="61">
        <f>E47/C47</f>
        <v>459.18367346938771</v>
      </c>
      <c r="E47" s="62">
        <f t="shared" ref="E47" si="28">E35+E41</f>
        <v>1291914.8936170214</v>
      </c>
      <c r="F47" s="42">
        <f t="shared" si="20"/>
        <v>1534.6382978723407</v>
      </c>
      <c r="G47" s="61">
        <f>H47/F47</f>
        <v>459.18367346938771</v>
      </c>
      <c r="H47" s="62">
        <f t="shared" ref="H47" si="29">H35+H41</f>
        <v>704680.85106382985</v>
      </c>
      <c r="I47" s="42">
        <f t="shared" si="21"/>
        <v>2813.5035460992913</v>
      </c>
      <c r="J47" s="61">
        <f>K47/I47</f>
        <v>459.18367346938771</v>
      </c>
      <c r="K47" s="62">
        <f t="shared" ref="K47" si="30">K35+K41</f>
        <v>1291914.8936170214</v>
      </c>
      <c r="L47" s="42">
        <f t="shared" si="22"/>
        <v>2685.6170212765965</v>
      </c>
      <c r="M47" s="61">
        <f>N47/L47</f>
        <v>459.18367346938766</v>
      </c>
      <c r="N47" s="62">
        <f t="shared" ref="N47" si="31">N35+N41</f>
        <v>1233191.4893617022</v>
      </c>
      <c r="O47" s="42">
        <f t="shared" si="23"/>
        <v>2685.6170212765965</v>
      </c>
      <c r="P47" s="61">
        <f>Q47/O47</f>
        <v>459.18367346938766</v>
      </c>
      <c r="Q47" s="62">
        <f t="shared" ref="Q47" si="32">Q35+Q41</f>
        <v>1233191.4893617022</v>
      </c>
      <c r="R47" s="42">
        <f t="shared" si="24"/>
        <v>1534.6382978723407</v>
      </c>
      <c r="S47" s="61">
        <f>T47/R47</f>
        <v>459.18367346938771</v>
      </c>
      <c r="T47" s="62">
        <f t="shared" ref="T47" si="33">T35+T41</f>
        <v>704680.85106382985</v>
      </c>
      <c r="U47" s="35">
        <f>C47+F47+I47+L47+O47+R47</f>
        <v>14067.517730496456</v>
      </c>
      <c r="V47" s="64">
        <f t="shared" si="26"/>
        <v>459.18367346938777</v>
      </c>
      <c r="W47" s="67">
        <f>E47+H47+K47+N47+Q47+T47</f>
        <v>6459574.4680851074</v>
      </c>
      <c r="Y47" s="35">
        <f>U23+U47</f>
        <v>30053.333333333339</v>
      </c>
      <c r="Z47" s="64">
        <f t="shared" si="27"/>
        <v>459.18367346938777</v>
      </c>
      <c r="AA47" s="67">
        <f>W23+W47</f>
        <v>13800000.000000004</v>
      </c>
    </row>
    <row r="48" spans="2:32" ht="17" thickBot="1" x14ac:dyDescent="0.25">
      <c r="B48" s="37" t="s">
        <v>3</v>
      </c>
      <c r="C48" s="38">
        <f>SUM(C45:C47)</f>
        <v>67826.806180529238</v>
      </c>
      <c r="D48" s="60">
        <f>E48/C48</f>
        <v>198.49095307612174</v>
      </c>
      <c r="E48" s="63">
        <f>SUM(E45:E47)</f>
        <v>13463007.402882634</v>
      </c>
      <c r="F48" s="38">
        <f>SUM(F45:F47)</f>
        <v>36996.43973483413</v>
      </c>
      <c r="G48" s="60">
        <f>H48/F48</f>
        <v>198.49095307612174</v>
      </c>
      <c r="H48" s="63">
        <f>SUM(H45:H47)</f>
        <v>7343458.5833905274</v>
      </c>
      <c r="I48" s="38">
        <f>SUM(I45:I47)</f>
        <v>67826.806180529238</v>
      </c>
      <c r="J48" s="60">
        <f>K48/I48</f>
        <v>198.49095307612174</v>
      </c>
      <c r="K48" s="63">
        <f>SUM(K45:K47)</f>
        <v>13463007.402882634</v>
      </c>
      <c r="L48" s="38">
        <f>SUM(L45:L47)</f>
        <v>64743.76953595972</v>
      </c>
      <c r="M48" s="60">
        <f>N48/L48</f>
        <v>198.49095307612177</v>
      </c>
      <c r="N48" s="63">
        <f>SUM(N45:N47)</f>
        <v>12851052.520933423</v>
      </c>
      <c r="O48" s="38">
        <f>SUM(O45:O47)</f>
        <v>64743.76953595972</v>
      </c>
      <c r="P48" s="60">
        <f>Q48/O48</f>
        <v>198.49095307612177</v>
      </c>
      <c r="Q48" s="63">
        <f>SUM(Q45:Q47)</f>
        <v>12851052.520933423</v>
      </c>
      <c r="R48" s="38">
        <f>SUM(R45:R47)</f>
        <v>36996.43973483413</v>
      </c>
      <c r="S48" s="60">
        <f>T48/R48</f>
        <v>198.49095307612174</v>
      </c>
      <c r="T48" s="63">
        <f>SUM(T45:T47)</f>
        <v>7343458.5833905274</v>
      </c>
      <c r="U48" s="38">
        <f>SUM(U45:U47)</f>
        <v>339134.03090264625</v>
      </c>
      <c r="V48" s="65">
        <f t="shared" si="26"/>
        <v>198.49095307612174</v>
      </c>
      <c r="W48" s="68">
        <f>SUM(W45:W47)</f>
        <v>67315037.014413178</v>
      </c>
      <c r="Y48" s="38">
        <f>SUM(Y45:Y47)</f>
        <v>724513.61147383507</v>
      </c>
      <c r="Z48" s="65">
        <f t="shared" si="27"/>
        <v>198.49095307612177</v>
      </c>
      <c r="AA48" s="68">
        <f>SUM(AA45:AA47)</f>
        <v>143809397.25806451</v>
      </c>
    </row>
    <row r="50" spans="27:27" x14ac:dyDescent="0.2">
      <c r="AA50" s="77">
        <f>AA48-'Tab 2'!N16</f>
        <v>0</v>
      </c>
    </row>
  </sheetData>
  <mergeCells count="17">
    <mergeCell ref="C5:W5"/>
    <mergeCell ref="C6:E6"/>
    <mergeCell ref="F6:H6"/>
    <mergeCell ref="I6:K6"/>
    <mergeCell ref="L6:N6"/>
    <mergeCell ref="O6:Q6"/>
    <mergeCell ref="R6:T6"/>
    <mergeCell ref="U6:W6"/>
    <mergeCell ref="L30:N30"/>
    <mergeCell ref="O30:Q30"/>
    <mergeCell ref="R30:T30"/>
    <mergeCell ref="U30:W30"/>
    <mergeCell ref="Y29:AA30"/>
    <mergeCell ref="C29:W29"/>
    <mergeCell ref="C30:E30"/>
    <mergeCell ref="F30:H30"/>
    <mergeCell ref="I30:K30"/>
  </mergeCells>
  <phoneticPr fontId="4" type="noConversion"/>
  <pageMargins left="0.25" right="0.25" top="0.75" bottom="0.75" header="0.3" footer="0.3"/>
  <pageSetup paperSize="9" scale="43"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5">
    <tabColor indexed="13"/>
  </sheetPr>
  <dimension ref="A2:S18"/>
  <sheetViews>
    <sheetView zoomScale="177" zoomScaleNormal="120" workbookViewId="0">
      <selection activeCell="B8" sqref="B8"/>
    </sheetView>
  </sheetViews>
  <sheetFormatPr baseColWidth="10" defaultColWidth="9.1640625" defaultRowHeight="16" x14ac:dyDescent="0.2"/>
  <cols>
    <col min="1" max="1" width="18.5" style="3" customWidth="1"/>
    <col min="2" max="13" width="8.6640625" style="3" customWidth="1"/>
    <col min="14" max="14" width="10" style="3" customWidth="1"/>
    <col min="15" max="15" width="3.33203125" style="3" customWidth="1"/>
    <col min="16" max="16" width="13.6640625" style="3" bestFit="1" customWidth="1"/>
    <col min="17" max="16384" width="9.1640625" style="3"/>
  </cols>
  <sheetData>
    <row r="2" spans="1:19" x14ac:dyDescent="0.2">
      <c r="A2" s="74" t="s">
        <v>86</v>
      </c>
    </row>
    <row r="3" spans="1:19" ht="17" thickBot="1" x14ac:dyDescent="0.25"/>
    <row r="4" spans="1:19" x14ac:dyDescent="0.2"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5" t="s">
        <v>17</v>
      </c>
      <c r="I4" s="5" t="s">
        <v>18</v>
      </c>
      <c r="J4" s="5" t="s">
        <v>19</v>
      </c>
      <c r="K4" s="5" t="s">
        <v>20</v>
      </c>
      <c r="L4" s="5" t="s">
        <v>21</v>
      </c>
      <c r="M4" s="5" t="s">
        <v>22</v>
      </c>
    </row>
    <row r="5" spans="1:19" x14ac:dyDescent="0.2">
      <c r="B5" s="207">
        <v>18</v>
      </c>
      <c r="C5" s="207">
        <v>20</v>
      </c>
      <c r="D5" s="207">
        <v>23</v>
      </c>
      <c r="E5" s="207">
        <v>21</v>
      </c>
      <c r="F5" s="207">
        <v>21</v>
      </c>
      <c r="G5" s="207">
        <v>22</v>
      </c>
      <c r="H5" s="207">
        <v>22</v>
      </c>
      <c r="I5" s="207">
        <v>12</v>
      </c>
      <c r="J5" s="207">
        <v>22</v>
      </c>
      <c r="K5" s="207">
        <v>21</v>
      </c>
      <c r="L5" s="207">
        <v>21</v>
      </c>
      <c r="M5" s="207">
        <v>12</v>
      </c>
      <c r="N5" s="3">
        <f>SUM(B5:M5)</f>
        <v>235</v>
      </c>
      <c r="P5" s="207">
        <v>18</v>
      </c>
      <c r="Q5" s="207">
        <v>20</v>
      </c>
      <c r="R5" s="207">
        <v>23</v>
      </c>
      <c r="S5" s="207">
        <v>21</v>
      </c>
    </row>
    <row r="6" spans="1:19" ht="17" thickBot="1" x14ac:dyDescent="0.25"/>
    <row r="7" spans="1:19" x14ac:dyDescent="0.2">
      <c r="A7" s="4" t="s">
        <v>78</v>
      </c>
      <c r="B7" s="5" t="s">
        <v>11</v>
      </c>
      <c r="C7" s="5" t="s">
        <v>12</v>
      </c>
      <c r="D7" s="5" t="s">
        <v>13</v>
      </c>
      <c r="E7" s="5" t="s">
        <v>14</v>
      </c>
      <c r="F7" s="5" t="s">
        <v>15</v>
      </c>
      <c r="G7" s="5" t="s">
        <v>16</v>
      </c>
      <c r="H7" s="5" t="s">
        <v>17</v>
      </c>
      <c r="I7" s="5" t="s">
        <v>18</v>
      </c>
      <c r="J7" s="5" t="s">
        <v>19</v>
      </c>
      <c r="K7" s="5" t="s">
        <v>20</v>
      </c>
      <c r="L7" s="5" t="s">
        <v>21</v>
      </c>
      <c r="M7" s="5" t="s">
        <v>22</v>
      </c>
      <c r="N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x14ac:dyDescent="0.2">
      <c r="A8" s="6" t="s">
        <v>55</v>
      </c>
      <c r="B8" s="208">
        <f>IFERROR('Tab 2'!$C$14/$N$5*B$5,0)</f>
        <v>18863.320540150991</v>
      </c>
      <c r="C8" s="208">
        <f>IFERROR('Tab 2'!$C$14/$N$5*C$5,0)</f>
        <v>20959.245044612213</v>
      </c>
      <c r="D8" s="208">
        <f>IFERROR('Tab 2'!$C$14/$N$5*D$5,0)</f>
        <v>24103.131801304044</v>
      </c>
      <c r="E8" s="208">
        <f>IFERROR('Tab 2'!$C$14/$N$5*E$5,0)</f>
        <v>22007.207296842822</v>
      </c>
      <c r="F8" s="208">
        <f>IFERROR('Tab 2'!$C$14/$N$5*F$5,0)</f>
        <v>22007.207296842822</v>
      </c>
      <c r="G8" s="208">
        <f>IFERROR('Tab 2'!$C$14/$N$5*G$5,0)</f>
        <v>23055.169549073435</v>
      </c>
      <c r="H8" s="208">
        <f>IFERROR('Tab 2'!$C$14/$N$5*H$5,0)</f>
        <v>23055.169549073435</v>
      </c>
      <c r="I8" s="208">
        <f>IFERROR('Tab 2'!$C$14/$N$5*I$5,0)</f>
        <v>12575.547026767326</v>
      </c>
      <c r="J8" s="208">
        <f>IFERROR('Tab 2'!$C$14/$N$5*J$5,0)</f>
        <v>23055.169549073435</v>
      </c>
      <c r="K8" s="208">
        <f>IFERROR('Tab 2'!$C$14/$N$5*K$5,0)</f>
        <v>22007.207296842822</v>
      </c>
      <c r="L8" s="208">
        <f>IFERROR('Tab 2'!$C$14/$N$5*L$5,0)</f>
        <v>22007.207296842822</v>
      </c>
      <c r="M8" s="208">
        <f>IFERROR('Tab 2'!$C$14/$N$5*M$5,0)</f>
        <v>12575.547026767326</v>
      </c>
      <c r="N8" s="7">
        <f>SUM(B8:M8)</f>
        <v>246271.12927419355</v>
      </c>
      <c r="P8" s="208">
        <f>IFERROR('Tab 2'!$C$32/$N$5*P$5,0)</f>
        <v>19240.586950954017</v>
      </c>
      <c r="Q8" s="208">
        <f>IFERROR('Tab 2'!$C$32/$N$5*Q$5,0)</f>
        <v>21378.429945504464</v>
      </c>
      <c r="R8" s="208">
        <f>IFERROR('Tab 2'!$C$32/$N$5*R$5,0)</f>
        <v>24585.194437330134</v>
      </c>
      <c r="S8" s="208">
        <f>IFERROR('Tab 2'!$C$32/$N$5*S$5,0)</f>
        <v>22447.351442779687</v>
      </c>
    </row>
    <row r="9" spans="1:19" x14ac:dyDescent="0.2">
      <c r="A9" s="6" t="s">
        <v>87</v>
      </c>
      <c r="B9" s="208">
        <f>IFERROR('Tab 2'!$F$14/$N$5*B$5,0)</f>
        <v>33131.005957446803</v>
      </c>
      <c r="C9" s="208">
        <f>IFERROR('Tab 2'!$F$14/$N$5*C$5,0)</f>
        <v>36812.228841607561</v>
      </c>
      <c r="D9" s="208">
        <f>IFERROR('Tab 2'!$F$14/$N$5*D$5,0)</f>
        <v>42334.063167848697</v>
      </c>
      <c r="E9" s="208">
        <f>IFERROR('Tab 2'!$F$14/$N$5*E$5,0)</f>
        <v>38652.84028368794</v>
      </c>
      <c r="F9" s="208">
        <f>IFERROR('Tab 2'!$F$14/$N$5*F$5,0)</f>
        <v>38652.84028368794</v>
      </c>
      <c r="G9" s="208">
        <f>IFERROR('Tab 2'!$F$14/$N$5*G$5,0)</f>
        <v>40493.451725768318</v>
      </c>
      <c r="H9" s="208">
        <f>IFERROR('Tab 2'!$F$14/$N$5*H$5,0)</f>
        <v>40493.451725768318</v>
      </c>
      <c r="I9" s="208">
        <f>IFERROR('Tab 2'!$F$14/$N$5*I$5,0)</f>
        <v>22087.337304964538</v>
      </c>
      <c r="J9" s="208">
        <f>IFERROR('Tab 2'!$F$14/$N$5*J$5,0)</f>
        <v>40493.451725768318</v>
      </c>
      <c r="K9" s="208">
        <f>IFERROR('Tab 2'!$F$14/$N$5*K$5,0)</f>
        <v>38652.84028368794</v>
      </c>
      <c r="L9" s="208">
        <f>IFERROR('Tab 2'!$F$14/$N$5*L$5,0)</f>
        <v>38652.84028368794</v>
      </c>
      <c r="M9" s="208">
        <f>IFERROR('Tab 2'!$F$14/$N$5*M$5,0)</f>
        <v>22087.337304964538</v>
      </c>
      <c r="N9" s="7">
        <f>SUM(B9:M9)</f>
        <v>432543.68888888886</v>
      </c>
      <c r="P9" s="208">
        <f>IFERROR('Tab 2'!$F$32/$N$5*P$5,0)</f>
        <v>31805.765719148934</v>
      </c>
      <c r="Q9" s="208">
        <f>IFERROR('Tab 2'!$F$32/$N$5*Q$5,0)</f>
        <v>35339.739687943264</v>
      </c>
      <c r="R9" s="208">
        <f>IFERROR('Tab 2'!$F$32/$N$5*R$5,0)</f>
        <v>40640.700641134747</v>
      </c>
      <c r="S9" s="208">
        <f>IFERROR('Tab 2'!$F$32/$N$5*S$5,0)</f>
        <v>37106.726672340425</v>
      </c>
    </row>
    <row r="10" spans="1:19" x14ac:dyDescent="0.2">
      <c r="A10" s="6" t="s">
        <v>57</v>
      </c>
      <c r="B10" s="208">
        <f>IFERROR('Tab 2'!$I$14/$N$5*B$5,0)</f>
        <v>293.61702127659601</v>
      </c>
      <c r="C10" s="208">
        <f>IFERROR('Tab 2'!$I$14/$N$5*C$5,0)</f>
        <v>326.2411347517733</v>
      </c>
      <c r="D10" s="208">
        <f>IFERROR('Tab 2'!$I$14/$N$5*D$5,0)</f>
        <v>375.1773049645393</v>
      </c>
      <c r="E10" s="208">
        <f>IFERROR('Tab 2'!$I$14/$N$5*E$5,0)</f>
        <v>342.55319148936201</v>
      </c>
      <c r="F10" s="208">
        <f>IFERROR('Tab 2'!$I$14/$N$5*F$5,0)</f>
        <v>342.55319148936201</v>
      </c>
      <c r="G10" s="208">
        <f>IFERROR('Tab 2'!$I$14/$N$5*G$5,0)</f>
        <v>358.86524822695065</v>
      </c>
      <c r="H10" s="208">
        <f>IFERROR('Tab 2'!$I$14/$N$5*H$5,0)</f>
        <v>358.86524822695065</v>
      </c>
      <c r="I10" s="208">
        <f>IFERROR('Tab 2'!$I$14/$N$5*I$5,0)</f>
        <v>195.744680851064</v>
      </c>
      <c r="J10" s="208">
        <f>IFERROR('Tab 2'!$I$14/$N$5*J$5,0)</f>
        <v>358.86524822695065</v>
      </c>
      <c r="K10" s="208">
        <f>IFERROR('Tab 2'!$I$14/$N$5*K$5,0)</f>
        <v>342.55319148936201</v>
      </c>
      <c r="L10" s="208">
        <f>IFERROR('Tab 2'!$I$14/$N$5*L$5,0)</f>
        <v>342.55319148936201</v>
      </c>
      <c r="M10" s="208">
        <f>IFERROR('Tab 2'!$I$14/$N$5*M$5,0)</f>
        <v>195.744680851064</v>
      </c>
      <c r="N10" s="7">
        <f>SUM(B10:M10)</f>
        <v>3833.3333333333367</v>
      </c>
      <c r="P10" s="208">
        <f>IFERROR('Tab 2'!$I$32/$N$5*P$5,0)</f>
        <v>317.10638297872367</v>
      </c>
      <c r="Q10" s="208">
        <f>IFERROR('Tab 2'!$I$32/$N$5*Q$5,0)</f>
        <v>352.34042553191523</v>
      </c>
      <c r="R10" s="208">
        <f>IFERROR('Tab 2'!$I$32/$N$5*R$5,0)</f>
        <v>405.19148936170251</v>
      </c>
      <c r="S10" s="208">
        <f>IFERROR('Tab 2'!$I$32/$N$5*S$5,0)</f>
        <v>369.95744680851095</v>
      </c>
    </row>
    <row r="11" spans="1:19" ht="17" thickBot="1" x14ac:dyDescent="0.25">
      <c r="A11" s="8" t="s">
        <v>3</v>
      </c>
      <c r="B11" s="9">
        <f>SUM(B8:B10)</f>
        <v>52287.943518874388</v>
      </c>
      <c r="C11" s="9">
        <f t="shared" ref="C11:P11" si="0">SUM(C8:C10)</f>
        <v>58097.71502097154</v>
      </c>
      <c r="D11" s="9">
        <f t="shared" si="0"/>
        <v>66812.372274117282</v>
      </c>
      <c r="E11" s="9">
        <f t="shared" si="0"/>
        <v>61002.600772020131</v>
      </c>
      <c r="F11" s="9">
        <f t="shared" si="0"/>
        <v>61002.600772020131</v>
      </c>
      <c r="G11" s="9">
        <f t="shared" si="0"/>
        <v>63907.486523068706</v>
      </c>
      <c r="H11" s="9">
        <f t="shared" si="0"/>
        <v>63907.486523068706</v>
      </c>
      <c r="I11" s="9">
        <f t="shared" si="0"/>
        <v>34858.629012582933</v>
      </c>
      <c r="J11" s="9">
        <f t="shared" si="0"/>
        <v>63907.486523068706</v>
      </c>
      <c r="K11" s="9">
        <f t="shared" si="0"/>
        <v>61002.600772020131</v>
      </c>
      <c r="L11" s="9">
        <f t="shared" si="0"/>
        <v>61002.600772020131</v>
      </c>
      <c r="M11" s="9">
        <f t="shared" si="0"/>
        <v>34858.629012582933</v>
      </c>
      <c r="N11" s="9">
        <f t="shared" si="0"/>
        <v>682648.15149641584</v>
      </c>
      <c r="P11" s="9">
        <f t="shared" si="0"/>
        <v>51363.459053081671</v>
      </c>
      <c r="Q11" s="9">
        <f t="shared" ref="Q11:R11" si="1">SUM(Q8:Q10)</f>
        <v>57070.510058979649</v>
      </c>
      <c r="R11" s="9">
        <f t="shared" si="1"/>
        <v>65631.086567826584</v>
      </c>
      <c r="S11" s="9">
        <f t="shared" ref="S11" si="2">SUM(S8:S10)</f>
        <v>59924.03556192862</v>
      </c>
    </row>
    <row r="13" spans="1:19" ht="17" thickBot="1" x14ac:dyDescent="0.25"/>
    <row r="14" spans="1:19" x14ac:dyDescent="0.2">
      <c r="A14" s="4" t="s">
        <v>79</v>
      </c>
      <c r="B14" s="5" t="s">
        <v>11</v>
      </c>
      <c r="C14" s="5" t="s">
        <v>12</v>
      </c>
      <c r="D14" s="5" t="s">
        <v>13</v>
      </c>
      <c r="E14" s="5" t="s">
        <v>14</v>
      </c>
      <c r="F14" s="5" t="s">
        <v>15</v>
      </c>
      <c r="G14" s="5" t="s">
        <v>16</v>
      </c>
      <c r="H14" s="5" t="s">
        <v>17</v>
      </c>
      <c r="I14" s="5" t="s">
        <v>18</v>
      </c>
      <c r="J14" s="5" t="s">
        <v>19</v>
      </c>
      <c r="K14" s="5" t="s">
        <v>20</v>
      </c>
      <c r="L14" s="5" t="s">
        <v>21</v>
      </c>
      <c r="M14" s="5" t="s">
        <v>22</v>
      </c>
      <c r="N14" s="5" t="s">
        <v>10</v>
      </c>
      <c r="P14" s="5" t="s">
        <v>11</v>
      </c>
      <c r="Q14" s="5" t="s">
        <v>12</v>
      </c>
      <c r="R14" s="5" t="s">
        <v>13</v>
      </c>
      <c r="S14" s="5" t="s">
        <v>14</v>
      </c>
    </row>
    <row r="15" spans="1:19" x14ac:dyDescent="0.2">
      <c r="A15" s="6" t="s">
        <v>55</v>
      </c>
      <c r="B15" s="208">
        <f>'Tab 2'!$C$15/$N$5*B$5</f>
        <v>1198.375657844887</v>
      </c>
      <c r="C15" s="208">
        <f>'Tab 2'!$C$15/$N$5*C$5</f>
        <v>1331.528508716541</v>
      </c>
      <c r="D15" s="208">
        <f>'Tab 2'!$C$15/$N$5*D$5</f>
        <v>1531.257785024022</v>
      </c>
      <c r="E15" s="208">
        <f>'Tab 2'!$C$15/$N$5*E$5</f>
        <v>1398.1049341523681</v>
      </c>
      <c r="F15" s="208">
        <f>'Tab 2'!$C$15/$N$5*F$5</f>
        <v>1398.1049341523681</v>
      </c>
      <c r="G15" s="208">
        <f>'Tab 2'!$C$15/$N$5*G$5</f>
        <v>1464.6813595881949</v>
      </c>
      <c r="H15" s="208">
        <f>'Tab 2'!$C$15/$N$5*H$5</f>
        <v>1464.6813595881949</v>
      </c>
      <c r="I15" s="208">
        <f>'Tab 2'!$C$15/$N$5*I$5</f>
        <v>798.91710522992457</v>
      </c>
      <c r="J15" s="208">
        <f>'Tab 2'!$C$15/$N$5*J$5</f>
        <v>1464.6813595881949</v>
      </c>
      <c r="K15" s="208">
        <f>'Tab 2'!$C$15/$N$5*K$5</f>
        <v>1398.1049341523681</v>
      </c>
      <c r="L15" s="208">
        <f>'Tab 2'!$C$15/$N$5*L$5</f>
        <v>1398.1049341523681</v>
      </c>
      <c r="M15" s="208">
        <f>'Tab 2'!$C$15/$N$5*M$5</f>
        <v>798.91710522992457</v>
      </c>
      <c r="N15" s="7">
        <f>SUM(B15:M15)</f>
        <v>15645.459977419356</v>
      </c>
      <c r="P15" s="208">
        <f>'Tab 2'!$C$33/$N$5*P$5</f>
        <v>1222.3431710017846</v>
      </c>
      <c r="Q15" s="208">
        <f>'Tab 2'!$C$33/$N$5*Q$5</f>
        <v>1358.1590788908718</v>
      </c>
      <c r="R15" s="208">
        <f>'Tab 2'!$C$33/$N$5*R$5</f>
        <v>1561.8829407245025</v>
      </c>
      <c r="S15" s="208">
        <f>'Tab 2'!$C$33/$N$5*S$5</f>
        <v>1426.0670328354154</v>
      </c>
    </row>
    <row r="16" spans="1:19" x14ac:dyDescent="0.2">
      <c r="A16" s="6" t="s">
        <v>87</v>
      </c>
      <c r="B16" s="208">
        <f>'Tab 2'!$F$15/$N$5*B$5</f>
        <v>0</v>
      </c>
      <c r="C16" s="208">
        <f>'Tab 2'!$F$15/$N$5*C$5</f>
        <v>0</v>
      </c>
      <c r="D16" s="208">
        <f>'Tab 2'!$F$15/$N$5*D$5</f>
        <v>0</v>
      </c>
      <c r="E16" s="208">
        <f>'Tab 2'!$F$15/$N$5*E$5</f>
        <v>0</v>
      </c>
      <c r="F16" s="208">
        <f>'Tab 2'!$F$15/$N$5*F$5</f>
        <v>0</v>
      </c>
      <c r="G16" s="208">
        <f>'Tab 2'!$F$15/$N$5*G$5</f>
        <v>0</v>
      </c>
      <c r="H16" s="208">
        <f>'Tab 2'!$F$15/$N$5*H$5</f>
        <v>0</v>
      </c>
      <c r="I16" s="208">
        <f>'Tab 2'!$F$15/$N$5*I$5</f>
        <v>0</v>
      </c>
      <c r="J16" s="208">
        <f>'Tab 2'!$F$15/$N$5*J$5</f>
        <v>0</v>
      </c>
      <c r="K16" s="208">
        <f>'Tab 2'!$F$15/$N$5*K$5</f>
        <v>0</v>
      </c>
      <c r="L16" s="208">
        <f>'Tab 2'!$F$15/$N$5*L$5</f>
        <v>0</v>
      </c>
      <c r="M16" s="208">
        <f>'Tab 2'!$F$15/$N$5*M$5</f>
        <v>0</v>
      </c>
      <c r="N16" s="7">
        <f>SUM(B16:M16)</f>
        <v>0</v>
      </c>
      <c r="P16" s="208">
        <f>'Tab 2'!$F$33/$N$5*P$5</f>
        <v>0</v>
      </c>
      <c r="Q16" s="208">
        <f>'Tab 2'!$F$33/$N$5*Q$5</f>
        <v>0</v>
      </c>
      <c r="R16" s="208">
        <f>'Tab 2'!$F$33/$N$5*R$5</f>
        <v>0</v>
      </c>
      <c r="S16" s="208">
        <f>'Tab 2'!$F$33/$N$5*S$5</f>
        <v>0</v>
      </c>
    </row>
    <row r="17" spans="1:19" x14ac:dyDescent="0.2">
      <c r="A17" s="6" t="s">
        <v>57</v>
      </c>
      <c r="B17" s="208">
        <f>'Tab 2'!$I$15/$N$5*B$5</f>
        <v>2008.3404255319151</v>
      </c>
      <c r="C17" s="208">
        <f>'Tab 2'!$I$15/$N$5*C$5</f>
        <v>2231.489361702128</v>
      </c>
      <c r="D17" s="208">
        <f>'Tab 2'!$I$15/$N$5*D$5</f>
        <v>2566.2127659574471</v>
      </c>
      <c r="E17" s="208">
        <f>'Tab 2'!$I$15/$N$5*E$5</f>
        <v>2343.0638297872342</v>
      </c>
      <c r="F17" s="208">
        <f>'Tab 2'!$I$15/$N$5*F$5</f>
        <v>2343.0638297872342</v>
      </c>
      <c r="G17" s="208">
        <f>'Tab 2'!$I$15/$N$5*G$5</f>
        <v>2454.6382978723404</v>
      </c>
      <c r="H17" s="208">
        <f>'Tab 2'!$I$15/$N$5*H$5</f>
        <v>2454.6382978723404</v>
      </c>
      <c r="I17" s="208">
        <f>'Tab 2'!$I$15/$N$5*I$5</f>
        <v>1338.8936170212767</v>
      </c>
      <c r="J17" s="208">
        <f>'Tab 2'!$I$15/$N$5*J$5</f>
        <v>2454.6382978723404</v>
      </c>
      <c r="K17" s="208">
        <f>'Tab 2'!$I$15/$N$5*K$5</f>
        <v>2343.0638297872342</v>
      </c>
      <c r="L17" s="208">
        <f>'Tab 2'!$I$15/$N$5*L$5</f>
        <v>2343.0638297872342</v>
      </c>
      <c r="M17" s="208">
        <f>'Tab 2'!$I$15/$N$5*M$5</f>
        <v>1338.8936170212767</v>
      </c>
      <c r="N17" s="7">
        <f>SUM(B17:M17)</f>
        <v>26220.000000000004</v>
      </c>
      <c r="P17" s="208">
        <f>'Tab 2'!$I$33/$N$5*P$5</f>
        <v>2169.0076595744681</v>
      </c>
      <c r="Q17" s="208">
        <f>'Tab 2'!$I$33/$N$5*Q$5</f>
        <v>2410.0085106382976</v>
      </c>
      <c r="R17" s="208">
        <f>'Tab 2'!$I$33/$N$5*R$5</f>
        <v>2771.5097872340425</v>
      </c>
      <c r="S17" s="208">
        <f>'Tab 2'!$I$33/$N$5*S$5</f>
        <v>2530.5089361702126</v>
      </c>
    </row>
    <row r="18" spans="1:19" ht="17" thickBot="1" x14ac:dyDescent="0.25">
      <c r="A18" s="8" t="s">
        <v>3</v>
      </c>
      <c r="B18" s="9">
        <f t="shared" ref="B18:R18" si="3">SUM(B15:B17)</f>
        <v>3206.7160833768021</v>
      </c>
      <c r="C18" s="9">
        <f t="shared" si="3"/>
        <v>3563.0178704186692</v>
      </c>
      <c r="D18" s="9">
        <f t="shared" si="3"/>
        <v>4097.4705509814694</v>
      </c>
      <c r="E18" s="9">
        <f t="shared" si="3"/>
        <v>3741.1687639396023</v>
      </c>
      <c r="F18" s="9">
        <f t="shared" si="3"/>
        <v>3741.1687639396023</v>
      </c>
      <c r="G18" s="9">
        <f t="shared" si="3"/>
        <v>3919.3196574605354</v>
      </c>
      <c r="H18" s="9">
        <f t="shared" si="3"/>
        <v>3919.3196574605354</v>
      </c>
      <c r="I18" s="9">
        <f t="shared" si="3"/>
        <v>2137.8107222512012</v>
      </c>
      <c r="J18" s="9">
        <f t="shared" si="3"/>
        <v>3919.3196574605354</v>
      </c>
      <c r="K18" s="9">
        <f t="shared" si="3"/>
        <v>3741.1687639396023</v>
      </c>
      <c r="L18" s="9">
        <f t="shared" si="3"/>
        <v>3741.1687639396023</v>
      </c>
      <c r="M18" s="9">
        <f t="shared" si="3"/>
        <v>2137.8107222512012</v>
      </c>
      <c r="N18" s="9">
        <f t="shared" si="3"/>
        <v>41865.459977419363</v>
      </c>
      <c r="P18" s="9">
        <f t="shared" si="3"/>
        <v>3391.3508305762525</v>
      </c>
      <c r="Q18" s="9">
        <f t="shared" si="3"/>
        <v>3768.1675895291692</v>
      </c>
      <c r="R18" s="9">
        <f t="shared" si="3"/>
        <v>4333.392727958545</v>
      </c>
      <c r="S18" s="9">
        <f t="shared" ref="S18" si="4">SUM(S15:S17)</f>
        <v>3956.5759690056279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838C-D911-D347-B649-C01EDEEC66D0}">
  <sheetPr codeName="Foglio6">
    <tabColor indexed="13"/>
  </sheetPr>
  <dimension ref="A2:M14"/>
  <sheetViews>
    <sheetView zoomScale="166" zoomScaleNormal="120" workbookViewId="0">
      <selection activeCell="M36" sqref="M36"/>
    </sheetView>
  </sheetViews>
  <sheetFormatPr baseColWidth="10" defaultRowHeight="13" x14ac:dyDescent="0.15"/>
  <sheetData>
    <row r="2" spans="1:13" ht="21" x14ac:dyDescent="0.25">
      <c r="A2" s="56" t="s">
        <v>38</v>
      </c>
    </row>
    <row r="3" spans="1:13" ht="14" thickBot="1" x14ac:dyDescent="0.2"/>
    <row r="4" spans="1:13" ht="16" x14ac:dyDescent="0.2">
      <c r="A4" s="209" t="s">
        <v>78</v>
      </c>
      <c r="B4" s="210" t="s">
        <v>11</v>
      </c>
      <c r="C4" s="210" t="s">
        <v>12</v>
      </c>
      <c r="D4" s="210" t="s">
        <v>13</v>
      </c>
      <c r="E4" s="210" t="s">
        <v>14</v>
      </c>
      <c r="F4" s="210" t="s">
        <v>15</v>
      </c>
      <c r="G4" s="210" t="s">
        <v>16</v>
      </c>
      <c r="H4" s="210" t="s">
        <v>17</v>
      </c>
      <c r="I4" s="210" t="s">
        <v>18</v>
      </c>
      <c r="J4" s="210" t="s">
        <v>19</v>
      </c>
      <c r="K4" s="210" t="s">
        <v>20</v>
      </c>
      <c r="L4" s="210" t="s">
        <v>21</v>
      </c>
      <c r="M4" s="211" t="s">
        <v>22</v>
      </c>
    </row>
    <row r="5" spans="1:13" ht="16" x14ac:dyDescent="0.2">
      <c r="A5" s="212" t="s">
        <v>55</v>
      </c>
      <c r="B5" s="57">
        <f>+'Tab 2'!$D$14</f>
        <v>180</v>
      </c>
      <c r="C5" s="57">
        <f>+'Tab 2'!$D$14</f>
        <v>180</v>
      </c>
      <c r="D5" s="57">
        <f>+'Tab 2'!$D$14</f>
        <v>180</v>
      </c>
      <c r="E5" s="57">
        <f>+'Tab 2'!$D$14</f>
        <v>180</v>
      </c>
      <c r="F5" s="57">
        <f>+'Tab 2'!$D$14</f>
        <v>180</v>
      </c>
      <c r="G5" s="57">
        <f>+'Tab 2'!$D$14</f>
        <v>180</v>
      </c>
      <c r="H5" s="57">
        <f>+'Tab 2'!$D$14</f>
        <v>180</v>
      </c>
      <c r="I5" s="57">
        <f>+'Tab 2'!$D$14</f>
        <v>180</v>
      </c>
      <c r="J5" s="57">
        <f>+'Tab 2'!$D$14</f>
        <v>180</v>
      </c>
      <c r="K5" s="57">
        <f>+'Tab 2'!$D$14</f>
        <v>180</v>
      </c>
      <c r="L5" s="57">
        <f>+'Tab 2'!$D$14</f>
        <v>180</v>
      </c>
      <c r="M5" s="214">
        <f>+'Tab 2'!$D$14</f>
        <v>180</v>
      </c>
    </row>
    <row r="6" spans="1:13" ht="16" x14ac:dyDescent="0.2">
      <c r="A6" s="212" t="s">
        <v>87</v>
      </c>
      <c r="B6" s="57">
        <f>'Tab 2'!$G$14</f>
        <v>180</v>
      </c>
      <c r="C6" s="57">
        <f>'Tab 2'!$G$14</f>
        <v>180</v>
      </c>
      <c r="D6" s="57">
        <f>'Tab 2'!$G$14</f>
        <v>180</v>
      </c>
      <c r="E6" s="57">
        <f>'Tab 2'!$G$14</f>
        <v>180</v>
      </c>
      <c r="F6" s="57">
        <f>'Tab 2'!$G$14</f>
        <v>180</v>
      </c>
      <c r="G6" s="57">
        <f>'Tab 2'!$G$14</f>
        <v>180</v>
      </c>
      <c r="H6" s="57">
        <f>'Tab 2'!$G$14</f>
        <v>180</v>
      </c>
      <c r="I6" s="57">
        <f>'Tab 2'!$G$14</f>
        <v>180</v>
      </c>
      <c r="J6" s="57">
        <f>'Tab 2'!$G$14</f>
        <v>180</v>
      </c>
      <c r="K6" s="57">
        <f>'Tab 2'!$G$14</f>
        <v>180</v>
      </c>
      <c r="L6" s="57">
        <f>'Tab 2'!$G$14</f>
        <v>180</v>
      </c>
      <c r="M6" s="214">
        <f>'Tab 2'!$G$14</f>
        <v>180</v>
      </c>
    </row>
    <row r="7" spans="1:13" ht="17" thickBot="1" x14ac:dyDescent="0.25">
      <c r="A7" s="213" t="s">
        <v>57</v>
      </c>
      <c r="B7" s="58">
        <f>'Tab 2'!$J$14</f>
        <v>180</v>
      </c>
      <c r="C7" s="58">
        <f>'Tab 2'!$J$14</f>
        <v>180</v>
      </c>
      <c r="D7" s="58">
        <f>'Tab 2'!$J$14</f>
        <v>180</v>
      </c>
      <c r="E7" s="58">
        <f>'Tab 2'!$J$14</f>
        <v>180</v>
      </c>
      <c r="F7" s="58">
        <f>'Tab 2'!$J$14</f>
        <v>180</v>
      </c>
      <c r="G7" s="58">
        <f>'Tab 2'!$J$14</f>
        <v>180</v>
      </c>
      <c r="H7" s="58">
        <f>'Tab 2'!$J$14</f>
        <v>180</v>
      </c>
      <c r="I7" s="58">
        <f>'Tab 2'!$J$14</f>
        <v>180</v>
      </c>
      <c r="J7" s="58">
        <f>'Tab 2'!$J$14</f>
        <v>180</v>
      </c>
      <c r="K7" s="58">
        <f>'Tab 2'!$J$14</f>
        <v>180</v>
      </c>
      <c r="L7" s="58">
        <f>'Tab 2'!$J$14</f>
        <v>180</v>
      </c>
      <c r="M7" s="215">
        <f>'Tab 2'!$J$14</f>
        <v>180</v>
      </c>
    </row>
    <row r="8" spans="1:13" ht="16" x14ac:dyDescent="0.2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ht="1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7" thickBo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6" x14ac:dyDescent="0.2">
      <c r="A11" s="209" t="s">
        <v>79</v>
      </c>
      <c r="B11" s="210" t="s">
        <v>11</v>
      </c>
      <c r="C11" s="210" t="s">
        <v>12</v>
      </c>
      <c r="D11" s="210" t="s">
        <v>13</v>
      </c>
      <c r="E11" s="210" t="s">
        <v>14</v>
      </c>
      <c r="F11" s="210" t="s">
        <v>15</v>
      </c>
      <c r="G11" s="210" t="s">
        <v>16</v>
      </c>
      <c r="H11" s="210" t="s">
        <v>17</v>
      </c>
      <c r="I11" s="210" t="s">
        <v>18</v>
      </c>
      <c r="J11" s="210" t="s">
        <v>19</v>
      </c>
      <c r="K11" s="210" t="s">
        <v>20</v>
      </c>
      <c r="L11" s="210" t="s">
        <v>21</v>
      </c>
      <c r="M11" s="211" t="s">
        <v>22</v>
      </c>
    </row>
    <row r="12" spans="1:13" ht="16" x14ac:dyDescent="0.2">
      <c r="A12" s="212" t="s">
        <v>55</v>
      </c>
      <c r="B12" s="57">
        <f>'Tab 2'!$D$15</f>
        <v>500</v>
      </c>
      <c r="C12" s="57">
        <f>'Tab 2'!$D$15</f>
        <v>500</v>
      </c>
      <c r="D12" s="57">
        <f>'Tab 2'!$D$15</f>
        <v>500</v>
      </c>
      <c r="E12" s="57">
        <f>'Tab 2'!$D$15</f>
        <v>500</v>
      </c>
      <c r="F12" s="57">
        <f>'Tab 2'!$D$15</f>
        <v>500</v>
      </c>
      <c r="G12" s="57">
        <f>'Tab 2'!$D$15</f>
        <v>500</v>
      </c>
      <c r="H12" s="57">
        <f>'Tab 2'!$D$15</f>
        <v>500</v>
      </c>
      <c r="I12" s="57">
        <f>'Tab 2'!$D$15</f>
        <v>500</v>
      </c>
      <c r="J12" s="57">
        <f>'Tab 2'!$D$15</f>
        <v>500</v>
      </c>
      <c r="K12" s="57">
        <f>'Tab 2'!$D$15</f>
        <v>500</v>
      </c>
      <c r="L12" s="57">
        <f>'Tab 2'!$D$15</f>
        <v>500</v>
      </c>
      <c r="M12" s="214">
        <f>'Tab 2'!$D$15</f>
        <v>500</v>
      </c>
    </row>
    <row r="13" spans="1:13" ht="16" x14ac:dyDescent="0.2">
      <c r="A13" s="212" t="s">
        <v>87</v>
      </c>
      <c r="B13" s="57">
        <f>'Tab 2'!$G$15</f>
        <v>500</v>
      </c>
      <c r="C13" s="57">
        <f>'Tab 2'!$G$15</f>
        <v>500</v>
      </c>
      <c r="D13" s="57">
        <f>'Tab 2'!$G$15</f>
        <v>500</v>
      </c>
      <c r="E13" s="57">
        <f>'Tab 2'!$G$15</f>
        <v>500</v>
      </c>
      <c r="F13" s="57">
        <f>'Tab 2'!$G$15</f>
        <v>500</v>
      </c>
      <c r="G13" s="57">
        <f>'Tab 2'!$G$15</f>
        <v>500</v>
      </c>
      <c r="H13" s="57">
        <f>'Tab 2'!$G$15</f>
        <v>500</v>
      </c>
      <c r="I13" s="57">
        <f>'Tab 2'!$G$15</f>
        <v>500</v>
      </c>
      <c r="J13" s="57">
        <f>'Tab 2'!$G$15</f>
        <v>500</v>
      </c>
      <c r="K13" s="57">
        <f>'Tab 2'!$G$15</f>
        <v>500</v>
      </c>
      <c r="L13" s="57">
        <f>'Tab 2'!$G$15</f>
        <v>500</v>
      </c>
      <c r="M13" s="214">
        <f>'Tab 2'!$G$15</f>
        <v>500</v>
      </c>
    </row>
    <row r="14" spans="1:13" ht="17" thickBot="1" x14ac:dyDescent="0.25">
      <c r="A14" s="213" t="s">
        <v>57</v>
      </c>
      <c r="B14" s="58">
        <f>'Tab 2'!$J$15</f>
        <v>500</v>
      </c>
      <c r="C14" s="58">
        <f>'Tab 2'!$J$15</f>
        <v>500</v>
      </c>
      <c r="D14" s="58">
        <f>'Tab 2'!$J$15</f>
        <v>500</v>
      </c>
      <c r="E14" s="58">
        <f>'Tab 2'!$J$15</f>
        <v>500</v>
      </c>
      <c r="F14" s="58">
        <f>'Tab 2'!$J$15</f>
        <v>500</v>
      </c>
      <c r="G14" s="58">
        <f>'Tab 2'!$J$15</f>
        <v>500</v>
      </c>
      <c r="H14" s="58">
        <f>'Tab 2'!$J$15</f>
        <v>500</v>
      </c>
      <c r="I14" s="58">
        <f>'Tab 2'!$J$15</f>
        <v>500</v>
      </c>
      <c r="J14" s="58">
        <f>'Tab 2'!$J$15</f>
        <v>500</v>
      </c>
      <c r="K14" s="58">
        <f>'Tab 2'!$J$15</f>
        <v>500</v>
      </c>
      <c r="L14" s="58">
        <f>'Tab 2'!$J$15</f>
        <v>500</v>
      </c>
      <c r="M14" s="215">
        <f>'Tab 2'!$J$15</f>
        <v>500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7">
    <tabColor indexed="13"/>
  </sheetPr>
  <dimension ref="A2:P79"/>
  <sheetViews>
    <sheetView topLeftCell="A37" zoomScale="140" zoomScaleNormal="140" workbookViewId="0">
      <selection activeCell="M10" sqref="M10"/>
    </sheetView>
  </sheetViews>
  <sheetFormatPr baseColWidth="10" defaultColWidth="9.1640625" defaultRowHeight="16" x14ac:dyDescent="0.2"/>
  <cols>
    <col min="1" max="1" width="22.6640625" style="3" customWidth="1"/>
    <col min="2" max="2" width="11.1640625" style="3" bestFit="1" customWidth="1"/>
    <col min="3" max="13" width="12.83203125" style="3" customWidth="1"/>
    <col min="14" max="14" width="12.6640625" style="3" customWidth="1"/>
    <col min="15" max="15" width="9.1640625" style="3"/>
    <col min="16" max="16" width="12.33203125" style="3" customWidth="1"/>
    <col min="17" max="16384" width="9.1640625" style="3"/>
  </cols>
  <sheetData>
    <row r="2" spans="1:16" ht="17" thickBot="1" x14ac:dyDescent="0.25"/>
    <row r="3" spans="1:16" x14ac:dyDescent="0.2">
      <c r="A3" s="5" t="s">
        <v>96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  <c r="N3" s="49" t="s">
        <v>10</v>
      </c>
    </row>
    <row r="4" spans="1:16" x14ac:dyDescent="0.2">
      <c r="A4" s="3" t="s">
        <v>35</v>
      </c>
      <c r="B4" s="50">
        <f>B29+B77+B52</f>
        <v>52287.943518874396</v>
      </c>
      <c r="C4" s="50">
        <f t="shared" ref="C4:M4" si="0">C29+C77+C52</f>
        <v>58097.715020971547</v>
      </c>
      <c r="D4" s="50">
        <f t="shared" si="0"/>
        <v>66812.372274117282</v>
      </c>
      <c r="E4" s="50">
        <f t="shared" si="0"/>
        <v>61002.600772020123</v>
      </c>
      <c r="F4" s="50">
        <f t="shared" si="0"/>
        <v>61002.600772020123</v>
      </c>
      <c r="G4" s="50">
        <f t="shared" si="0"/>
        <v>63907.486523068699</v>
      </c>
      <c r="H4" s="50">
        <f t="shared" si="0"/>
        <v>63907.486523068699</v>
      </c>
      <c r="I4" s="50">
        <f t="shared" si="0"/>
        <v>34858.629012582925</v>
      </c>
      <c r="J4" s="50">
        <f t="shared" si="0"/>
        <v>63907.486523068699</v>
      </c>
      <c r="K4" s="50">
        <f t="shared" si="0"/>
        <v>61002.600772020123</v>
      </c>
      <c r="L4" s="50">
        <f t="shared" si="0"/>
        <v>61002.600772020123</v>
      </c>
      <c r="M4" s="50">
        <f t="shared" si="0"/>
        <v>34858.629012582925</v>
      </c>
      <c r="N4" s="51">
        <f>SUM(B4:M4)</f>
        <v>682648.15149641572</v>
      </c>
    </row>
    <row r="5" spans="1:16" x14ac:dyDescent="0.2">
      <c r="A5" s="3" t="s">
        <v>36</v>
      </c>
      <c r="B5" s="69">
        <f>B6/B4</f>
        <v>179.99999999999997</v>
      </c>
      <c r="C5" s="69">
        <f t="shared" ref="C5:M5" si="1">C6/C4</f>
        <v>180</v>
      </c>
      <c r="D5" s="69">
        <f t="shared" si="1"/>
        <v>179.99999999999997</v>
      </c>
      <c r="E5" s="69">
        <f t="shared" si="1"/>
        <v>180</v>
      </c>
      <c r="F5" s="69">
        <f t="shared" si="1"/>
        <v>180</v>
      </c>
      <c r="G5" s="69">
        <f t="shared" si="1"/>
        <v>180</v>
      </c>
      <c r="H5" s="69">
        <f t="shared" si="1"/>
        <v>180</v>
      </c>
      <c r="I5" s="69">
        <f t="shared" si="1"/>
        <v>180</v>
      </c>
      <c r="J5" s="69">
        <f t="shared" si="1"/>
        <v>180</v>
      </c>
      <c r="K5" s="69">
        <f t="shared" si="1"/>
        <v>180</v>
      </c>
      <c r="L5" s="69">
        <f t="shared" si="1"/>
        <v>180</v>
      </c>
      <c r="M5" s="69">
        <f t="shared" si="1"/>
        <v>180</v>
      </c>
      <c r="N5" s="70">
        <f>N6/N4</f>
        <v>180</v>
      </c>
      <c r="P5" s="3" t="s">
        <v>91</v>
      </c>
    </row>
    <row r="6" spans="1:16" x14ac:dyDescent="0.2">
      <c r="A6" s="12" t="s">
        <v>37</v>
      </c>
      <c r="B6" s="52">
        <f>B31+B79+B54</f>
        <v>9411829.8333973903</v>
      </c>
      <c r="C6" s="52">
        <f t="shared" ref="C6:M6" si="2">C31+C79+C54</f>
        <v>10457588.703774879</v>
      </c>
      <c r="D6" s="52">
        <f t="shared" si="2"/>
        <v>12026227.00934111</v>
      </c>
      <c r="E6" s="52">
        <f t="shared" si="2"/>
        <v>10980468.138963623</v>
      </c>
      <c r="F6" s="52">
        <f t="shared" si="2"/>
        <v>10980468.138963623</v>
      </c>
      <c r="G6" s="52">
        <f t="shared" si="2"/>
        <v>11503347.574152365</v>
      </c>
      <c r="H6" s="52">
        <f t="shared" si="2"/>
        <v>11503347.574152365</v>
      </c>
      <c r="I6" s="52">
        <f t="shared" si="2"/>
        <v>6274553.2222649269</v>
      </c>
      <c r="J6" s="52">
        <f t="shared" si="2"/>
        <v>11503347.574152365</v>
      </c>
      <c r="K6" s="52">
        <f t="shared" si="2"/>
        <v>10980468.138963623</v>
      </c>
      <c r="L6" s="52">
        <f t="shared" si="2"/>
        <v>10980468.138963623</v>
      </c>
      <c r="M6" s="52">
        <f t="shared" si="2"/>
        <v>6274553.2222649269</v>
      </c>
      <c r="N6" s="53">
        <f>SUM(B6:M6)</f>
        <v>122876667.26935484</v>
      </c>
      <c r="P6" s="77">
        <f>+N6-'Tab 3'!AA36</f>
        <v>0</v>
      </c>
    </row>
    <row r="27" spans="1:14" ht="17" thickBot="1" x14ac:dyDescent="0.25"/>
    <row r="28" spans="1:14" x14ac:dyDescent="0.2">
      <c r="A28" s="5" t="s">
        <v>97</v>
      </c>
      <c r="B28" s="5" t="s">
        <v>11</v>
      </c>
      <c r="C28" s="5" t="s">
        <v>12</v>
      </c>
      <c r="D28" s="5" t="s">
        <v>13</v>
      </c>
      <c r="E28" s="5" t="s">
        <v>14</v>
      </c>
      <c r="F28" s="5" t="s">
        <v>15</v>
      </c>
      <c r="G28" s="5" t="s">
        <v>16</v>
      </c>
      <c r="H28" s="5" t="s">
        <v>17</v>
      </c>
      <c r="I28" s="5" t="s">
        <v>18</v>
      </c>
      <c r="J28" s="5" t="s">
        <v>19</v>
      </c>
      <c r="K28" s="5" t="s">
        <v>20</v>
      </c>
      <c r="L28" s="5" t="s">
        <v>21</v>
      </c>
      <c r="M28" s="5" t="s">
        <v>22</v>
      </c>
      <c r="N28" s="49" t="s">
        <v>10</v>
      </c>
    </row>
    <row r="29" spans="1:14" x14ac:dyDescent="0.2">
      <c r="A29" s="3" t="s">
        <v>35</v>
      </c>
      <c r="B29" s="50">
        <f>QUANTITÀ!B8</f>
        <v>18863.320540150991</v>
      </c>
      <c r="C29" s="50">
        <f>QUANTITÀ!C8</f>
        <v>20959.245044612213</v>
      </c>
      <c r="D29" s="50">
        <f>QUANTITÀ!D8</f>
        <v>24103.131801304044</v>
      </c>
      <c r="E29" s="50">
        <f>QUANTITÀ!E8</f>
        <v>22007.207296842822</v>
      </c>
      <c r="F29" s="50">
        <f>QUANTITÀ!F8</f>
        <v>22007.207296842822</v>
      </c>
      <c r="G29" s="50">
        <f>QUANTITÀ!G8</f>
        <v>23055.169549073435</v>
      </c>
      <c r="H29" s="50">
        <f>QUANTITÀ!H8</f>
        <v>23055.169549073435</v>
      </c>
      <c r="I29" s="50">
        <f>QUANTITÀ!I8</f>
        <v>12575.547026767326</v>
      </c>
      <c r="J29" s="50">
        <f>QUANTITÀ!J8</f>
        <v>23055.169549073435</v>
      </c>
      <c r="K29" s="50">
        <f>QUANTITÀ!K8</f>
        <v>22007.207296842822</v>
      </c>
      <c r="L29" s="50">
        <f>QUANTITÀ!L8</f>
        <v>22007.207296842822</v>
      </c>
      <c r="M29" s="50">
        <f>QUANTITÀ!M8</f>
        <v>12575.547026767326</v>
      </c>
      <c r="N29" s="51">
        <f>SUM(B29:M29)</f>
        <v>246271.12927419355</v>
      </c>
    </row>
    <row r="30" spans="1:14" x14ac:dyDescent="0.2">
      <c r="A30" s="3" t="s">
        <v>36</v>
      </c>
      <c r="B30" s="69">
        <f>PREZZI!B5</f>
        <v>180</v>
      </c>
      <c r="C30" s="69">
        <f>PREZZI!C5</f>
        <v>180</v>
      </c>
      <c r="D30" s="69">
        <f>PREZZI!D5</f>
        <v>180</v>
      </c>
      <c r="E30" s="69">
        <f>PREZZI!E5</f>
        <v>180</v>
      </c>
      <c r="F30" s="69">
        <f>PREZZI!F5</f>
        <v>180</v>
      </c>
      <c r="G30" s="69">
        <f>PREZZI!G5</f>
        <v>180</v>
      </c>
      <c r="H30" s="69">
        <f>PREZZI!H5</f>
        <v>180</v>
      </c>
      <c r="I30" s="69">
        <f>PREZZI!I5</f>
        <v>180</v>
      </c>
      <c r="J30" s="69">
        <f>PREZZI!J5</f>
        <v>180</v>
      </c>
      <c r="K30" s="69">
        <f>PREZZI!K5</f>
        <v>180</v>
      </c>
      <c r="L30" s="69">
        <f>PREZZI!L5</f>
        <v>180</v>
      </c>
      <c r="M30" s="69">
        <f>PREZZI!M5</f>
        <v>180</v>
      </c>
      <c r="N30" s="70">
        <f>(N31)/N29</f>
        <v>180.00000000000003</v>
      </c>
    </row>
    <row r="31" spans="1:14" x14ac:dyDescent="0.2">
      <c r="A31" s="12" t="s">
        <v>37</v>
      </c>
      <c r="B31" s="52">
        <f>B29*B30</f>
        <v>3395397.6972271786</v>
      </c>
      <c r="C31" s="52">
        <f t="shared" ref="C31:M31" si="3">C29*C30</f>
        <v>3772664.1080301981</v>
      </c>
      <c r="D31" s="52">
        <f t="shared" si="3"/>
        <v>4338563.7242347281</v>
      </c>
      <c r="E31" s="52">
        <f t="shared" si="3"/>
        <v>3961297.3134317081</v>
      </c>
      <c r="F31" s="52">
        <f t="shared" si="3"/>
        <v>3961297.3134317081</v>
      </c>
      <c r="G31" s="52">
        <f t="shared" si="3"/>
        <v>4149930.5188332181</v>
      </c>
      <c r="H31" s="52">
        <f t="shared" si="3"/>
        <v>4149930.5188332181</v>
      </c>
      <c r="I31" s="52">
        <f t="shared" si="3"/>
        <v>2263598.4648181186</v>
      </c>
      <c r="J31" s="52">
        <f t="shared" si="3"/>
        <v>4149930.5188332181</v>
      </c>
      <c r="K31" s="52">
        <f t="shared" si="3"/>
        <v>3961297.3134317081</v>
      </c>
      <c r="L31" s="52">
        <f t="shared" si="3"/>
        <v>3961297.3134317081</v>
      </c>
      <c r="M31" s="52">
        <f t="shared" si="3"/>
        <v>2263598.4648181186</v>
      </c>
      <c r="N31" s="53">
        <f>SUM(B31:M31)</f>
        <v>44328803.269354843</v>
      </c>
    </row>
    <row r="50" spans="1:14" ht="17" thickBot="1" x14ac:dyDescent="0.25"/>
    <row r="51" spans="1:14" x14ac:dyDescent="0.2">
      <c r="A51" s="5" t="s">
        <v>98</v>
      </c>
      <c r="B51" s="5" t="s">
        <v>11</v>
      </c>
      <c r="C51" s="5" t="s">
        <v>12</v>
      </c>
      <c r="D51" s="5" t="s">
        <v>13</v>
      </c>
      <c r="E51" s="5" t="s">
        <v>14</v>
      </c>
      <c r="F51" s="5" t="s">
        <v>15</v>
      </c>
      <c r="G51" s="5" t="s">
        <v>16</v>
      </c>
      <c r="H51" s="5" t="s">
        <v>17</v>
      </c>
      <c r="I51" s="5" t="s">
        <v>18</v>
      </c>
      <c r="J51" s="5" t="s">
        <v>19</v>
      </c>
      <c r="K51" s="5" t="s">
        <v>20</v>
      </c>
      <c r="L51" s="5" t="s">
        <v>21</v>
      </c>
      <c r="M51" s="5" t="s">
        <v>22</v>
      </c>
      <c r="N51" s="49" t="s">
        <v>10</v>
      </c>
    </row>
    <row r="52" spans="1:14" x14ac:dyDescent="0.2">
      <c r="A52" s="3" t="s">
        <v>35</v>
      </c>
      <c r="B52" s="50">
        <f>+QUANTITÀ!B9</f>
        <v>33131.005957446803</v>
      </c>
      <c r="C52" s="50">
        <f>+QUANTITÀ!C9</f>
        <v>36812.228841607561</v>
      </c>
      <c r="D52" s="50">
        <f>+QUANTITÀ!D9</f>
        <v>42334.063167848697</v>
      </c>
      <c r="E52" s="50">
        <f>+QUANTITÀ!E9</f>
        <v>38652.84028368794</v>
      </c>
      <c r="F52" s="50">
        <f>+QUANTITÀ!F9</f>
        <v>38652.84028368794</v>
      </c>
      <c r="G52" s="50">
        <f>+QUANTITÀ!G9</f>
        <v>40493.451725768318</v>
      </c>
      <c r="H52" s="50">
        <f>+QUANTITÀ!H9</f>
        <v>40493.451725768318</v>
      </c>
      <c r="I52" s="50">
        <f>+QUANTITÀ!I9</f>
        <v>22087.337304964538</v>
      </c>
      <c r="J52" s="50">
        <f>+QUANTITÀ!J9</f>
        <v>40493.451725768318</v>
      </c>
      <c r="K52" s="50">
        <f>+QUANTITÀ!K9</f>
        <v>38652.84028368794</v>
      </c>
      <c r="L52" s="50">
        <f>+QUANTITÀ!L9</f>
        <v>38652.84028368794</v>
      </c>
      <c r="M52" s="50">
        <f>+QUANTITÀ!M9</f>
        <v>22087.337304964538</v>
      </c>
      <c r="N52" s="51">
        <f>SUM(B52:M52)</f>
        <v>432543.68888888886</v>
      </c>
    </row>
    <row r="53" spans="1:14" x14ac:dyDescent="0.2">
      <c r="A53" s="3" t="s">
        <v>36</v>
      </c>
      <c r="B53" s="69">
        <f>+PREZZI!B6</f>
        <v>180</v>
      </c>
      <c r="C53" s="69">
        <f>+PREZZI!C6</f>
        <v>180</v>
      </c>
      <c r="D53" s="69">
        <f>+PREZZI!D6</f>
        <v>180</v>
      </c>
      <c r="E53" s="69">
        <f>+PREZZI!E6</f>
        <v>180</v>
      </c>
      <c r="F53" s="69">
        <f>+PREZZI!F6</f>
        <v>180</v>
      </c>
      <c r="G53" s="69">
        <f>+PREZZI!G6</f>
        <v>180</v>
      </c>
      <c r="H53" s="69">
        <f>+PREZZI!H6</f>
        <v>180</v>
      </c>
      <c r="I53" s="69">
        <f>+PREZZI!I6</f>
        <v>180</v>
      </c>
      <c r="J53" s="69">
        <f>+PREZZI!J6</f>
        <v>180</v>
      </c>
      <c r="K53" s="69">
        <f>+PREZZI!K6</f>
        <v>180</v>
      </c>
      <c r="L53" s="69">
        <f>+PREZZI!L6</f>
        <v>180</v>
      </c>
      <c r="M53" s="69">
        <f>+PREZZI!M6</f>
        <v>180</v>
      </c>
      <c r="N53" s="70">
        <f>(N54)/N52</f>
        <v>180</v>
      </c>
    </row>
    <row r="54" spans="1:14" x14ac:dyDescent="0.2">
      <c r="A54" s="12" t="s">
        <v>37</v>
      </c>
      <c r="B54" s="52">
        <f>B52*B53</f>
        <v>5963581.0723404242</v>
      </c>
      <c r="C54" s="52">
        <f t="shared" ref="C54:M54" si="4">C52*C53</f>
        <v>6626201.1914893612</v>
      </c>
      <c r="D54" s="52">
        <f t="shared" si="4"/>
        <v>7620131.3702127654</v>
      </c>
      <c r="E54" s="52">
        <f t="shared" si="4"/>
        <v>6957511.2510638293</v>
      </c>
      <c r="F54" s="52">
        <f t="shared" si="4"/>
        <v>6957511.2510638293</v>
      </c>
      <c r="G54" s="52">
        <f t="shared" si="4"/>
        <v>7288821.3106382973</v>
      </c>
      <c r="H54" s="52">
        <f t="shared" si="4"/>
        <v>7288821.3106382973</v>
      </c>
      <c r="I54" s="52">
        <f t="shared" si="4"/>
        <v>3975720.7148936167</v>
      </c>
      <c r="J54" s="52">
        <f t="shared" si="4"/>
        <v>7288821.3106382973</v>
      </c>
      <c r="K54" s="52">
        <f t="shared" si="4"/>
        <v>6957511.2510638293</v>
      </c>
      <c r="L54" s="52">
        <f t="shared" si="4"/>
        <v>6957511.2510638293</v>
      </c>
      <c r="M54" s="52">
        <f t="shared" si="4"/>
        <v>3975720.7148936167</v>
      </c>
      <c r="N54" s="53">
        <f>SUM(B54:M54)</f>
        <v>77857864</v>
      </c>
    </row>
    <row r="75" spans="1:14" ht="17" thickBot="1" x14ac:dyDescent="0.25"/>
    <row r="76" spans="1:14" x14ac:dyDescent="0.2">
      <c r="A76" s="5" t="s">
        <v>99</v>
      </c>
      <c r="B76" s="5" t="s">
        <v>11</v>
      </c>
      <c r="C76" s="5" t="s">
        <v>12</v>
      </c>
      <c r="D76" s="5" t="s">
        <v>13</v>
      </c>
      <c r="E76" s="5" t="s">
        <v>14</v>
      </c>
      <c r="F76" s="5" t="s">
        <v>15</v>
      </c>
      <c r="G76" s="5" t="s">
        <v>16</v>
      </c>
      <c r="H76" s="5" t="s">
        <v>17</v>
      </c>
      <c r="I76" s="5" t="s">
        <v>18</v>
      </c>
      <c r="J76" s="5" t="s">
        <v>19</v>
      </c>
      <c r="K76" s="5" t="s">
        <v>20</v>
      </c>
      <c r="L76" s="5" t="s">
        <v>21</v>
      </c>
      <c r="M76" s="5" t="s">
        <v>22</v>
      </c>
      <c r="N76" s="49" t="s">
        <v>10</v>
      </c>
    </row>
    <row r="77" spans="1:14" x14ac:dyDescent="0.2">
      <c r="A77" s="3" t="s">
        <v>35</v>
      </c>
      <c r="B77" s="50">
        <f>QUANTITÀ!B10</f>
        <v>293.61702127659601</v>
      </c>
      <c r="C77" s="50">
        <f>QUANTITÀ!C10</f>
        <v>326.2411347517733</v>
      </c>
      <c r="D77" s="50">
        <f>QUANTITÀ!D10</f>
        <v>375.1773049645393</v>
      </c>
      <c r="E77" s="50">
        <f>QUANTITÀ!E10</f>
        <v>342.55319148936201</v>
      </c>
      <c r="F77" s="50">
        <f>QUANTITÀ!F10</f>
        <v>342.55319148936201</v>
      </c>
      <c r="G77" s="50">
        <f>QUANTITÀ!G10</f>
        <v>358.86524822695065</v>
      </c>
      <c r="H77" s="50">
        <f>QUANTITÀ!H10</f>
        <v>358.86524822695065</v>
      </c>
      <c r="I77" s="50">
        <f>QUANTITÀ!I10</f>
        <v>195.744680851064</v>
      </c>
      <c r="J77" s="50">
        <f>QUANTITÀ!J10</f>
        <v>358.86524822695065</v>
      </c>
      <c r="K77" s="50">
        <f>QUANTITÀ!K10</f>
        <v>342.55319148936201</v>
      </c>
      <c r="L77" s="50">
        <f>QUANTITÀ!L10</f>
        <v>342.55319148936201</v>
      </c>
      <c r="M77" s="50">
        <f>QUANTITÀ!M10</f>
        <v>195.744680851064</v>
      </c>
      <c r="N77" s="51">
        <f>SUM(B77:M77)</f>
        <v>3833.3333333333367</v>
      </c>
    </row>
    <row r="78" spans="1:14" x14ac:dyDescent="0.2">
      <c r="A78" s="3" t="s">
        <v>36</v>
      </c>
      <c r="B78" s="69">
        <f>PREZZI!B7</f>
        <v>180</v>
      </c>
      <c r="C78" s="69">
        <f>PREZZI!C7</f>
        <v>180</v>
      </c>
      <c r="D78" s="69">
        <f>PREZZI!D7</f>
        <v>180</v>
      </c>
      <c r="E78" s="69">
        <f>PREZZI!E7</f>
        <v>180</v>
      </c>
      <c r="F78" s="69">
        <f>PREZZI!F7</f>
        <v>180</v>
      </c>
      <c r="G78" s="69">
        <f>PREZZI!G7</f>
        <v>180</v>
      </c>
      <c r="H78" s="69">
        <f>PREZZI!H7</f>
        <v>180</v>
      </c>
      <c r="I78" s="69">
        <f>PREZZI!I7</f>
        <v>180</v>
      </c>
      <c r="J78" s="69">
        <f>PREZZI!J7</f>
        <v>180</v>
      </c>
      <c r="K78" s="69">
        <f>PREZZI!K7</f>
        <v>180</v>
      </c>
      <c r="L78" s="69">
        <f>PREZZI!L7</f>
        <v>180</v>
      </c>
      <c r="M78" s="69">
        <f>PREZZI!M7</f>
        <v>180</v>
      </c>
      <c r="N78" s="70">
        <f>(N79*1000)/N77</f>
        <v>180000.00000000003</v>
      </c>
    </row>
    <row r="79" spans="1:14" x14ac:dyDescent="0.2">
      <c r="A79" s="12" t="s">
        <v>37</v>
      </c>
      <c r="B79" s="52">
        <f>B77*B78</f>
        <v>52851.063829787279</v>
      </c>
      <c r="C79" s="52">
        <f t="shared" ref="C79:M79" si="5">C77*C78</f>
        <v>58723.404255319198</v>
      </c>
      <c r="D79" s="52">
        <f t="shared" si="5"/>
        <v>67531.914893617068</v>
      </c>
      <c r="E79" s="52">
        <f t="shared" si="5"/>
        <v>61659.574468085164</v>
      </c>
      <c r="F79" s="52">
        <f t="shared" si="5"/>
        <v>61659.574468085164</v>
      </c>
      <c r="G79" s="52">
        <f t="shared" si="5"/>
        <v>64595.744680851116</v>
      </c>
      <c r="H79" s="52">
        <f t="shared" si="5"/>
        <v>64595.744680851116</v>
      </c>
      <c r="I79" s="52">
        <f t="shared" si="5"/>
        <v>35234.042553191524</v>
      </c>
      <c r="J79" s="52">
        <f t="shared" si="5"/>
        <v>64595.744680851116</v>
      </c>
      <c r="K79" s="52">
        <f t="shared" si="5"/>
        <v>61659.574468085164</v>
      </c>
      <c r="L79" s="52">
        <f t="shared" si="5"/>
        <v>61659.574468085164</v>
      </c>
      <c r="M79" s="52">
        <f t="shared" si="5"/>
        <v>35234.042553191524</v>
      </c>
      <c r="N79" s="53">
        <f>SUM(B79:M79)</f>
        <v>690000.0000000007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8">
    <tabColor indexed="13"/>
  </sheetPr>
  <dimension ref="A2:P84"/>
  <sheetViews>
    <sheetView zoomScale="140" zoomScaleNormal="140" workbookViewId="0">
      <selection activeCell="O16" sqref="O16"/>
    </sheetView>
  </sheetViews>
  <sheetFormatPr baseColWidth="10" defaultColWidth="9.1640625" defaultRowHeight="16" x14ac:dyDescent="0.2"/>
  <cols>
    <col min="1" max="1" width="23.5" style="6" bestFit="1" customWidth="1"/>
    <col min="2" max="5" width="11.5" style="3" bestFit="1" customWidth="1"/>
    <col min="6" max="13" width="10.5" style="3" bestFit="1" customWidth="1"/>
    <col min="14" max="14" width="13.5" style="3" bestFit="1" customWidth="1"/>
    <col min="15" max="16384" width="9.1640625" style="3"/>
  </cols>
  <sheetData>
    <row r="2" spans="1:16" ht="17" thickBot="1" x14ac:dyDescent="0.25"/>
    <row r="3" spans="1:16" x14ac:dyDescent="0.2">
      <c r="A3" s="209" t="s">
        <v>92</v>
      </c>
      <c r="B3" s="210" t="s">
        <v>11</v>
      </c>
      <c r="C3" s="210" t="s">
        <v>12</v>
      </c>
      <c r="D3" s="210" t="s">
        <v>13</v>
      </c>
      <c r="E3" s="210" t="s">
        <v>14</v>
      </c>
      <c r="F3" s="210" t="s">
        <v>15</v>
      </c>
      <c r="G3" s="210" t="s">
        <v>16</v>
      </c>
      <c r="H3" s="210" t="s">
        <v>17</v>
      </c>
      <c r="I3" s="210" t="s">
        <v>18</v>
      </c>
      <c r="J3" s="210" t="s">
        <v>19</v>
      </c>
      <c r="K3" s="210" t="s">
        <v>20</v>
      </c>
      <c r="L3" s="210" t="s">
        <v>21</v>
      </c>
      <c r="M3" s="210" t="s">
        <v>22</v>
      </c>
      <c r="N3" s="216" t="s">
        <v>10</v>
      </c>
    </row>
    <row r="4" spans="1:16" x14ac:dyDescent="0.2">
      <c r="A4" s="212" t="s">
        <v>35</v>
      </c>
      <c r="B4" s="50">
        <f t="shared" ref="B4:M4" si="0">B29+B54+B79</f>
        <v>3206.7160833768021</v>
      </c>
      <c r="C4" s="50">
        <f t="shared" si="0"/>
        <v>3563.0178704186692</v>
      </c>
      <c r="D4" s="50">
        <f t="shared" si="0"/>
        <v>4097.4705509814694</v>
      </c>
      <c r="E4" s="50">
        <f t="shared" si="0"/>
        <v>3741.1687639396023</v>
      </c>
      <c r="F4" s="50">
        <f t="shared" si="0"/>
        <v>3741.1687639396023</v>
      </c>
      <c r="G4" s="50">
        <f t="shared" si="0"/>
        <v>3919.3196574605354</v>
      </c>
      <c r="H4" s="50">
        <f t="shared" si="0"/>
        <v>3919.3196574605354</v>
      </c>
      <c r="I4" s="50">
        <f t="shared" si="0"/>
        <v>2137.8107222512012</v>
      </c>
      <c r="J4" s="50">
        <f t="shared" si="0"/>
        <v>3919.3196574605354</v>
      </c>
      <c r="K4" s="50">
        <f t="shared" si="0"/>
        <v>3741.1687639396023</v>
      </c>
      <c r="L4" s="50">
        <f t="shared" si="0"/>
        <v>3741.1687639396023</v>
      </c>
      <c r="M4" s="50">
        <f t="shared" si="0"/>
        <v>2137.8107222512012</v>
      </c>
      <c r="N4" s="217">
        <f>SUM(B4:M4)</f>
        <v>41865.459977419363</v>
      </c>
    </row>
    <row r="5" spans="1:16" x14ac:dyDescent="0.2">
      <c r="A5" s="212" t="s">
        <v>36</v>
      </c>
      <c r="B5" s="59">
        <f>B6/B4</f>
        <v>500</v>
      </c>
      <c r="C5" s="59">
        <f t="shared" ref="C5:M5" si="1">C6/C4</f>
        <v>499.99999999999994</v>
      </c>
      <c r="D5" s="59">
        <f t="shared" si="1"/>
        <v>500</v>
      </c>
      <c r="E5" s="59">
        <f t="shared" si="1"/>
        <v>500</v>
      </c>
      <c r="F5" s="59">
        <f t="shared" si="1"/>
        <v>500</v>
      </c>
      <c r="G5" s="59">
        <f t="shared" si="1"/>
        <v>499.99999999999994</v>
      </c>
      <c r="H5" s="59">
        <f t="shared" si="1"/>
        <v>499.99999999999994</v>
      </c>
      <c r="I5" s="59">
        <f t="shared" si="1"/>
        <v>499.99999999999994</v>
      </c>
      <c r="J5" s="59">
        <f t="shared" si="1"/>
        <v>499.99999999999994</v>
      </c>
      <c r="K5" s="59">
        <f t="shared" si="1"/>
        <v>500</v>
      </c>
      <c r="L5" s="59">
        <f t="shared" si="1"/>
        <v>500</v>
      </c>
      <c r="M5" s="59">
        <f t="shared" si="1"/>
        <v>499.99999999999994</v>
      </c>
      <c r="N5" s="218">
        <f>N6/N4</f>
        <v>499.99999999999989</v>
      </c>
      <c r="P5" s="3" t="s">
        <v>91</v>
      </c>
    </row>
    <row r="6" spans="1:16" ht="17" thickBot="1" x14ac:dyDescent="0.25">
      <c r="A6" s="37" t="s">
        <v>37</v>
      </c>
      <c r="B6" s="219">
        <f t="shared" ref="B6:M6" si="2">B31+B56+B81</f>
        <v>1603358.041688401</v>
      </c>
      <c r="C6" s="219">
        <f t="shared" si="2"/>
        <v>1781508.9352093344</v>
      </c>
      <c r="D6" s="219">
        <f t="shared" si="2"/>
        <v>2048735.2754907347</v>
      </c>
      <c r="E6" s="219">
        <f t="shared" si="2"/>
        <v>1870584.3819698012</v>
      </c>
      <c r="F6" s="219">
        <f t="shared" si="2"/>
        <v>1870584.3819698012</v>
      </c>
      <c r="G6" s="219">
        <f t="shared" si="2"/>
        <v>1959659.8287302675</v>
      </c>
      <c r="H6" s="219">
        <f t="shared" si="2"/>
        <v>1959659.8287302675</v>
      </c>
      <c r="I6" s="219">
        <f t="shared" si="2"/>
        <v>1068905.3611256005</v>
      </c>
      <c r="J6" s="219">
        <f t="shared" si="2"/>
        <v>1959659.8287302675</v>
      </c>
      <c r="K6" s="219">
        <f t="shared" si="2"/>
        <v>1870584.3819698012</v>
      </c>
      <c r="L6" s="219">
        <f t="shared" si="2"/>
        <v>1870584.3819698012</v>
      </c>
      <c r="M6" s="219">
        <f t="shared" si="2"/>
        <v>1068905.3611256005</v>
      </c>
      <c r="N6" s="220">
        <f>SUM(B6:M6)</f>
        <v>20932729.988709677</v>
      </c>
      <c r="P6" s="77">
        <f>+N6-'Tab 3'!AA42</f>
        <v>0</v>
      </c>
    </row>
    <row r="25" spans="1:14" ht="17" thickBot="1" x14ac:dyDescent="0.25">
      <c r="A25" s="72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</row>
    <row r="26" spans="1:14" ht="17" thickTop="1" x14ac:dyDescent="0.2"/>
    <row r="27" spans="1:14" ht="17" thickBot="1" x14ac:dyDescent="0.25"/>
    <row r="28" spans="1:14" x14ac:dyDescent="0.2">
      <c r="A28" s="209" t="s">
        <v>93</v>
      </c>
      <c r="B28" s="210" t="s">
        <v>11</v>
      </c>
      <c r="C28" s="210" t="s">
        <v>12</v>
      </c>
      <c r="D28" s="210" t="s">
        <v>13</v>
      </c>
      <c r="E28" s="210" t="s">
        <v>14</v>
      </c>
      <c r="F28" s="210" t="s">
        <v>15</v>
      </c>
      <c r="G28" s="210" t="s">
        <v>16</v>
      </c>
      <c r="H28" s="210" t="s">
        <v>17</v>
      </c>
      <c r="I28" s="210" t="s">
        <v>18</v>
      </c>
      <c r="J28" s="210" t="s">
        <v>19</v>
      </c>
      <c r="K28" s="210" t="s">
        <v>20</v>
      </c>
      <c r="L28" s="210" t="s">
        <v>21</v>
      </c>
      <c r="M28" s="210" t="s">
        <v>22</v>
      </c>
      <c r="N28" s="216" t="s">
        <v>10</v>
      </c>
    </row>
    <row r="29" spans="1:14" x14ac:dyDescent="0.2">
      <c r="A29" s="212" t="s">
        <v>35</v>
      </c>
      <c r="B29" s="50">
        <f>QUANTITÀ!B15</f>
        <v>1198.375657844887</v>
      </c>
      <c r="C29" s="50">
        <f>QUANTITÀ!C15</f>
        <v>1331.528508716541</v>
      </c>
      <c r="D29" s="50">
        <f>QUANTITÀ!D15</f>
        <v>1531.257785024022</v>
      </c>
      <c r="E29" s="50">
        <f>QUANTITÀ!E15</f>
        <v>1398.1049341523681</v>
      </c>
      <c r="F29" s="50">
        <f>QUANTITÀ!F15</f>
        <v>1398.1049341523681</v>
      </c>
      <c r="G29" s="50">
        <f>QUANTITÀ!G15</f>
        <v>1464.6813595881949</v>
      </c>
      <c r="H29" s="50">
        <f>QUANTITÀ!H15</f>
        <v>1464.6813595881949</v>
      </c>
      <c r="I29" s="50">
        <f>QUANTITÀ!I15</f>
        <v>798.91710522992457</v>
      </c>
      <c r="J29" s="50">
        <f>QUANTITÀ!J15</f>
        <v>1464.6813595881949</v>
      </c>
      <c r="K29" s="50">
        <f>QUANTITÀ!K15</f>
        <v>1398.1049341523681</v>
      </c>
      <c r="L29" s="50">
        <f>QUANTITÀ!L15</f>
        <v>1398.1049341523681</v>
      </c>
      <c r="M29" s="50">
        <f>QUANTITÀ!M15</f>
        <v>798.91710522992457</v>
      </c>
      <c r="N29" s="217">
        <f>SUM(B29:M29)</f>
        <v>15645.459977419356</v>
      </c>
    </row>
    <row r="30" spans="1:14" x14ac:dyDescent="0.2">
      <c r="A30" s="212" t="s">
        <v>36</v>
      </c>
      <c r="B30" s="59">
        <f>PREZZI!B12</f>
        <v>500</v>
      </c>
      <c r="C30" s="59">
        <f>PREZZI!C12</f>
        <v>500</v>
      </c>
      <c r="D30" s="59">
        <f>PREZZI!D12</f>
        <v>500</v>
      </c>
      <c r="E30" s="59">
        <f>PREZZI!E12</f>
        <v>500</v>
      </c>
      <c r="F30" s="59">
        <f>PREZZI!F12</f>
        <v>500</v>
      </c>
      <c r="G30" s="59">
        <f>PREZZI!G12</f>
        <v>500</v>
      </c>
      <c r="H30" s="59">
        <f>PREZZI!H12</f>
        <v>500</v>
      </c>
      <c r="I30" s="59">
        <f>PREZZI!I12</f>
        <v>500</v>
      </c>
      <c r="J30" s="59">
        <f>PREZZI!J12</f>
        <v>500</v>
      </c>
      <c r="K30" s="59">
        <f>PREZZI!K12</f>
        <v>500</v>
      </c>
      <c r="L30" s="59">
        <f>PREZZI!L12</f>
        <v>500</v>
      </c>
      <c r="M30" s="59">
        <f>PREZZI!M12</f>
        <v>500</v>
      </c>
      <c r="N30" s="218">
        <f>N31/N29</f>
        <v>500.00000000000006</v>
      </c>
    </row>
    <row r="31" spans="1:14" ht="17" thickBot="1" x14ac:dyDescent="0.25">
      <c r="A31" s="37" t="s">
        <v>37</v>
      </c>
      <c r="B31" s="219">
        <f>B29*B30</f>
        <v>599187.82892244344</v>
      </c>
      <c r="C31" s="219">
        <f t="shared" ref="C31:M31" si="3">C29*C30</f>
        <v>665764.25435827044</v>
      </c>
      <c r="D31" s="219">
        <f t="shared" si="3"/>
        <v>765628.89251201099</v>
      </c>
      <c r="E31" s="219">
        <f t="shared" si="3"/>
        <v>699052.467076184</v>
      </c>
      <c r="F31" s="219">
        <f t="shared" si="3"/>
        <v>699052.467076184</v>
      </c>
      <c r="G31" s="219">
        <f t="shared" si="3"/>
        <v>732340.67979409744</v>
      </c>
      <c r="H31" s="219">
        <f t="shared" si="3"/>
        <v>732340.67979409744</v>
      </c>
      <c r="I31" s="219">
        <f t="shared" si="3"/>
        <v>399458.55261496227</v>
      </c>
      <c r="J31" s="219">
        <f t="shared" si="3"/>
        <v>732340.67979409744</v>
      </c>
      <c r="K31" s="219">
        <f t="shared" si="3"/>
        <v>699052.467076184</v>
      </c>
      <c r="L31" s="219">
        <f t="shared" si="3"/>
        <v>699052.467076184</v>
      </c>
      <c r="M31" s="219">
        <f t="shared" si="3"/>
        <v>399458.55261496227</v>
      </c>
      <c r="N31" s="220">
        <f>SUM(B31:M31)</f>
        <v>7822729.9887096789</v>
      </c>
    </row>
    <row r="52" spans="1:14" ht="17" thickBot="1" x14ac:dyDescent="0.25"/>
    <row r="53" spans="1:14" x14ac:dyDescent="0.2">
      <c r="A53" s="209" t="s">
        <v>94</v>
      </c>
      <c r="B53" s="210" t="s">
        <v>11</v>
      </c>
      <c r="C53" s="210" t="s">
        <v>12</v>
      </c>
      <c r="D53" s="210" t="s">
        <v>13</v>
      </c>
      <c r="E53" s="210" t="s">
        <v>14</v>
      </c>
      <c r="F53" s="210" t="s">
        <v>15</v>
      </c>
      <c r="G53" s="210" t="s">
        <v>16</v>
      </c>
      <c r="H53" s="210" t="s">
        <v>17</v>
      </c>
      <c r="I53" s="210" t="s">
        <v>18</v>
      </c>
      <c r="J53" s="210" t="s">
        <v>19</v>
      </c>
      <c r="K53" s="210" t="s">
        <v>20</v>
      </c>
      <c r="L53" s="210" t="s">
        <v>21</v>
      </c>
      <c r="M53" s="210" t="s">
        <v>22</v>
      </c>
      <c r="N53" s="216" t="s">
        <v>10</v>
      </c>
    </row>
    <row r="54" spans="1:14" x14ac:dyDescent="0.2">
      <c r="A54" s="212" t="s">
        <v>35</v>
      </c>
      <c r="B54" s="50">
        <f>QUANTITÀ!B16</f>
        <v>0</v>
      </c>
      <c r="C54" s="50">
        <f>QUANTITÀ!C16</f>
        <v>0</v>
      </c>
      <c r="D54" s="50">
        <f>QUANTITÀ!D16</f>
        <v>0</v>
      </c>
      <c r="E54" s="50">
        <f>QUANTITÀ!E16</f>
        <v>0</v>
      </c>
      <c r="F54" s="50">
        <f>QUANTITÀ!F16</f>
        <v>0</v>
      </c>
      <c r="G54" s="50">
        <f>QUANTITÀ!G16</f>
        <v>0</v>
      </c>
      <c r="H54" s="50">
        <f>QUANTITÀ!H16</f>
        <v>0</v>
      </c>
      <c r="I54" s="50">
        <f>QUANTITÀ!I16</f>
        <v>0</v>
      </c>
      <c r="J54" s="50">
        <f>QUANTITÀ!J16</f>
        <v>0</v>
      </c>
      <c r="K54" s="50">
        <f>QUANTITÀ!K16</f>
        <v>0</v>
      </c>
      <c r="L54" s="50">
        <f>QUANTITÀ!L16</f>
        <v>0</v>
      </c>
      <c r="M54" s="50">
        <f>QUANTITÀ!M16</f>
        <v>0</v>
      </c>
      <c r="N54" s="217">
        <f>SUM(B54:M54)</f>
        <v>0</v>
      </c>
    </row>
    <row r="55" spans="1:14" x14ac:dyDescent="0.2">
      <c r="A55" s="212" t="s">
        <v>36</v>
      </c>
      <c r="B55" s="59">
        <f>PREZZI!B13</f>
        <v>500</v>
      </c>
      <c r="C55" s="59">
        <f>PREZZI!C13</f>
        <v>500</v>
      </c>
      <c r="D55" s="59">
        <f>PREZZI!D13</f>
        <v>500</v>
      </c>
      <c r="E55" s="59">
        <f>PREZZI!E13</f>
        <v>500</v>
      </c>
      <c r="F55" s="59">
        <f>PREZZI!F13</f>
        <v>500</v>
      </c>
      <c r="G55" s="59">
        <f>PREZZI!G13</f>
        <v>500</v>
      </c>
      <c r="H55" s="59">
        <f>PREZZI!H13</f>
        <v>500</v>
      </c>
      <c r="I55" s="59">
        <f>PREZZI!I13</f>
        <v>500</v>
      </c>
      <c r="J55" s="59">
        <f>PREZZI!J13</f>
        <v>500</v>
      </c>
      <c r="K55" s="59">
        <f>PREZZI!K13</f>
        <v>500</v>
      </c>
      <c r="L55" s="59">
        <f>PREZZI!L13</f>
        <v>500</v>
      </c>
      <c r="M55" s="59">
        <f>PREZZI!M13</f>
        <v>500</v>
      </c>
      <c r="N55" s="218">
        <f>IFERROR(N56/N54,0)</f>
        <v>0</v>
      </c>
    </row>
    <row r="56" spans="1:14" ht="17" thickBot="1" x14ac:dyDescent="0.25">
      <c r="A56" s="37" t="s">
        <v>37</v>
      </c>
      <c r="B56" s="219">
        <f>B54*B55</f>
        <v>0</v>
      </c>
      <c r="C56" s="219">
        <f t="shared" ref="C56:M56" si="4">C54*C55</f>
        <v>0</v>
      </c>
      <c r="D56" s="219">
        <f t="shared" si="4"/>
        <v>0</v>
      </c>
      <c r="E56" s="219">
        <f t="shared" si="4"/>
        <v>0</v>
      </c>
      <c r="F56" s="219">
        <f t="shared" si="4"/>
        <v>0</v>
      </c>
      <c r="G56" s="219">
        <f t="shared" si="4"/>
        <v>0</v>
      </c>
      <c r="H56" s="219">
        <f t="shared" si="4"/>
        <v>0</v>
      </c>
      <c r="I56" s="219">
        <f t="shared" si="4"/>
        <v>0</v>
      </c>
      <c r="J56" s="219">
        <f t="shared" si="4"/>
        <v>0</v>
      </c>
      <c r="K56" s="219">
        <f t="shared" si="4"/>
        <v>0</v>
      </c>
      <c r="L56" s="219">
        <f t="shared" si="4"/>
        <v>0</v>
      </c>
      <c r="M56" s="219">
        <f t="shared" si="4"/>
        <v>0</v>
      </c>
      <c r="N56" s="220">
        <f>SUM(B56:M56)</f>
        <v>0</v>
      </c>
    </row>
    <row r="77" spans="1:14" ht="17" thickBot="1" x14ac:dyDescent="0.25"/>
    <row r="78" spans="1:14" x14ac:dyDescent="0.2">
      <c r="A78" s="209" t="s">
        <v>95</v>
      </c>
      <c r="B78" s="210" t="s">
        <v>11</v>
      </c>
      <c r="C78" s="210" t="s">
        <v>12</v>
      </c>
      <c r="D78" s="210" t="s">
        <v>13</v>
      </c>
      <c r="E78" s="210" t="s">
        <v>14</v>
      </c>
      <c r="F78" s="210" t="s">
        <v>15</v>
      </c>
      <c r="G78" s="210" t="s">
        <v>16</v>
      </c>
      <c r="H78" s="210" t="s">
        <v>17</v>
      </c>
      <c r="I78" s="210" t="s">
        <v>18</v>
      </c>
      <c r="J78" s="210" t="s">
        <v>19</v>
      </c>
      <c r="K78" s="210" t="s">
        <v>20</v>
      </c>
      <c r="L78" s="210" t="s">
        <v>21</v>
      </c>
      <c r="M78" s="210" t="s">
        <v>22</v>
      </c>
      <c r="N78" s="216" t="s">
        <v>10</v>
      </c>
    </row>
    <row r="79" spans="1:14" x14ac:dyDescent="0.2">
      <c r="A79" s="212" t="s">
        <v>35</v>
      </c>
      <c r="B79" s="50">
        <f>QUANTITÀ!B17</f>
        <v>2008.3404255319151</v>
      </c>
      <c r="C79" s="50">
        <f>QUANTITÀ!C17</f>
        <v>2231.489361702128</v>
      </c>
      <c r="D79" s="50">
        <f>QUANTITÀ!D17</f>
        <v>2566.2127659574471</v>
      </c>
      <c r="E79" s="50">
        <f>QUANTITÀ!E17</f>
        <v>2343.0638297872342</v>
      </c>
      <c r="F79" s="50">
        <f>QUANTITÀ!F17</f>
        <v>2343.0638297872342</v>
      </c>
      <c r="G79" s="50">
        <f>QUANTITÀ!G17</f>
        <v>2454.6382978723404</v>
      </c>
      <c r="H79" s="50">
        <f>QUANTITÀ!H17</f>
        <v>2454.6382978723404</v>
      </c>
      <c r="I79" s="50">
        <f>QUANTITÀ!I17</f>
        <v>1338.8936170212767</v>
      </c>
      <c r="J79" s="50">
        <f>QUANTITÀ!J17</f>
        <v>2454.6382978723404</v>
      </c>
      <c r="K79" s="50">
        <f>QUANTITÀ!K17</f>
        <v>2343.0638297872342</v>
      </c>
      <c r="L79" s="50">
        <f>QUANTITÀ!L17</f>
        <v>2343.0638297872342</v>
      </c>
      <c r="M79" s="50">
        <f>QUANTITÀ!M17</f>
        <v>1338.8936170212767</v>
      </c>
      <c r="N79" s="217">
        <f>SUM(B79:M79)</f>
        <v>26220.000000000004</v>
      </c>
    </row>
    <row r="80" spans="1:14" x14ac:dyDescent="0.2">
      <c r="A80" s="212" t="s">
        <v>36</v>
      </c>
      <c r="B80" s="59">
        <f>PREZZI!B14</f>
        <v>500</v>
      </c>
      <c r="C80" s="59">
        <f>PREZZI!C14</f>
        <v>500</v>
      </c>
      <c r="D80" s="59">
        <f>PREZZI!D14</f>
        <v>500</v>
      </c>
      <c r="E80" s="59">
        <f>PREZZI!E14</f>
        <v>500</v>
      </c>
      <c r="F80" s="59">
        <f>PREZZI!F14</f>
        <v>500</v>
      </c>
      <c r="G80" s="59">
        <f>PREZZI!G14</f>
        <v>500</v>
      </c>
      <c r="H80" s="59">
        <f>PREZZI!H14</f>
        <v>500</v>
      </c>
      <c r="I80" s="59">
        <f>PREZZI!I14</f>
        <v>500</v>
      </c>
      <c r="J80" s="59">
        <f>PREZZI!J14</f>
        <v>500</v>
      </c>
      <c r="K80" s="59">
        <f>PREZZI!K14</f>
        <v>500</v>
      </c>
      <c r="L80" s="59">
        <f>PREZZI!L14</f>
        <v>500</v>
      </c>
      <c r="M80" s="59">
        <f>PREZZI!M14</f>
        <v>500</v>
      </c>
      <c r="N80" s="218">
        <f>(N81*1000)/N79</f>
        <v>500000.00000000006</v>
      </c>
    </row>
    <row r="81" spans="1:14" ht="17" thickBot="1" x14ac:dyDescent="0.25">
      <c r="A81" s="37" t="s">
        <v>37</v>
      </c>
      <c r="B81" s="219">
        <f>B79*B80</f>
        <v>1004170.2127659576</v>
      </c>
      <c r="C81" s="219">
        <f t="shared" ref="C81:M81" si="5">C79*C80</f>
        <v>1115744.6808510639</v>
      </c>
      <c r="D81" s="219">
        <f t="shared" si="5"/>
        <v>1283106.3829787236</v>
      </c>
      <c r="E81" s="219">
        <f t="shared" si="5"/>
        <v>1171531.9148936172</v>
      </c>
      <c r="F81" s="219">
        <f t="shared" si="5"/>
        <v>1171531.9148936172</v>
      </c>
      <c r="G81" s="219">
        <f t="shared" si="5"/>
        <v>1227319.1489361702</v>
      </c>
      <c r="H81" s="219">
        <f t="shared" si="5"/>
        <v>1227319.1489361702</v>
      </c>
      <c r="I81" s="219">
        <f t="shared" si="5"/>
        <v>669446.80851063831</v>
      </c>
      <c r="J81" s="219">
        <f t="shared" si="5"/>
        <v>1227319.1489361702</v>
      </c>
      <c r="K81" s="219">
        <f t="shared" si="5"/>
        <v>1171531.9148936172</v>
      </c>
      <c r="L81" s="219">
        <f t="shared" si="5"/>
        <v>1171531.9148936172</v>
      </c>
      <c r="M81" s="219">
        <f t="shared" si="5"/>
        <v>669446.80851063831</v>
      </c>
      <c r="N81" s="220">
        <f>SUM(B81:M81)</f>
        <v>13110000.000000004</v>
      </c>
    </row>
    <row r="84" spans="1:14" x14ac:dyDescent="0.2">
      <c r="N84" s="55"/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66B3-B8AA-2F48-B332-F0E1E07ED9B8}">
  <sheetPr codeName="Foglio10">
    <pageSetUpPr fitToPage="1"/>
  </sheetPr>
  <dimension ref="B2:U30"/>
  <sheetViews>
    <sheetView showGridLines="0" zoomScale="178" zoomScaleNormal="130" workbookViewId="0">
      <selection activeCell="B3" sqref="B3"/>
    </sheetView>
  </sheetViews>
  <sheetFormatPr baseColWidth="10" defaultRowHeight="17" customHeight="1" x14ac:dyDescent="0.15"/>
  <cols>
    <col min="1" max="1" width="10.83203125" style="221"/>
    <col min="2" max="2" width="25.6640625" style="221" customWidth="1"/>
    <col min="3" max="9" width="13.5" style="221" bestFit="1" customWidth="1"/>
    <col min="10" max="10" width="12.5" style="221" bestFit="1" customWidth="1"/>
    <col min="11" max="13" width="13.5" style="221" bestFit="1" customWidth="1"/>
    <col min="14" max="14" width="12.5" style="221" bestFit="1" customWidth="1"/>
    <col min="15" max="15" width="13.1640625" style="221" customWidth="1"/>
    <col min="16" max="16" width="4.1640625" style="221" customWidth="1"/>
    <col min="17" max="16384" width="10.83203125" style="221"/>
  </cols>
  <sheetData>
    <row r="2" spans="2:21" ht="17" customHeight="1" x14ac:dyDescent="0.15">
      <c r="B2" s="74" t="s">
        <v>230</v>
      </c>
    </row>
    <row r="3" spans="2:21" ht="17" customHeight="1" thickBot="1" x14ac:dyDescent="0.2"/>
    <row r="4" spans="2:21" ht="17" customHeight="1" thickBot="1" x14ac:dyDescent="0.2">
      <c r="B4" s="225" t="s">
        <v>116</v>
      </c>
    </row>
    <row r="5" spans="2:21" s="74" customFormat="1" ht="17" customHeight="1" x14ac:dyDescent="0.15">
      <c r="B5" s="222"/>
      <c r="C5" s="402" t="s">
        <v>85</v>
      </c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5"/>
      <c r="Q5" s="463" t="s">
        <v>121</v>
      </c>
      <c r="R5" s="464"/>
      <c r="S5" s="464"/>
      <c r="T5" s="465"/>
      <c r="U5" s="221"/>
    </row>
    <row r="6" spans="2:21" s="74" customFormat="1" ht="17" customHeight="1" x14ac:dyDescent="0.15">
      <c r="B6" s="231"/>
      <c r="C6" s="229" t="s">
        <v>100</v>
      </c>
      <c r="D6" s="229" t="s">
        <v>101</v>
      </c>
      <c r="E6" s="229" t="s">
        <v>102</v>
      </c>
      <c r="F6" s="229" t="s">
        <v>103</v>
      </c>
      <c r="G6" s="229" t="s">
        <v>104</v>
      </c>
      <c r="H6" s="229" t="s">
        <v>105</v>
      </c>
      <c r="I6" s="229" t="s">
        <v>106</v>
      </c>
      <c r="J6" s="229" t="s">
        <v>107</v>
      </c>
      <c r="K6" s="229" t="s">
        <v>108</v>
      </c>
      <c r="L6" s="229" t="s">
        <v>109</v>
      </c>
      <c r="M6" s="229" t="s">
        <v>110</v>
      </c>
      <c r="N6" s="229" t="s">
        <v>111</v>
      </c>
      <c r="O6" s="234" t="s">
        <v>68</v>
      </c>
      <c r="Q6" s="275" t="s">
        <v>100</v>
      </c>
      <c r="R6" s="229" t="s">
        <v>101</v>
      </c>
      <c r="S6" s="229" t="s">
        <v>102</v>
      </c>
      <c r="T6" s="276"/>
      <c r="U6" s="100"/>
    </row>
    <row r="7" spans="2:21" s="74" customFormat="1" ht="17" customHeight="1" x14ac:dyDescent="0.15">
      <c r="B7" s="135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230"/>
      <c r="Q7" s="223"/>
      <c r="T7" s="235"/>
    </row>
    <row r="8" spans="2:21" s="74" customFormat="1" ht="17" customHeight="1" x14ac:dyDescent="0.15">
      <c r="B8" s="135" t="s">
        <v>118</v>
      </c>
      <c r="C8" s="226">
        <v>125000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230"/>
      <c r="Q8" s="223"/>
      <c r="T8" s="235"/>
    </row>
    <row r="9" spans="2:21" s="74" customFormat="1" ht="17" customHeight="1" x14ac:dyDescent="0.15">
      <c r="B9" s="135" t="s">
        <v>119</v>
      </c>
      <c r="C9" s="240">
        <v>6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230"/>
      <c r="Q9" s="223"/>
      <c r="T9" s="235"/>
    </row>
    <row r="10" spans="2:21" s="74" customFormat="1" ht="17" customHeight="1" x14ac:dyDescent="0.15">
      <c r="B10" s="135" t="s">
        <v>120</v>
      </c>
      <c r="C10" s="100">
        <f>1/C9*360</f>
        <v>60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230"/>
      <c r="Q10" s="223"/>
      <c r="T10" s="235"/>
    </row>
    <row r="11" spans="2:21" s="74" customFormat="1" ht="17" customHeight="1" x14ac:dyDescent="0.15">
      <c r="B11" s="135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230"/>
      <c r="Q11" s="223"/>
      <c r="T11" s="235"/>
    </row>
    <row r="12" spans="2:21" s="74" customFormat="1" ht="23" customHeight="1" x14ac:dyDescent="0.15">
      <c r="B12" s="135" t="s">
        <v>117</v>
      </c>
      <c r="C12" s="239">
        <f>+C8</f>
        <v>125000</v>
      </c>
      <c r="D12" s="224">
        <f>+C14</f>
        <v>125797.19690665754</v>
      </c>
      <c r="E12" s="224">
        <f t="shared" ref="E12:N12" si="0">+D14</f>
        <v>127814.97304613743</v>
      </c>
      <c r="F12" s="224">
        <f t="shared" si="0"/>
        <v>128409.79302550908</v>
      </c>
      <c r="G12" s="224">
        <f t="shared" si="0"/>
        <v>129339.85608327619</v>
      </c>
      <c r="H12" s="224">
        <f t="shared" si="0"/>
        <v>130269.91914104328</v>
      </c>
      <c r="I12" s="224">
        <f t="shared" si="0"/>
        <v>131244.27091584686</v>
      </c>
      <c r="J12" s="224">
        <f t="shared" si="0"/>
        <v>124378.62269065049</v>
      </c>
      <c r="K12" s="224">
        <f t="shared" si="0"/>
        <v>124910.08729508883</v>
      </c>
      <c r="L12" s="224">
        <f t="shared" si="0"/>
        <v>122005.20154404026</v>
      </c>
      <c r="M12" s="224">
        <f t="shared" si="0"/>
        <v>114812.44144985588</v>
      </c>
      <c r="N12" s="224">
        <f t="shared" si="0"/>
        <v>115742.50450762297</v>
      </c>
      <c r="O12" s="152"/>
      <c r="Q12" s="271">
        <f>+N14</f>
        <v>108433.96911206131</v>
      </c>
      <c r="T12" s="235"/>
    </row>
    <row r="13" spans="2:21" s="74" customFormat="1" ht="23" customHeight="1" x14ac:dyDescent="0.15">
      <c r="B13" s="232" t="s">
        <v>124</v>
      </c>
      <c r="C13" s="224">
        <f>QUANTITÀ!B11</f>
        <v>52287.943518874388</v>
      </c>
      <c r="D13" s="224">
        <f>QUANTITÀ!C11</f>
        <v>58097.71502097154</v>
      </c>
      <c r="E13" s="224">
        <f>QUANTITÀ!D11</f>
        <v>66812.372274117282</v>
      </c>
      <c r="F13" s="224">
        <f>QUANTITÀ!E11</f>
        <v>61002.600772020131</v>
      </c>
      <c r="G13" s="224">
        <f>QUANTITÀ!F11</f>
        <v>61002.600772020131</v>
      </c>
      <c r="H13" s="224">
        <f>QUANTITÀ!G11</f>
        <v>63907.486523068706</v>
      </c>
      <c r="I13" s="224">
        <f>QUANTITÀ!H11</f>
        <v>63907.486523068706</v>
      </c>
      <c r="J13" s="224">
        <f>QUANTITÀ!I11</f>
        <v>34858.629012582933</v>
      </c>
      <c r="K13" s="224">
        <f>QUANTITÀ!J11</f>
        <v>63907.486523068706</v>
      </c>
      <c r="L13" s="224">
        <f>QUANTITÀ!K11</f>
        <v>61002.600772020131</v>
      </c>
      <c r="M13" s="224">
        <f>QUANTITÀ!L11</f>
        <v>61002.600772020131</v>
      </c>
      <c r="N13" s="224">
        <f>QUANTITÀ!M11</f>
        <v>34858.629012582933</v>
      </c>
      <c r="O13" s="152">
        <f>SUM(C13:N13)</f>
        <v>682648.15149641572</v>
      </c>
      <c r="Q13" s="236">
        <f>QUANTITÀ!P11</f>
        <v>51363.459053081671</v>
      </c>
      <c r="R13" s="227">
        <f>QUANTITÀ!Q11</f>
        <v>57070.510058979649</v>
      </c>
      <c r="S13" s="227">
        <f>QUANTITÀ!R11</f>
        <v>65631.086567826584</v>
      </c>
      <c r="T13" s="237">
        <f>QUANTITÀ!S11</f>
        <v>59924.03556192862</v>
      </c>
      <c r="U13" s="227"/>
    </row>
    <row r="14" spans="2:21" s="74" customFormat="1" ht="23" customHeight="1" thickBot="1" x14ac:dyDescent="0.2">
      <c r="B14" s="232" t="s">
        <v>122</v>
      </c>
      <c r="C14" s="224">
        <f>+C12-C13+C15</f>
        <v>125797.19690665754</v>
      </c>
      <c r="D14" s="224">
        <f t="shared" ref="D14:N14" si="1">+D12-D13+D15</f>
        <v>127814.97304613743</v>
      </c>
      <c r="E14" s="224">
        <f t="shared" si="1"/>
        <v>128409.79302550908</v>
      </c>
      <c r="F14" s="224">
        <f t="shared" si="1"/>
        <v>129339.85608327619</v>
      </c>
      <c r="G14" s="224">
        <f t="shared" si="1"/>
        <v>130269.91914104328</v>
      </c>
      <c r="H14" s="224">
        <f t="shared" si="1"/>
        <v>131244.27091584686</v>
      </c>
      <c r="I14" s="224">
        <f t="shared" si="1"/>
        <v>124378.62269065049</v>
      </c>
      <c r="J14" s="224">
        <f t="shared" si="1"/>
        <v>124910.08729508883</v>
      </c>
      <c r="K14" s="224">
        <f t="shared" si="1"/>
        <v>122005.20154404026</v>
      </c>
      <c r="L14" s="224">
        <f t="shared" si="1"/>
        <v>114812.44144985588</v>
      </c>
      <c r="M14" s="224">
        <f t="shared" si="1"/>
        <v>115742.50450762297</v>
      </c>
      <c r="N14" s="224">
        <f t="shared" si="1"/>
        <v>108433.96911206131</v>
      </c>
      <c r="O14" s="152"/>
      <c r="Q14" s="236">
        <f>(R13+S13)</f>
        <v>122701.59662680623</v>
      </c>
      <c r="T14" s="235"/>
    </row>
    <row r="15" spans="2:21" s="74" customFormat="1" ht="19" customHeight="1" thickBot="1" x14ac:dyDescent="0.2">
      <c r="B15" s="233" t="s">
        <v>123</v>
      </c>
      <c r="C15" s="367">
        <v>53085.140425531914</v>
      </c>
      <c r="D15" s="367">
        <v>60115.491160451427</v>
      </c>
      <c r="E15" s="367">
        <v>67407.192253488931</v>
      </c>
      <c r="F15" s="367">
        <v>61932.663829787234</v>
      </c>
      <c r="G15" s="367">
        <v>61932.663829787227</v>
      </c>
      <c r="H15" s="367">
        <v>64881.83829787228</v>
      </c>
      <c r="I15" s="367">
        <v>57041.838297872338</v>
      </c>
      <c r="J15" s="367">
        <v>35390.093617021274</v>
      </c>
      <c r="K15" s="367">
        <v>61002.600772020145</v>
      </c>
      <c r="L15" s="367">
        <v>53809.840677835746</v>
      </c>
      <c r="M15" s="367">
        <v>61932.663829787227</v>
      </c>
      <c r="N15" s="367">
        <v>27550.093617021277</v>
      </c>
      <c r="O15" s="238">
        <f>SUM(C15:N15)</f>
        <v>666082.12060847704</v>
      </c>
      <c r="Q15" s="272">
        <f t="shared" ref="Q15" si="2">(Q14-Q12+Q13)</f>
        <v>65631.086567826598</v>
      </c>
      <c r="R15" s="273"/>
      <c r="S15" s="273"/>
      <c r="T15" s="274"/>
    </row>
    <row r="16" spans="2:21" s="74" customFormat="1" ht="17" customHeight="1" thickBot="1" x14ac:dyDescent="0.2"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 t="e">
        <f>O15*#REF!</f>
        <v>#REF!</v>
      </c>
    </row>
    <row r="17" spans="2:21" ht="17" customHeight="1" thickBot="1" x14ac:dyDescent="0.2">
      <c r="B17" s="225" t="s">
        <v>127</v>
      </c>
      <c r="U17" s="74"/>
    </row>
    <row r="18" spans="2:21" s="74" customFormat="1" ht="17" customHeight="1" x14ac:dyDescent="0.15">
      <c r="B18" s="222"/>
      <c r="C18" s="402" t="s">
        <v>85</v>
      </c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5"/>
      <c r="Q18" s="463" t="s">
        <v>121</v>
      </c>
      <c r="R18" s="464"/>
      <c r="S18" s="464"/>
      <c r="T18" s="465"/>
    </row>
    <row r="19" spans="2:21" s="74" customFormat="1" ht="17" customHeight="1" x14ac:dyDescent="0.15">
      <c r="B19" s="231"/>
      <c r="C19" s="229" t="s">
        <v>100</v>
      </c>
      <c r="D19" s="229" t="s">
        <v>101</v>
      </c>
      <c r="E19" s="229" t="s">
        <v>102</v>
      </c>
      <c r="F19" s="229" t="s">
        <v>103</v>
      </c>
      <c r="G19" s="229" t="s">
        <v>104</v>
      </c>
      <c r="H19" s="229" t="s">
        <v>105</v>
      </c>
      <c r="I19" s="229" t="s">
        <v>106</v>
      </c>
      <c r="J19" s="229" t="s">
        <v>107</v>
      </c>
      <c r="K19" s="229" t="s">
        <v>108</v>
      </c>
      <c r="L19" s="229" t="s">
        <v>109</v>
      </c>
      <c r="M19" s="229" t="s">
        <v>110</v>
      </c>
      <c r="N19" s="229" t="s">
        <v>111</v>
      </c>
      <c r="O19" s="234" t="s">
        <v>68</v>
      </c>
      <c r="Q19" s="275" t="s">
        <v>100</v>
      </c>
      <c r="R19" s="229" t="s">
        <v>101</v>
      </c>
      <c r="S19" s="229" t="s">
        <v>102</v>
      </c>
      <c r="T19" s="276" t="s">
        <v>103</v>
      </c>
    </row>
    <row r="20" spans="2:21" s="74" customFormat="1" ht="17" customHeight="1" x14ac:dyDescent="0.15">
      <c r="B20" s="135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230"/>
      <c r="Q20" s="223"/>
      <c r="T20" s="235"/>
    </row>
    <row r="21" spans="2:21" s="74" customFormat="1" ht="17" customHeight="1" x14ac:dyDescent="0.15">
      <c r="B21" s="135" t="s">
        <v>118</v>
      </c>
      <c r="C21" s="226">
        <v>11000</v>
      </c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230"/>
      <c r="Q21" s="223"/>
      <c r="T21" s="235"/>
    </row>
    <row r="22" spans="2:21" s="74" customFormat="1" ht="17" customHeight="1" x14ac:dyDescent="0.15">
      <c r="B22" s="135" t="s">
        <v>119</v>
      </c>
      <c r="C22" s="240">
        <v>4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230"/>
      <c r="Q22" s="223"/>
      <c r="T22" s="235"/>
    </row>
    <row r="23" spans="2:21" s="74" customFormat="1" ht="17" customHeight="1" x14ac:dyDescent="0.15">
      <c r="B23" s="135" t="s">
        <v>120</v>
      </c>
      <c r="C23" s="100">
        <f>1/C22*360</f>
        <v>90</v>
      </c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230"/>
      <c r="Q23" s="223"/>
      <c r="T23" s="235"/>
    </row>
    <row r="24" spans="2:21" s="74" customFormat="1" ht="17" customHeight="1" x14ac:dyDescent="0.15">
      <c r="B24" s="135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230"/>
      <c r="Q24" s="223"/>
      <c r="T24" s="235"/>
    </row>
    <row r="25" spans="2:21" s="74" customFormat="1" ht="23" customHeight="1" x14ac:dyDescent="0.15">
      <c r="B25" s="135" t="s">
        <v>117</v>
      </c>
      <c r="C25" s="239">
        <f>+C21</f>
        <v>11000</v>
      </c>
      <c r="D25" s="224">
        <f>+C27</f>
        <v>11401.657185339744</v>
      </c>
      <c r="E25" s="224">
        <f t="shared" ref="E25:N25" si="3">+D27</f>
        <v>11579.808078860689</v>
      </c>
      <c r="F25" s="224">
        <f t="shared" si="3"/>
        <v>11401.657185339765</v>
      </c>
      <c r="G25" s="224">
        <f t="shared" si="3"/>
        <v>11579.808078860695</v>
      </c>
      <c r="H25" s="224">
        <f t="shared" si="3"/>
        <v>10342.064669320549</v>
      </c>
      <c r="I25" s="224">
        <f t="shared" si="3"/>
        <v>10974.404586328095</v>
      </c>
      <c r="J25" s="224">
        <f t="shared" si="3"/>
        <v>11056.744503335645</v>
      </c>
      <c r="K25" s="224">
        <f t="shared" si="3"/>
        <v>11401.657185339764</v>
      </c>
      <c r="L25" s="224">
        <f t="shared" si="3"/>
        <v>10490.80407904546</v>
      </c>
      <c r="M25" s="224">
        <f t="shared" si="3"/>
        <v>11094.401272552666</v>
      </c>
      <c r="N25" s="224">
        <f t="shared" si="3"/>
        <v>11697.998466059871</v>
      </c>
      <c r="O25" s="152"/>
      <c r="Q25" s="271">
        <f>+N27</f>
        <v>11492.911148063989</v>
      </c>
      <c r="T25" s="235"/>
    </row>
    <row r="26" spans="2:21" s="74" customFormat="1" ht="23" customHeight="1" x14ac:dyDescent="0.15">
      <c r="B26" s="232" t="s">
        <v>124</v>
      </c>
      <c r="C26" s="224">
        <f>QUANTITÀ!B18</f>
        <v>3206.7160833768021</v>
      </c>
      <c r="D26" s="224">
        <f>QUANTITÀ!C18</f>
        <v>3563.0178704186692</v>
      </c>
      <c r="E26" s="224">
        <f>QUANTITÀ!D18</f>
        <v>4097.4705509814694</v>
      </c>
      <c r="F26" s="224">
        <f>QUANTITÀ!E18</f>
        <v>3741.1687639396023</v>
      </c>
      <c r="G26" s="224">
        <f>QUANTITÀ!F18</f>
        <v>3741.1687639396023</v>
      </c>
      <c r="H26" s="224">
        <f>QUANTITÀ!G18</f>
        <v>3919.3196574605354</v>
      </c>
      <c r="I26" s="224">
        <f>QUANTITÀ!H18</f>
        <v>3919.3196574605354</v>
      </c>
      <c r="J26" s="224">
        <f>QUANTITÀ!I18</f>
        <v>2137.8107222512012</v>
      </c>
      <c r="K26" s="224">
        <f>QUANTITÀ!J18</f>
        <v>3919.3196574605354</v>
      </c>
      <c r="L26" s="224">
        <f>QUANTITÀ!K18</f>
        <v>3741.1687639396023</v>
      </c>
      <c r="M26" s="224">
        <f>QUANTITÀ!L18</f>
        <v>3741.1687639396023</v>
      </c>
      <c r="N26" s="224">
        <f>QUANTITÀ!M18</f>
        <v>2137.8107222512012</v>
      </c>
      <c r="O26" s="152">
        <f>SUM(C26:N26)</f>
        <v>41865.459977419363</v>
      </c>
      <c r="Q26" s="236">
        <f>QUANTITÀ!P18</f>
        <v>3391.3508305762525</v>
      </c>
      <c r="R26" s="227">
        <f>QUANTITÀ!Q18</f>
        <v>3768.1675895291692</v>
      </c>
      <c r="S26" s="227">
        <f>QUANTITÀ!R18</f>
        <v>4333.392727958545</v>
      </c>
      <c r="T26" s="277">
        <f>QUANTITÀ!S18</f>
        <v>3956.5759690056279</v>
      </c>
      <c r="U26" s="227"/>
    </row>
    <row r="27" spans="2:21" s="74" customFormat="1" ht="23" customHeight="1" thickBot="1" x14ac:dyDescent="0.2">
      <c r="B27" s="232" t="s">
        <v>122</v>
      </c>
      <c r="C27" s="224">
        <f>+C25-C26+C28</f>
        <v>11401.657185339744</v>
      </c>
      <c r="D27" s="224">
        <f t="shared" ref="D27" si="4">+D25-D26+D28</f>
        <v>11579.808078860689</v>
      </c>
      <c r="E27" s="224">
        <f t="shared" ref="E27" si="5">+E25-E26+E28</f>
        <v>11401.657185339765</v>
      </c>
      <c r="F27" s="224">
        <f t="shared" ref="F27" si="6">+F25-F26+F28</f>
        <v>11579.808078860695</v>
      </c>
      <c r="G27" s="224">
        <f t="shared" ref="G27" si="7">+G25-G26+G28</f>
        <v>10342.064669320549</v>
      </c>
      <c r="H27" s="224">
        <f t="shared" ref="H27" si="8">+H25-H26+H28</f>
        <v>10974.404586328095</v>
      </c>
      <c r="I27" s="224">
        <f t="shared" ref="I27" si="9">+I25-I26+I28</f>
        <v>11056.744503335645</v>
      </c>
      <c r="J27" s="224">
        <f t="shared" ref="J27" si="10">+J25-J26+J28</f>
        <v>11401.657185339764</v>
      </c>
      <c r="K27" s="224">
        <f t="shared" ref="K27" si="11">+K25-K26+K28</f>
        <v>10490.80407904546</v>
      </c>
      <c r="L27" s="224">
        <f t="shared" ref="L27" si="12">+L25-L26+L28</f>
        <v>11094.401272552666</v>
      </c>
      <c r="M27" s="224">
        <f t="shared" ref="M27" si="13">+M25-M26+M28</f>
        <v>11697.998466059871</v>
      </c>
      <c r="N27" s="224">
        <f t="shared" ref="N27" si="14">+N25-N26+N28</f>
        <v>11492.911148063989</v>
      </c>
      <c r="O27" s="152"/>
      <c r="Q27" s="236">
        <f>(R26+S26+T26)</f>
        <v>12058.136286493342</v>
      </c>
      <c r="T27" s="235"/>
    </row>
    <row r="28" spans="2:21" s="74" customFormat="1" ht="19" customHeight="1" thickBot="1" x14ac:dyDescent="0.2">
      <c r="B28" s="233" t="s">
        <v>123</v>
      </c>
      <c r="C28" s="367">
        <v>3608.3732687165466</v>
      </c>
      <c r="D28" s="367">
        <v>3741.1687639396141</v>
      </c>
      <c r="E28" s="367">
        <v>3919.3196574605463</v>
      </c>
      <c r="F28" s="367">
        <v>3919.3196574605317</v>
      </c>
      <c r="G28" s="367">
        <v>2503.4253543994564</v>
      </c>
      <c r="H28" s="367">
        <v>4551.6595744680817</v>
      </c>
      <c r="I28" s="367">
        <v>4001.6595744680844</v>
      </c>
      <c r="J28" s="367">
        <v>2482.7234042553191</v>
      </c>
      <c r="K28" s="367">
        <v>3008.4665511662315</v>
      </c>
      <c r="L28" s="367">
        <v>4344.765957446808</v>
      </c>
      <c r="M28" s="367">
        <v>4344.765957446808</v>
      </c>
      <c r="N28" s="367">
        <v>1932.7234042553191</v>
      </c>
      <c r="O28" s="238">
        <f>SUM(C28:N28)</f>
        <v>42358.37112548334</v>
      </c>
      <c r="Q28" s="272">
        <f t="shared" ref="Q28" si="15">Q27-Q25+Q26</f>
        <v>3956.5759690056047</v>
      </c>
      <c r="R28" s="273"/>
      <c r="S28" s="273"/>
      <c r="T28" s="274"/>
    </row>
    <row r="29" spans="2:21" s="74" customFormat="1" ht="17" customHeight="1" x14ac:dyDescent="0.15"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</row>
    <row r="30" spans="2:21" ht="17" customHeight="1" x14ac:dyDescent="0.15">
      <c r="B30" s="292"/>
    </row>
  </sheetData>
  <mergeCells count="4">
    <mergeCell ref="C5:O5"/>
    <mergeCell ref="Q5:T5"/>
    <mergeCell ref="C18:O18"/>
    <mergeCell ref="Q18:T18"/>
  </mergeCells>
  <pageMargins left="0.25" right="0.25" top="0.75" bottom="0.75" header="0.3" footer="0.3"/>
  <pageSetup paperSize="9" scale="54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7007851EFCF942AE4CBDCC8CDD254B" ma:contentTypeVersion="19" ma:contentTypeDescription="Creare un nuovo documento." ma:contentTypeScope="" ma:versionID="0af55ce90be9bd9eef0eedcf9903192c">
  <xsd:schema xmlns:xsd="http://www.w3.org/2001/XMLSchema" xmlns:xs="http://www.w3.org/2001/XMLSchema" xmlns:p="http://schemas.microsoft.com/office/2006/metadata/properties" xmlns:ns2="319472de-1d3c-4843-a956-f9f5cc4d2e90" xmlns:ns3="217686c3-c55b-4707-b33a-46d6e4dba578" targetNamespace="http://schemas.microsoft.com/office/2006/metadata/properties" ma:root="true" ma:fieldsID="cfda77b62831cf17bc74b4ed6303dff6" ns2:_="" ns3:_="">
    <xsd:import namespace="319472de-1d3c-4843-a956-f9f5cc4d2e90"/>
    <xsd:import namespace="217686c3-c55b-4707-b33a-46d6e4dba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472de-1d3c-4843-a956-f9f5cc4d2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1043bfa3-ab0e-40a1-8638-70d8e4c142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686c3-c55b-4707-b33a-46d6e4dba5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c959d57-932c-4b93-9c1b-c90f76c5f68c}" ma:internalName="TaxCatchAll" ma:showField="CatchAllData" ma:web="217686c3-c55b-4707-b33a-46d6e4dba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7686c3-c55b-4707-b33a-46d6e4dba578" xsi:nil="true"/>
    <lcf76f155ced4ddcb4097134ff3c332f xmlns="319472de-1d3c-4843-a956-f9f5cc4d2e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C6DF4E-ADB0-4583-A946-EABB2FE7A0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A8E5C8-CA04-43F3-A836-4CC634C5B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9472de-1d3c-4843-a956-f9f5cc4d2e90"/>
    <ds:schemaRef ds:uri="217686c3-c55b-4707-b33a-46d6e4dba5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F5B540-81FC-4352-878E-2819DA1527C6}">
  <ds:schemaRefs>
    <ds:schemaRef ds:uri="http://schemas.microsoft.com/office/infopath/2007/PartnerControls"/>
    <ds:schemaRef ds:uri="http://purl.org/dc/dcmitype/"/>
    <ds:schemaRef ds:uri="319472de-1d3c-4843-a956-f9f5cc4d2e90"/>
    <ds:schemaRef ds:uri="http://schemas.microsoft.com/office/2006/documentManagement/types"/>
    <ds:schemaRef ds:uri="http://www.w3.org/XML/1998/namespace"/>
    <ds:schemaRef ds:uri="http://purl.org/dc/elements/1.1/"/>
    <ds:schemaRef ds:uri="217686c3-c55b-4707-b33a-46d6e4dba578"/>
    <ds:schemaRef ds:uri="http://schemas.microsoft.com/office/2006/metadata/properties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20</vt:i4>
      </vt:variant>
    </vt:vector>
  </HeadingPairs>
  <TitlesOfParts>
    <vt:vector size="20" baseType="lpstr">
      <vt:lpstr>Tab 0</vt:lpstr>
      <vt:lpstr>Tab 1</vt:lpstr>
      <vt:lpstr>Tab 2</vt:lpstr>
      <vt:lpstr>Tab 3</vt:lpstr>
      <vt:lpstr>QUANTITÀ</vt:lpstr>
      <vt:lpstr>PREZZI</vt:lpstr>
      <vt:lpstr>MOLLE</vt:lpstr>
      <vt:lpstr>POLIUR</vt:lpstr>
      <vt:lpstr>Tab 4 v2</vt:lpstr>
      <vt:lpstr>All. 1</vt:lpstr>
      <vt:lpstr>All. 2</vt:lpstr>
      <vt:lpstr>All. 3</vt:lpstr>
      <vt:lpstr>Tab. 5</vt:lpstr>
      <vt:lpstr>Tab. 6</vt:lpstr>
      <vt:lpstr>All. 4-5-6</vt:lpstr>
      <vt:lpstr>Distinta base aggiornata</vt:lpstr>
      <vt:lpstr>Tab. 7</vt:lpstr>
      <vt:lpstr>Tab. 8</vt:lpstr>
      <vt:lpstr>Tab. 9</vt:lpstr>
      <vt:lpstr>Tab.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01) Mozart vendite</dc:title>
  <dc:subject>budget vendite- provv - costo vend - premi</dc:subject>
  <dc:creator>barbara</dc:creator>
  <cp:lastModifiedBy>Federica Marini</cp:lastModifiedBy>
  <cp:lastPrinted>2022-03-21T18:18:28Z</cp:lastPrinted>
  <dcterms:created xsi:type="dcterms:W3CDTF">2004-01-02T13:31:21Z</dcterms:created>
  <dcterms:modified xsi:type="dcterms:W3CDTF">2026-05-12T08:19:13Z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0x010100337007851EFCF942AE4CBDCC8CDD254B</vt:lpwstr>
  </property>
  <property fmtid="{D5CDD505-2E9C-101B-9397-08002B2CF9AE}" pid="3" name="MediaServiceImageTags">
    <vt:lpwstr/>
  </property>
</Properties>
</file>