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codeName="Questa_cartella_di_lavoro" autoCompressPictures="0"/>
  <mc:AlternateContent xmlns:mc="http://schemas.openxmlformats.org/markup-compatibility/2006">
    <mc:Choice Requires="x15">
      <x15ac:absPath xmlns:x15ac="http://schemas.microsoft.com/office/spreadsheetml/2010/11/ac" url="https://dnksrlit.sharepoint.com/sites/RepositoryDocumentale/Documenti condivisi/FM/FM_1_Formazione/Progetto Libro Programmazione e Controllo/Caso Mozart/Caso Mozart NEW/"/>
    </mc:Choice>
  </mc:AlternateContent>
  <xr:revisionPtr revIDLastSave="2349" documentId="13_ncr:1_{E736DC45-4CA5-5345-BD10-1045D28380A8}" xr6:coauthVersionLast="47" xr6:coauthVersionMax="47" xr10:uidLastSave="{F7DD75E2-68AB-E841-924D-EA2325D5FCCB}"/>
  <bookViews>
    <workbookView xWindow="0" yWindow="600" windowWidth="35840" windowHeight="20220" tabRatio="704" firstSheet="10" activeTab="29" xr2:uid="{00000000-000D-0000-FFFF-FFFF00000000}"/>
  </bookViews>
  <sheets>
    <sheet name="Tab 0" sheetId="85" r:id="rId1"/>
    <sheet name="Tab 1" sheetId="86" r:id="rId2"/>
    <sheet name="Tab 2" sheetId="87" r:id="rId3"/>
    <sheet name="Tab 3" sheetId="51" r:id="rId4"/>
    <sheet name="QUANTITÀ" sheetId="52" r:id="rId5"/>
    <sheet name="PREZZI" sheetId="77" r:id="rId6"/>
    <sheet name="MOLLE" sheetId="53" r:id="rId7"/>
    <sheet name="POLIUR" sheetId="54" r:id="rId8"/>
    <sheet name="Tab 4 v2" sheetId="89" r:id="rId9"/>
    <sheet name="All. 1" sheetId="99" r:id="rId10"/>
    <sheet name="All. 2" sheetId="102" r:id="rId11"/>
    <sheet name="All. 3" sheetId="100" r:id="rId12"/>
    <sheet name="Tab. 5" sheetId="103" r:id="rId13"/>
    <sheet name="Tab. 6" sheetId="104" r:id="rId14"/>
    <sheet name="All. 4-5-6" sheetId="91" r:id="rId15"/>
    <sheet name="Distinta base agg" sheetId="56" r:id="rId16"/>
    <sheet name="Tab.7" sheetId="136" r:id="rId17"/>
    <sheet name="Tab. 8" sheetId="90" r:id="rId18"/>
    <sheet name="Tab. 9" sheetId="92" r:id="rId19"/>
    <sheet name="Tab. 10" sheetId="93" r:id="rId20"/>
    <sheet name="Tab. 11" sheetId="105" r:id="rId21"/>
    <sheet name="Tab 12" sheetId="138" r:id="rId22"/>
    <sheet name="All. 7" sheetId="94" r:id="rId23"/>
    <sheet name="Tab. 13" sheetId="95" r:id="rId24"/>
    <sheet name="Tab. 14" sheetId="96" r:id="rId25"/>
    <sheet name="Tab. 15" sheetId="140" r:id="rId26"/>
    <sheet name="All. 9" sheetId="97" r:id="rId27"/>
    <sheet name="All. 10" sheetId="98" r:id="rId28"/>
    <sheet name="Tab. 16" sheetId="139" r:id="rId29"/>
    <sheet name="Tab. 17" sheetId="106" r:id="rId30"/>
    <sheet name="Mens costi industriali DIR" sheetId="132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106" l="1"/>
  <c r="F9" i="106"/>
  <c r="E9" i="106"/>
  <c r="C27" i="106"/>
  <c r="C20" i="106"/>
  <c r="C22" i="106"/>
  <c r="D25" i="103"/>
  <c r="D28" i="103"/>
  <c r="D27" i="103"/>
  <c r="N28" i="103"/>
  <c r="D17" i="103"/>
  <c r="D37" i="103"/>
  <c r="C8" i="96"/>
  <c r="C30" i="106" l="1"/>
  <c r="C31" i="106"/>
  <c r="C29" i="106"/>
  <c r="C16" i="106"/>
  <c r="E29" i="86"/>
  <c r="F29" i="86"/>
  <c r="F27" i="86"/>
  <c r="E27" i="86"/>
  <c r="D27" i="86"/>
  <c r="D29" i="86"/>
  <c r="C27" i="139"/>
  <c r="G27" i="139" s="1"/>
  <c r="C28" i="139"/>
  <c r="G28" i="139" s="1"/>
  <c r="C29" i="139"/>
  <c r="G29" i="139" s="1"/>
  <c r="C30" i="139"/>
  <c r="G30" i="139" s="1"/>
  <c r="C31" i="139"/>
  <c r="G31" i="139" s="1"/>
  <c r="C32" i="139"/>
  <c r="G32" i="139" s="1"/>
  <c r="C26" i="139"/>
  <c r="G26" i="139" s="1"/>
  <c r="C23" i="139"/>
  <c r="G23" i="139" s="1"/>
  <c r="C24" i="139"/>
  <c r="G24" i="139" s="1"/>
  <c r="C25" i="139"/>
  <c r="G25" i="139" s="1"/>
  <c r="C22" i="139"/>
  <c r="G22" i="139" s="1"/>
  <c r="C19" i="139"/>
  <c r="G19" i="139" s="1"/>
  <c r="C20" i="139"/>
  <c r="G20" i="139" s="1"/>
  <c r="C18" i="139"/>
  <c r="G18" i="139" s="1"/>
  <c r="C17" i="139"/>
  <c r="C16" i="139"/>
  <c r="I41" i="98"/>
  <c r="D15" i="140"/>
  <c r="C13" i="140"/>
  <c r="D9" i="140"/>
  <c r="C9" i="140"/>
  <c r="C21" i="139"/>
  <c r="C14" i="139"/>
  <c r="G14" i="139" s="1"/>
  <c r="F13" i="139"/>
  <c r="E13" i="139"/>
  <c r="C13" i="139"/>
  <c r="C12" i="139"/>
  <c r="G12" i="139" s="1"/>
  <c r="C11" i="139"/>
  <c r="G11" i="139" s="1"/>
  <c r="C10" i="139"/>
  <c r="G10" i="139" s="1"/>
  <c r="C15" i="139" l="1"/>
  <c r="G15" i="139" s="1"/>
  <c r="G13" i="139"/>
  <c r="E9" i="140"/>
  <c r="G16" i="139"/>
  <c r="O13" i="96"/>
  <c r="O108" i="96"/>
  <c r="N107" i="96"/>
  <c r="N109" i="96" s="1"/>
  <c r="M107" i="96"/>
  <c r="M109" i="96" s="1"/>
  <c r="L107" i="96"/>
  <c r="L109" i="96" s="1"/>
  <c r="K107" i="96"/>
  <c r="K109" i="96" s="1"/>
  <c r="J107" i="96"/>
  <c r="J109" i="96" s="1"/>
  <c r="I107" i="96"/>
  <c r="I109" i="96" s="1"/>
  <c r="H107" i="96"/>
  <c r="H109" i="96" s="1"/>
  <c r="G107" i="96"/>
  <c r="G109" i="96" s="1"/>
  <c r="F107" i="96"/>
  <c r="F109" i="96" s="1"/>
  <c r="E107" i="96"/>
  <c r="E109" i="96" s="1"/>
  <c r="D107" i="96"/>
  <c r="D109" i="96" s="1"/>
  <c r="C107" i="96"/>
  <c r="C109" i="96" s="1"/>
  <c r="O106" i="96"/>
  <c r="O105" i="96"/>
  <c r="N18" i="138"/>
  <c r="M18" i="138"/>
  <c r="L18" i="138"/>
  <c r="K18" i="138"/>
  <c r="J18" i="138"/>
  <c r="I18" i="138"/>
  <c r="H18" i="138"/>
  <c r="G18" i="138"/>
  <c r="F18" i="138"/>
  <c r="E18" i="138"/>
  <c r="D18" i="138"/>
  <c r="O9" i="138"/>
  <c r="N6" i="138"/>
  <c r="M6" i="138"/>
  <c r="L6" i="138"/>
  <c r="K6" i="138"/>
  <c r="J6" i="138"/>
  <c r="I6" i="138"/>
  <c r="H6" i="138"/>
  <c r="G6" i="138"/>
  <c r="F6" i="138"/>
  <c r="E6" i="138"/>
  <c r="D6" i="138"/>
  <c r="C6" i="138"/>
  <c r="V13" i="95"/>
  <c r="E48" i="95"/>
  <c r="V32" i="95"/>
  <c r="V36" i="95" s="1"/>
  <c r="V31" i="95"/>
  <c r="W31" i="95"/>
  <c r="X31" i="95"/>
  <c r="Y31" i="95"/>
  <c r="Y35" i="95"/>
  <c r="X35" i="95"/>
  <c r="W35" i="95"/>
  <c r="V35" i="95"/>
  <c r="Y34" i="95"/>
  <c r="X34" i="95"/>
  <c r="W34" i="95"/>
  <c r="V34" i="95"/>
  <c r="Y33" i="95"/>
  <c r="X33" i="95"/>
  <c r="W33" i="95"/>
  <c r="V33" i="95"/>
  <c r="Y28" i="95"/>
  <c r="X28" i="95"/>
  <c r="W28" i="95"/>
  <c r="V28" i="95"/>
  <c r="Y27" i="95"/>
  <c r="X27" i="95"/>
  <c r="W27" i="95"/>
  <c r="V27" i="95"/>
  <c r="Y26" i="95"/>
  <c r="X26" i="95"/>
  <c r="W26" i="95"/>
  <c r="V26" i="95"/>
  <c r="Y25" i="95"/>
  <c r="X25" i="95"/>
  <c r="W25" i="95"/>
  <c r="V25" i="95"/>
  <c r="Y22" i="95"/>
  <c r="X22" i="95"/>
  <c r="W22" i="95"/>
  <c r="V22" i="95"/>
  <c r="Y21" i="95"/>
  <c r="X21" i="95"/>
  <c r="W21" i="95"/>
  <c r="V21" i="95"/>
  <c r="Y20" i="95"/>
  <c r="X20" i="95"/>
  <c r="W20" i="95"/>
  <c r="V20" i="95"/>
  <c r="Y19" i="95"/>
  <c r="X19" i="95"/>
  <c r="W19" i="95"/>
  <c r="V19" i="95"/>
  <c r="Y18" i="95"/>
  <c r="X18" i="95"/>
  <c r="W18" i="95"/>
  <c r="V18" i="95"/>
  <c r="Y17" i="95"/>
  <c r="X17" i="95"/>
  <c r="W17" i="95"/>
  <c r="V17" i="95"/>
  <c r="Y16" i="95"/>
  <c r="X16" i="95"/>
  <c r="W16" i="95"/>
  <c r="V16" i="95"/>
  <c r="W9" i="95"/>
  <c r="X9" i="95"/>
  <c r="Y9" i="95"/>
  <c r="W10" i="95"/>
  <c r="X10" i="95"/>
  <c r="Y10" i="95"/>
  <c r="Y8" i="95"/>
  <c r="X8" i="95"/>
  <c r="W8" i="95"/>
  <c r="V9" i="95"/>
  <c r="V10" i="95"/>
  <c r="V8" i="95"/>
  <c r="AA6" i="95"/>
  <c r="X6" i="95"/>
  <c r="Y6" i="95"/>
  <c r="W6" i="95"/>
  <c r="V6" i="95"/>
  <c r="V29" i="95"/>
  <c r="V23" i="95"/>
  <c r="V14" i="95"/>
  <c r="V11" i="95"/>
  <c r="D46" i="103"/>
  <c r="E46" i="103"/>
  <c r="F46" i="103"/>
  <c r="G46" i="103"/>
  <c r="H46" i="103"/>
  <c r="I46" i="103"/>
  <c r="J46" i="103"/>
  <c r="K46" i="103"/>
  <c r="L46" i="103"/>
  <c r="M46" i="103"/>
  <c r="N46" i="103"/>
  <c r="C46" i="103"/>
  <c r="D44" i="103"/>
  <c r="E44" i="103"/>
  <c r="F44" i="103"/>
  <c r="G44" i="103"/>
  <c r="H44" i="103"/>
  <c r="I44" i="103"/>
  <c r="J44" i="103"/>
  <c r="K44" i="103"/>
  <c r="L44" i="103"/>
  <c r="M44" i="103"/>
  <c r="N44" i="103"/>
  <c r="C44" i="103"/>
  <c r="C15" i="103"/>
  <c r="L12" i="103"/>
  <c r="M12" i="103"/>
  <c r="N12" i="103"/>
  <c r="L14" i="103"/>
  <c r="M14" i="103"/>
  <c r="N14" i="103"/>
  <c r="D12" i="103"/>
  <c r="E12" i="103"/>
  <c r="F12" i="103"/>
  <c r="G12" i="103"/>
  <c r="H12" i="103"/>
  <c r="I12" i="103"/>
  <c r="J12" i="103"/>
  <c r="K12" i="103"/>
  <c r="D14" i="103"/>
  <c r="E14" i="103"/>
  <c r="F14" i="103"/>
  <c r="G14" i="103"/>
  <c r="H14" i="103"/>
  <c r="I14" i="103"/>
  <c r="J14" i="103"/>
  <c r="K14" i="103"/>
  <c r="C14" i="103"/>
  <c r="C12" i="103"/>
  <c r="O9" i="96"/>
  <c r="D8" i="96"/>
  <c r="D13" i="103" s="1"/>
  <c r="D45" i="103" l="1"/>
  <c r="D10" i="96"/>
  <c r="O107" i="96"/>
  <c r="O109" i="96" s="1"/>
  <c r="O46" i="103"/>
  <c r="O14" i="103"/>
  <c r="O6" i="138"/>
  <c r="V38" i="95"/>
  <c r="C52" i="92"/>
  <c r="D22" i="136"/>
  <c r="D24" i="136" s="1"/>
  <c r="D30" i="136" s="1"/>
  <c r="D48" i="136" s="1"/>
  <c r="E22" i="136"/>
  <c r="E28" i="136" s="1"/>
  <c r="E34" i="136" s="1"/>
  <c r="E46" i="136" s="1"/>
  <c r="F22" i="136"/>
  <c r="F25" i="136" s="1"/>
  <c r="F31" i="136" s="1"/>
  <c r="F47" i="136" s="1"/>
  <c r="G22" i="136"/>
  <c r="G25" i="136" s="1"/>
  <c r="G31" i="136" s="1"/>
  <c r="G47" i="136" s="1"/>
  <c r="H22" i="136"/>
  <c r="H25" i="136" s="1"/>
  <c r="H31" i="136" s="1"/>
  <c r="H47" i="136" s="1"/>
  <c r="I22" i="136"/>
  <c r="I25" i="136" s="1"/>
  <c r="I31" i="136" s="1"/>
  <c r="I47" i="136" s="1"/>
  <c r="J22" i="136"/>
  <c r="J25" i="136" s="1"/>
  <c r="J31" i="136" s="1"/>
  <c r="J47" i="136" s="1"/>
  <c r="K22" i="136"/>
  <c r="K26" i="136" s="1"/>
  <c r="K32" i="136" s="1"/>
  <c r="L22" i="136"/>
  <c r="L26" i="136" s="1"/>
  <c r="L32" i="136" s="1"/>
  <c r="M22" i="136"/>
  <c r="M26" i="136" s="1"/>
  <c r="M32" i="136" s="1"/>
  <c r="N22" i="136"/>
  <c r="N26" i="136" s="1"/>
  <c r="N32" i="136" s="1"/>
  <c r="O10" i="136"/>
  <c r="D5" i="136"/>
  <c r="D7" i="136" s="1"/>
  <c r="D11" i="136" s="1"/>
  <c r="D45" i="136" s="1"/>
  <c r="E5" i="136"/>
  <c r="E7" i="136" s="1"/>
  <c r="E11" i="136" s="1"/>
  <c r="E45" i="136" s="1"/>
  <c r="F5" i="136"/>
  <c r="G5" i="136"/>
  <c r="G8" i="136" s="1"/>
  <c r="G12" i="136" s="1"/>
  <c r="G42" i="136" s="1"/>
  <c r="H5" i="136"/>
  <c r="H9" i="136" s="1"/>
  <c r="H13" i="136" s="1"/>
  <c r="I5" i="136"/>
  <c r="I9" i="136" s="1"/>
  <c r="I13" i="136" s="1"/>
  <c r="J5" i="136"/>
  <c r="J9" i="136" s="1"/>
  <c r="J13" i="136" s="1"/>
  <c r="K5" i="136"/>
  <c r="K9" i="136" s="1"/>
  <c r="K13" i="136" s="1"/>
  <c r="L5" i="136"/>
  <c r="L9" i="136" s="1"/>
  <c r="L13" i="136" s="1"/>
  <c r="M5" i="136"/>
  <c r="N5" i="136"/>
  <c r="N7" i="136" s="1"/>
  <c r="N11" i="136" s="1"/>
  <c r="N45" i="136" s="1"/>
  <c r="C5" i="136"/>
  <c r="C7" i="136" s="1"/>
  <c r="C11" i="136" s="1"/>
  <c r="C45" i="136" s="1"/>
  <c r="Q7" i="86"/>
  <c r="D34" i="104"/>
  <c r="E34" i="104"/>
  <c r="F34" i="104"/>
  <c r="G34" i="104"/>
  <c r="H34" i="104"/>
  <c r="I34" i="104"/>
  <c r="J34" i="104"/>
  <c r="K34" i="104"/>
  <c r="L34" i="104"/>
  <c r="M34" i="104"/>
  <c r="N34" i="104"/>
  <c r="C34" i="104"/>
  <c r="D12" i="104"/>
  <c r="E12" i="104"/>
  <c r="F12" i="104"/>
  <c r="G12" i="104"/>
  <c r="H12" i="104"/>
  <c r="I12" i="104"/>
  <c r="J12" i="104"/>
  <c r="K12" i="104"/>
  <c r="L12" i="104"/>
  <c r="M12" i="104"/>
  <c r="N12" i="104"/>
  <c r="C12" i="104"/>
  <c r="C8" i="136" l="1"/>
  <c r="C12" i="136" s="1"/>
  <c r="C42" i="136" s="1"/>
  <c r="L43" i="136"/>
  <c r="N9" i="136"/>
  <c r="N13" i="136" s="1"/>
  <c r="N43" i="136" s="1"/>
  <c r="C9" i="136"/>
  <c r="C13" i="136" s="1"/>
  <c r="C14" i="136" s="1"/>
  <c r="C16" i="136" s="1"/>
  <c r="K43" i="136"/>
  <c r="E25" i="136"/>
  <c r="E31" i="136" s="1"/>
  <c r="E47" i="136" s="1"/>
  <c r="N24" i="136"/>
  <c r="N30" i="136" s="1"/>
  <c r="N48" i="136" s="1"/>
  <c r="I27" i="136"/>
  <c r="I33" i="136" s="1"/>
  <c r="I44" i="136" s="1"/>
  <c r="J27" i="136"/>
  <c r="J33" i="136" s="1"/>
  <c r="J44" i="136" s="1"/>
  <c r="H27" i="136"/>
  <c r="H33" i="136" s="1"/>
  <c r="H44" i="136" s="1"/>
  <c r="I24" i="136"/>
  <c r="I30" i="136" s="1"/>
  <c r="I48" i="136" s="1"/>
  <c r="L27" i="136"/>
  <c r="L33" i="136" s="1"/>
  <c r="L44" i="136" s="1"/>
  <c r="K27" i="136"/>
  <c r="K33" i="136" s="1"/>
  <c r="K44" i="136" s="1"/>
  <c r="J24" i="136"/>
  <c r="J30" i="136" s="1"/>
  <c r="J48" i="136" s="1"/>
  <c r="G27" i="136"/>
  <c r="G33" i="136" s="1"/>
  <c r="G44" i="136" s="1"/>
  <c r="F27" i="136"/>
  <c r="F33" i="136" s="1"/>
  <c r="F44" i="136" s="1"/>
  <c r="F26" i="136"/>
  <c r="F32" i="136" s="1"/>
  <c r="M27" i="136"/>
  <c r="M33" i="136" s="1"/>
  <c r="M44" i="136" s="1"/>
  <c r="K24" i="136"/>
  <c r="K30" i="136" s="1"/>
  <c r="K48" i="136" s="1"/>
  <c r="H24" i="136"/>
  <c r="H30" i="136" s="1"/>
  <c r="H48" i="136" s="1"/>
  <c r="E27" i="136"/>
  <c r="E33" i="136" s="1"/>
  <c r="E44" i="136" s="1"/>
  <c r="J26" i="136"/>
  <c r="J32" i="136" s="1"/>
  <c r="J43" i="136" s="1"/>
  <c r="I26" i="136"/>
  <c r="I32" i="136" s="1"/>
  <c r="I43" i="136" s="1"/>
  <c r="M24" i="136"/>
  <c r="M30" i="136" s="1"/>
  <c r="M48" i="136" s="1"/>
  <c r="L24" i="136"/>
  <c r="L30" i="136" s="1"/>
  <c r="L48" i="136" s="1"/>
  <c r="G24" i="136"/>
  <c r="G30" i="136" s="1"/>
  <c r="G48" i="136" s="1"/>
  <c r="F24" i="136"/>
  <c r="F30" i="136" s="1"/>
  <c r="F48" i="136" s="1"/>
  <c r="N8" i="136"/>
  <c r="N12" i="136" s="1"/>
  <c r="E24" i="136"/>
  <c r="E30" i="136" s="1"/>
  <c r="E48" i="136" s="1"/>
  <c r="E8" i="136"/>
  <c r="E12" i="136" s="1"/>
  <c r="H26" i="136"/>
  <c r="H32" i="136" s="1"/>
  <c r="H43" i="136" s="1"/>
  <c r="G26" i="136"/>
  <c r="G32" i="136" s="1"/>
  <c r="J28" i="136"/>
  <c r="J34" i="136" s="1"/>
  <c r="J46" i="136" s="1"/>
  <c r="E26" i="136"/>
  <c r="E32" i="136" s="1"/>
  <c r="N27" i="136"/>
  <c r="N33" i="136" s="1"/>
  <c r="N44" i="136" s="1"/>
  <c r="K25" i="136"/>
  <c r="K31" i="136" s="1"/>
  <c r="K47" i="136" s="1"/>
  <c r="D25" i="136"/>
  <c r="D31" i="136" s="1"/>
  <c r="D47" i="136" s="1"/>
  <c r="D26" i="136"/>
  <c r="D32" i="136" s="1"/>
  <c r="D28" i="136"/>
  <c r="F8" i="136"/>
  <c r="F12" i="136" s="1"/>
  <c r="F42" i="136" s="1"/>
  <c r="N28" i="136"/>
  <c r="N34" i="136" s="1"/>
  <c r="N46" i="136" s="1"/>
  <c r="M28" i="136"/>
  <c r="M34" i="136" s="1"/>
  <c r="M46" i="136" s="1"/>
  <c r="D8" i="136"/>
  <c r="D12" i="136" s="1"/>
  <c r="N25" i="136"/>
  <c r="L28" i="136"/>
  <c r="L34" i="136" s="1"/>
  <c r="L46" i="136" s="1"/>
  <c r="M25" i="136"/>
  <c r="M31" i="136" s="1"/>
  <c r="M47" i="136" s="1"/>
  <c r="K28" i="136"/>
  <c r="K34" i="136" s="1"/>
  <c r="K46" i="136" s="1"/>
  <c r="L25" i="136"/>
  <c r="L31" i="136" s="1"/>
  <c r="L47" i="136" s="1"/>
  <c r="I28" i="136"/>
  <c r="I34" i="136" s="1"/>
  <c r="I46" i="136" s="1"/>
  <c r="D27" i="136"/>
  <c r="G9" i="136"/>
  <c r="G13" i="136" s="1"/>
  <c r="H28" i="136"/>
  <c r="H34" i="136" s="1"/>
  <c r="H46" i="136" s="1"/>
  <c r="F9" i="136"/>
  <c r="F13" i="136" s="1"/>
  <c r="G28" i="136"/>
  <c r="G34" i="136" s="1"/>
  <c r="G46" i="136" s="1"/>
  <c r="E9" i="136"/>
  <c r="E13" i="136" s="1"/>
  <c r="F28" i="136"/>
  <c r="F34" i="136" s="1"/>
  <c r="F46" i="136" s="1"/>
  <c r="D9" i="136"/>
  <c r="D13" i="136" s="1"/>
  <c r="D43" i="136" s="1"/>
  <c r="L7" i="136"/>
  <c r="L11" i="136" s="1"/>
  <c r="L45" i="136" s="1"/>
  <c r="I7" i="136"/>
  <c r="I11" i="136" s="1"/>
  <c r="I45" i="136" s="1"/>
  <c r="H7" i="136"/>
  <c r="H11" i="136" s="1"/>
  <c r="J7" i="136"/>
  <c r="J11" i="136" s="1"/>
  <c r="J45" i="136" s="1"/>
  <c r="K8" i="136"/>
  <c r="K12" i="136" s="1"/>
  <c r="K42" i="136" s="1"/>
  <c r="M7" i="136"/>
  <c r="M11" i="136" s="1"/>
  <c r="M45" i="136" s="1"/>
  <c r="K7" i="136"/>
  <c r="K11" i="136" s="1"/>
  <c r="K45" i="136" s="1"/>
  <c r="L8" i="136"/>
  <c r="L12" i="136" s="1"/>
  <c r="L42" i="136" s="1"/>
  <c r="O5" i="136"/>
  <c r="M9" i="136"/>
  <c r="M13" i="136" s="1"/>
  <c r="M43" i="136" s="1"/>
  <c r="H8" i="136"/>
  <c r="H12" i="136" s="1"/>
  <c r="H42" i="136" s="1"/>
  <c r="M8" i="136"/>
  <c r="M12" i="136" s="1"/>
  <c r="M42" i="136" s="1"/>
  <c r="G7" i="136"/>
  <c r="G11" i="136" s="1"/>
  <c r="G45" i="136" s="1"/>
  <c r="F7" i="136"/>
  <c r="F11" i="136" s="1"/>
  <c r="J8" i="136"/>
  <c r="J12" i="136" s="1"/>
  <c r="J42" i="136" s="1"/>
  <c r="I8" i="136"/>
  <c r="I12" i="136" s="1"/>
  <c r="I42" i="136" s="1"/>
  <c r="E8" i="96"/>
  <c r="F8" i="96"/>
  <c r="G8" i="96"/>
  <c r="H8" i="96"/>
  <c r="I8" i="96"/>
  <c r="J8" i="96"/>
  <c r="K8" i="96"/>
  <c r="L8" i="96"/>
  <c r="M8" i="96"/>
  <c r="N8" i="96"/>
  <c r="I45" i="103" l="1"/>
  <c r="I13" i="103"/>
  <c r="I10" i="96"/>
  <c r="K45" i="103"/>
  <c r="K10" i="96"/>
  <c r="K13" i="103"/>
  <c r="O8" i="96"/>
  <c r="C10" i="96"/>
  <c r="C13" i="103"/>
  <c r="C45" i="103"/>
  <c r="H45" i="103"/>
  <c r="H10" i="96"/>
  <c r="H13" i="103"/>
  <c r="E13" i="103"/>
  <c r="E10" i="96"/>
  <c r="E45" i="103"/>
  <c r="M10" i="96"/>
  <c r="M45" i="103"/>
  <c r="M13" i="103"/>
  <c r="J45" i="103"/>
  <c r="J13" i="103"/>
  <c r="J10" i="96"/>
  <c r="G10" i="96"/>
  <c r="G13" i="103"/>
  <c r="G45" i="103"/>
  <c r="F13" i="103"/>
  <c r="F10" i="96"/>
  <c r="F45" i="103"/>
  <c r="N10" i="96"/>
  <c r="N13" i="103"/>
  <c r="N45" i="103"/>
  <c r="L10" i="96"/>
  <c r="L45" i="103"/>
  <c r="L13" i="103"/>
  <c r="G43" i="136"/>
  <c r="G49" i="136" s="1"/>
  <c r="I49" i="136"/>
  <c r="E43" i="136"/>
  <c r="F43" i="136"/>
  <c r="N14" i="136"/>
  <c r="N16" i="136" s="1"/>
  <c r="N42" i="136"/>
  <c r="H14" i="136"/>
  <c r="H16" i="136" s="1"/>
  <c r="H45" i="136"/>
  <c r="H49" i="136" s="1"/>
  <c r="L49" i="136"/>
  <c r="F14" i="136"/>
  <c r="F16" i="136" s="1"/>
  <c r="F45" i="136"/>
  <c r="M49" i="136"/>
  <c r="D14" i="136"/>
  <c r="D16" i="136" s="1"/>
  <c r="D42" i="136"/>
  <c r="K49" i="136"/>
  <c r="J49" i="136"/>
  <c r="E14" i="136"/>
  <c r="E16" i="136" s="1"/>
  <c r="E42" i="136"/>
  <c r="H35" i="136"/>
  <c r="H37" i="136" s="1"/>
  <c r="J35" i="136"/>
  <c r="J37" i="136" s="1"/>
  <c r="G35" i="136"/>
  <c r="G14" i="136"/>
  <c r="G16" i="136" s="1"/>
  <c r="K35" i="136"/>
  <c r="K37" i="136" s="1"/>
  <c r="E35" i="136"/>
  <c r="E37" i="136" s="1"/>
  <c r="I14" i="136"/>
  <c r="I16" i="136" s="1"/>
  <c r="F35" i="136"/>
  <c r="L35" i="136"/>
  <c r="L37" i="136" s="1"/>
  <c r="N31" i="136"/>
  <c r="I35" i="136"/>
  <c r="I37" i="136" s="1"/>
  <c r="D34" i="136"/>
  <c r="D46" i="136" s="1"/>
  <c r="M35" i="136"/>
  <c r="M37" i="136" s="1"/>
  <c r="K14" i="136"/>
  <c r="K16" i="136" s="1"/>
  <c r="D33" i="136"/>
  <c r="O12" i="136"/>
  <c r="L14" i="136"/>
  <c r="L16" i="136" s="1"/>
  <c r="O13" i="136"/>
  <c r="G37" i="136"/>
  <c r="O7" i="136"/>
  <c r="O9" i="136"/>
  <c r="O8" i="136"/>
  <c r="O11" i="136"/>
  <c r="M14" i="136"/>
  <c r="M16" i="136" s="1"/>
  <c r="J14" i="136"/>
  <c r="J16" i="136" s="1"/>
  <c r="D23" i="132"/>
  <c r="E23" i="132"/>
  <c r="F23" i="132"/>
  <c r="G23" i="132"/>
  <c r="H23" i="132"/>
  <c r="I23" i="132"/>
  <c r="J23" i="132"/>
  <c r="K23" i="132"/>
  <c r="L23" i="132"/>
  <c r="M23" i="132"/>
  <c r="N23" i="132"/>
  <c r="C23" i="132"/>
  <c r="E11" i="132"/>
  <c r="F11" i="132"/>
  <c r="G11" i="132"/>
  <c r="H11" i="132"/>
  <c r="I11" i="132"/>
  <c r="J11" i="132"/>
  <c r="K11" i="132"/>
  <c r="L11" i="132"/>
  <c r="M11" i="132"/>
  <c r="N11" i="132"/>
  <c r="C11" i="132"/>
  <c r="F9" i="102"/>
  <c r="O23" i="132" l="1"/>
  <c r="O13" i="103"/>
  <c r="O45" i="103"/>
  <c r="E49" i="136"/>
  <c r="F49" i="136"/>
  <c r="O45" i="136"/>
  <c r="N35" i="136"/>
  <c r="N37" i="136" s="1"/>
  <c r="N47" i="136"/>
  <c r="D44" i="136"/>
  <c r="N49" i="136"/>
  <c r="D35" i="136"/>
  <c r="D37" i="136" s="1"/>
  <c r="O14" i="136"/>
  <c r="O16" i="136" s="1"/>
  <c r="F37" i="136"/>
  <c r="J41" i="98"/>
  <c r="D49" i="136" l="1"/>
  <c r="O42" i="136"/>
  <c r="E25" i="87" l="1"/>
  <c r="E20" i="87"/>
  <c r="C17" i="95"/>
  <c r="D17" i="95"/>
  <c r="C12" i="106"/>
  <c r="C8" i="106"/>
  <c r="C12" i="105"/>
  <c r="C8" i="105"/>
  <c r="D37" i="104"/>
  <c r="E37" i="104"/>
  <c r="F37" i="104"/>
  <c r="G37" i="104"/>
  <c r="H37" i="104"/>
  <c r="I37" i="104"/>
  <c r="J37" i="104"/>
  <c r="K37" i="104"/>
  <c r="L37" i="104"/>
  <c r="M37" i="104"/>
  <c r="N37" i="104"/>
  <c r="D38" i="104"/>
  <c r="E38" i="104"/>
  <c r="F38" i="104"/>
  <c r="G38" i="104"/>
  <c r="H38" i="104"/>
  <c r="I38" i="104"/>
  <c r="J38" i="104"/>
  <c r="K38" i="104"/>
  <c r="L38" i="104"/>
  <c r="M38" i="104"/>
  <c r="N38" i="104"/>
  <c r="D39" i="104"/>
  <c r="E39" i="104"/>
  <c r="F39" i="104"/>
  <c r="G39" i="104"/>
  <c r="H39" i="104"/>
  <c r="I39" i="104"/>
  <c r="J39" i="104"/>
  <c r="K39" i="104"/>
  <c r="L39" i="104"/>
  <c r="M39" i="104"/>
  <c r="N39" i="104"/>
  <c r="C39" i="104"/>
  <c r="C38" i="104"/>
  <c r="C37" i="104"/>
  <c r="D35" i="104"/>
  <c r="E35" i="104"/>
  <c r="F35" i="104"/>
  <c r="G35" i="104"/>
  <c r="H35" i="104"/>
  <c r="I35" i="104"/>
  <c r="J35" i="104"/>
  <c r="K35" i="104"/>
  <c r="L35" i="104"/>
  <c r="M35" i="104"/>
  <c r="N35" i="104"/>
  <c r="C35" i="104"/>
  <c r="D17" i="104"/>
  <c r="E17" i="104"/>
  <c r="F17" i="104"/>
  <c r="G17" i="104"/>
  <c r="H17" i="104"/>
  <c r="I17" i="104"/>
  <c r="J17" i="104"/>
  <c r="K17" i="104"/>
  <c r="L17" i="104"/>
  <c r="M17" i="104"/>
  <c r="N17" i="104"/>
  <c r="C17" i="104"/>
  <c r="D16" i="104"/>
  <c r="E16" i="104"/>
  <c r="F16" i="104"/>
  <c r="G16" i="104"/>
  <c r="H16" i="104"/>
  <c r="I16" i="104"/>
  <c r="J16" i="104"/>
  <c r="K16" i="104"/>
  <c r="L16" i="104"/>
  <c r="M16" i="104"/>
  <c r="N16" i="104"/>
  <c r="C16" i="104"/>
  <c r="D15" i="104"/>
  <c r="E15" i="104"/>
  <c r="F15" i="104"/>
  <c r="G15" i="104"/>
  <c r="H15" i="104"/>
  <c r="I15" i="104"/>
  <c r="J15" i="104"/>
  <c r="K15" i="104"/>
  <c r="L15" i="104"/>
  <c r="M15" i="104"/>
  <c r="N15" i="104"/>
  <c r="C15" i="104"/>
  <c r="N36" i="104"/>
  <c r="I36" i="104"/>
  <c r="O36" i="104" s="1"/>
  <c r="D13" i="104"/>
  <c r="E13" i="104"/>
  <c r="F13" i="104"/>
  <c r="G13" i="104"/>
  <c r="H13" i="104"/>
  <c r="I13" i="104"/>
  <c r="J13" i="104"/>
  <c r="K13" i="104"/>
  <c r="L13" i="104"/>
  <c r="M13" i="104"/>
  <c r="N13" i="104"/>
  <c r="C13" i="104"/>
  <c r="O47" i="104"/>
  <c r="N31" i="104"/>
  <c r="N32" i="104" s="1"/>
  <c r="M31" i="104"/>
  <c r="M32" i="104" s="1"/>
  <c r="L31" i="104"/>
  <c r="L32" i="104" s="1"/>
  <c r="K31" i="104"/>
  <c r="K32" i="104" s="1"/>
  <c r="J31" i="104"/>
  <c r="J32" i="104" s="1"/>
  <c r="I31" i="104"/>
  <c r="I32" i="104" s="1"/>
  <c r="H31" i="104"/>
  <c r="H32" i="104" s="1"/>
  <c r="G31" i="104"/>
  <c r="G32" i="104" s="1"/>
  <c r="F31" i="104"/>
  <c r="F32" i="104" s="1"/>
  <c r="E31" i="104"/>
  <c r="E32" i="104" s="1"/>
  <c r="D31" i="104"/>
  <c r="D32" i="104" s="1"/>
  <c r="N14" i="104"/>
  <c r="I14" i="104"/>
  <c r="N9" i="104"/>
  <c r="N10" i="104" s="1"/>
  <c r="M9" i="104"/>
  <c r="M10" i="104" s="1"/>
  <c r="L9" i="104"/>
  <c r="L10" i="104" s="1"/>
  <c r="K9" i="104"/>
  <c r="K10" i="104" s="1"/>
  <c r="J9" i="104"/>
  <c r="J10" i="104" s="1"/>
  <c r="I9" i="104"/>
  <c r="I10" i="104" s="1"/>
  <c r="H9" i="104"/>
  <c r="H10" i="104" s="1"/>
  <c r="G9" i="104"/>
  <c r="G10" i="104" s="1"/>
  <c r="F9" i="104"/>
  <c r="F10" i="104" s="1"/>
  <c r="E9" i="104"/>
  <c r="E10" i="104" s="1"/>
  <c r="D9" i="104"/>
  <c r="D10" i="104" s="1"/>
  <c r="C9" i="104"/>
  <c r="C10" i="104" s="1"/>
  <c r="D47" i="103"/>
  <c r="E47" i="103"/>
  <c r="F47" i="103"/>
  <c r="G47" i="103"/>
  <c r="H47" i="103"/>
  <c r="I47" i="103"/>
  <c r="J47" i="103"/>
  <c r="K47" i="103"/>
  <c r="L47" i="103"/>
  <c r="M47" i="103"/>
  <c r="N47" i="103"/>
  <c r="C47" i="103"/>
  <c r="D41" i="103"/>
  <c r="D42" i="103" s="1"/>
  <c r="E41" i="103"/>
  <c r="E42" i="103" s="1"/>
  <c r="F41" i="103"/>
  <c r="F42" i="103" s="1"/>
  <c r="G41" i="103"/>
  <c r="G42" i="103" s="1"/>
  <c r="H41" i="103"/>
  <c r="H42" i="103" s="1"/>
  <c r="I41" i="103"/>
  <c r="I42" i="103" s="1"/>
  <c r="J41" i="103"/>
  <c r="J42" i="103" s="1"/>
  <c r="K41" i="103"/>
  <c r="K42" i="103" s="1"/>
  <c r="L41" i="103"/>
  <c r="L42" i="103" s="1"/>
  <c r="M41" i="103"/>
  <c r="M42" i="103" s="1"/>
  <c r="N41" i="103"/>
  <c r="N42" i="103" s="1"/>
  <c r="D15" i="103"/>
  <c r="E15" i="103"/>
  <c r="F15" i="103"/>
  <c r="G15" i="103"/>
  <c r="H15" i="103"/>
  <c r="I15" i="103"/>
  <c r="J15" i="103"/>
  <c r="K15" i="103"/>
  <c r="L15" i="103"/>
  <c r="M15" i="103"/>
  <c r="N15" i="103"/>
  <c r="D9" i="103"/>
  <c r="D10" i="103" s="1"/>
  <c r="E9" i="103"/>
  <c r="E10" i="103" s="1"/>
  <c r="F9" i="103"/>
  <c r="F10" i="103" s="1"/>
  <c r="G9" i="103"/>
  <c r="G10" i="103" s="1"/>
  <c r="H9" i="103"/>
  <c r="H10" i="103" s="1"/>
  <c r="I9" i="103"/>
  <c r="I10" i="103" s="1"/>
  <c r="J9" i="103"/>
  <c r="J10" i="103" s="1"/>
  <c r="K9" i="103"/>
  <c r="K10" i="103" s="1"/>
  <c r="L9" i="103"/>
  <c r="L10" i="103" s="1"/>
  <c r="M9" i="103"/>
  <c r="M10" i="103" s="1"/>
  <c r="N9" i="103"/>
  <c r="N10" i="103" s="1"/>
  <c r="C9" i="103"/>
  <c r="C10" i="103" s="1"/>
  <c r="D5" i="102"/>
  <c r="G48" i="103" s="1"/>
  <c r="C5" i="102"/>
  <c r="J16" i="103" s="1"/>
  <c r="D17" i="99"/>
  <c r="C17" i="99"/>
  <c r="D10" i="99"/>
  <c r="C10" i="99"/>
  <c r="K28" i="98"/>
  <c r="I39" i="98"/>
  <c r="N33" i="98"/>
  <c r="K34" i="98"/>
  <c r="H26" i="98"/>
  <c r="H27" i="98"/>
  <c r="H28" i="98"/>
  <c r="H29" i="98"/>
  <c r="H36" i="98" s="1"/>
  <c r="H30" i="98"/>
  <c r="H31" i="98"/>
  <c r="H32" i="98"/>
  <c r="H33" i="98"/>
  <c r="H34" i="98"/>
  <c r="H35" i="98"/>
  <c r="H25" i="98"/>
  <c r="C26" i="98"/>
  <c r="C27" i="98"/>
  <c r="C28" i="98"/>
  <c r="C29" i="98"/>
  <c r="F29" i="98" s="1"/>
  <c r="C30" i="98"/>
  <c r="C31" i="98"/>
  <c r="C38" i="98" s="1"/>
  <c r="C32" i="98"/>
  <c r="C39" i="98" s="1"/>
  <c r="C33" i="98"/>
  <c r="F33" i="98" s="1"/>
  <c r="C34" i="98"/>
  <c r="F34" i="98" s="1"/>
  <c r="C35" i="98"/>
  <c r="C25" i="98"/>
  <c r="J39" i="98"/>
  <c r="E39" i="98"/>
  <c r="D39" i="98"/>
  <c r="J38" i="98"/>
  <c r="I38" i="98"/>
  <c r="H38" i="98"/>
  <c r="E38" i="98"/>
  <c r="D38" i="98"/>
  <c r="J36" i="98"/>
  <c r="I36" i="98"/>
  <c r="E36" i="98"/>
  <c r="D36" i="98"/>
  <c r="C36" i="98"/>
  <c r="N35" i="98"/>
  <c r="F35" i="98"/>
  <c r="K32" i="98"/>
  <c r="F32" i="98"/>
  <c r="N31" i="98"/>
  <c r="F31" i="98"/>
  <c r="M30" i="98"/>
  <c r="K30" i="98"/>
  <c r="F30" i="98"/>
  <c r="N29" i="98"/>
  <c r="K29" i="98"/>
  <c r="N28" i="98"/>
  <c r="F28" i="98"/>
  <c r="M27" i="98"/>
  <c r="K27" i="98"/>
  <c r="F27" i="98"/>
  <c r="M26" i="98"/>
  <c r="K26" i="98"/>
  <c r="F26" i="98"/>
  <c r="M25" i="98"/>
  <c r="K25" i="98"/>
  <c r="F25" i="98"/>
  <c r="N17" i="98"/>
  <c r="M17" i="98"/>
  <c r="N13" i="98"/>
  <c r="N14" i="98"/>
  <c r="N15" i="98"/>
  <c r="N16" i="98"/>
  <c r="N12" i="98"/>
  <c r="M11" i="98"/>
  <c r="N10" i="98"/>
  <c r="N9" i="98"/>
  <c r="M7" i="98"/>
  <c r="M8" i="98"/>
  <c r="M6" i="98"/>
  <c r="K16" i="98"/>
  <c r="K15" i="98"/>
  <c r="K14" i="98"/>
  <c r="K13" i="98"/>
  <c r="K20" i="98" s="1"/>
  <c r="K12" i="98"/>
  <c r="K11" i="98"/>
  <c r="K10" i="98"/>
  <c r="K9" i="98"/>
  <c r="K8" i="98"/>
  <c r="K7" i="98"/>
  <c r="K6" i="98"/>
  <c r="K17" i="98" s="1"/>
  <c r="I17" i="98"/>
  <c r="I19" i="98"/>
  <c r="J19" i="98"/>
  <c r="K19" i="98"/>
  <c r="I20" i="98"/>
  <c r="J20" i="98"/>
  <c r="H20" i="98"/>
  <c r="H19" i="98"/>
  <c r="J17" i="98"/>
  <c r="H17" i="98"/>
  <c r="F7" i="98"/>
  <c r="F8" i="98"/>
  <c r="F9" i="98"/>
  <c r="F10" i="98"/>
  <c r="F11" i="98"/>
  <c r="F17" i="98" s="1"/>
  <c r="F12" i="98"/>
  <c r="F13" i="98"/>
  <c r="F20" i="98" s="1"/>
  <c r="F14" i="98"/>
  <c r="F15" i="98"/>
  <c r="F16" i="98"/>
  <c r="F6" i="98"/>
  <c r="D19" i="98"/>
  <c r="E19" i="98"/>
  <c r="F19" i="98"/>
  <c r="D20" i="98"/>
  <c r="E20" i="98"/>
  <c r="D17" i="98"/>
  <c r="E17" i="98"/>
  <c r="C20" i="98"/>
  <c r="C19" i="98"/>
  <c r="C17" i="98"/>
  <c r="C45" i="97"/>
  <c r="C37" i="97"/>
  <c r="C29" i="97"/>
  <c r="C13" i="97"/>
  <c r="D40" i="104"/>
  <c r="E40" i="104"/>
  <c r="G40" i="104"/>
  <c r="H40" i="104"/>
  <c r="O7" i="96"/>
  <c r="O6" i="96"/>
  <c r="Q13" i="96" s="1"/>
  <c r="K45" i="95"/>
  <c r="I45" i="95"/>
  <c r="J45" i="95" s="1"/>
  <c r="G45" i="95"/>
  <c r="Q45" i="95" s="1"/>
  <c r="F45" i="95"/>
  <c r="C45" i="95"/>
  <c r="E17" i="139" l="1"/>
  <c r="F17" i="139"/>
  <c r="E21" i="139"/>
  <c r="O10" i="96"/>
  <c r="H45" i="95"/>
  <c r="S45" i="95"/>
  <c r="R45" i="95"/>
  <c r="C7" i="102"/>
  <c r="F48" i="103"/>
  <c r="E48" i="103"/>
  <c r="I16" i="103"/>
  <c r="I17" i="103" s="1"/>
  <c r="I20" i="103" s="1"/>
  <c r="H16" i="103"/>
  <c r="G16" i="103"/>
  <c r="D48" i="103"/>
  <c r="E16" i="103"/>
  <c r="E17" i="103" s="1"/>
  <c r="E20" i="103" s="1"/>
  <c r="N48" i="103"/>
  <c r="N49" i="103" s="1"/>
  <c r="N52" i="103" s="1"/>
  <c r="N53" i="103" s="1"/>
  <c r="N54" i="103" s="1"/>
  <c r="M48" i="103"/>
  <c r="M49" i="103" s="1"/>
  <c r="M52" i="103" s="1"/>
  <c r="C16" i="103"/>
  <c r="C17" i="103" s="1"/>
  <c r="L48" i="103"/>
  <c r="F16" i="103"/>
  <c r="F17" i="103" s="1"/>
  <c r="F20" i="103" s="1"/>
  <c r="C48" i="103"/>
  <c r="C49" i="103" s="1"/>
  <c r="N16" i="103"/>
  <c r="K48" i="103"/>
  <c r="K49" i="103" s="1"/>
  <c r="D16" i="103"/>
  <c r="M16" i="103"/>
  <c r="J48" i="103"/>
  <c r="L16" i="103"/>
  <c r="I48" i="103"/>
  <c r="K16" i="103"/>
  <c r="K17" i="103" s="1"/>
  <c r="K20" i="103" s="1"/>
  <c r="H48" i="103"/>
  <c r="G18" i="104"/>
  <c r="G24" i="104" s="1"/>
  <c r="G26" i="104" s="1"/>
  <c r="I40" i="104"/>
  <c r="J40" i="104"/>
  <c r="K40" i="104"/>
  <c r="F18" i="104"/>
  <c r="F24" i="104" s="1"/>
  <c r="F26" i="104" s="1"/>
  <c r="D18" i="104"/>
  <c r="D19" i="104" s="1"/>
  <c r="E18" i="104"/>
  <c r="E24" i="104" s="1"/>
  <c r="E26" i="104" s="1"/>
  <c r="I18" i="104"/>
  <c r="I24" i="104" s="1"/>
  <c r="I26" i="104" s="1"/>
  <c r="J18" i="104"/>
  <c r="J19" i="104" s="1"/>
  <c r="K18" i="104"/>
  <c r="K24" i="104" s="1"/>
  <c r="K26" i="104" s="1"/>
  <c r="L18" i="104"/>
  <c r="N40" i="104"/>
  <c r="N46" i="104" s="1"/>
  <c r="N48" i="104" s="1"/>
  <c r="M18" i="104"/>
  <c r="M24" i="104" s="1"/>
  <c r="M26" i="104" s="1"/>
  <c r="L40" i="104"/>
  <c r="M40" i="104"/>
  <c r="N18" i="104"/>
  <c r="C40" i="104"/>
  <c r="F40" i="104"/>
  <c r="F46" i="104" s="1"/>
  <c r="F48" i="104" s="1"/>
  <c r="H18" i="104"/>
  <c r="H19" i="104" s="1"/>
  <c r="O14" i="104"/>
  <c r="O13" i="104"/>
  <c r="O10" i="104"/>
  <c r="O9" i="104"/>
  <c r="L49" i="103"/>
  <c r="L52" i="103" s="1"/>
  <c r="C33" i="103"/>
  <c r="D33" i="103" s="1"/>
  <c r="E33" i="103" s="1"/>
  <c r="F33" i="103" s="1"/>
  <c r="G33" i="103" s="1"/>
  <c r="H33" i="103" s="1"/>
  <c r="I33" i="103" s="1"/>
  <c r="J33" i="103" s="1"/>
  <c r="K33" i="103" s="1"/>
  <c r="L33" i="103" s="1"/>
  <c r="M33" i="103" s="1"/>
  <c r="N33" i="103" s="1"/>
  <c r="J17" i="103"/>
  <c r="J20" i="103" s="1"/>
  <c r="O10" i="103"/>
  <c r="O9" i="103"/>
  <c r="C25" i="106" s="1"/>
  <c r="N32" i="98"/>
  <c r="K33" i="98"/>
  <c r="K35" i="98"/>
  <c r="N34" i="98"/>
  <c r="N36" i="98"/>
  <c r="M36" i="98"/>
  <c r="K31" i="98"/>
  <c r="K39" i="98"/>
  <c r="H39" i="98"/>
  <c r="K38" i="98"/>
  <c r="F38" i="98"/>
  <c r="F36" i="98"/>
  <c r="F39" i="98"/>
  <c r="K36" i="98"/>
  <c r="L45" i="95"/>
  <c r="C32" i="95"/>
  <c r="D32" i="95"/>
  <c r="C33" i="95"/>
  <c r="D33" i="95"/>
  <c r="C34" i="95"/>
  <c r="D34" i="95"/>
  <c r="C35" i="95"/>
  <c r="D35" i="95"/>
  <c r="D31" i="95"/>
  <c r="C31" i="95"/>
  <c r="C26" i="95"/>
  <c r="D26" i="95"/>
  <c r="C27" i="95"/>
  <c r="D27" i="95"/>
  <c r="C28" i="95"/>
  <c r="D28" i="95"/>
  <c r="D25" i="95"/>
  <c r="C25" i="95"/>
  <c r="D22" i="95"/>
  <c r="C22" i="95"/>
  <c r="D21" i="95"/>
  <c r="C21" i="95"/>
  <c r="D20" i="95"/>
  <c r="C20" i="95"/>
  <c r="D19" i="95"/>
  <c r="C19" i="95"/>
  <c r="D18" i="95"/>
  <c r="C18" i="95"/>
  <c r="D13" i="95"/>
  <c r="C13" i="95"/>
  <c r="C14" i="95" s="1"/>
  <c r="D16" i="95"/>
  <c r="C16" i="95"/>
  <c r="C9" i="95"/>
  <c r="D9" i="95"/>
  <c r="C10" i="95"/>
  <c r="D10" i="95"/>
  <c r="D8" i="95"/>
  <c r="C8" i="95"/>
  <c r="D6" i="95"/>
  <c r="C6" i="95"/>
  <c r="C25" i="103" l="1"/>
  <c r="O17" i="103"/>
  <c r="C8" i="140" s="1"/>
  <c r="F21" i="139"/>
  <c r="G21" i="139" s="1"/>
  <c r="G17" i="139"/>
  <c r="C18" i="103"/>
  <c r="H13" i="96"/>
  <c r="C13" i="96"/>
  <c r="D13" i="96"/>
  <c r="E13" i="96"/>
  <c r="F13" i="96"/>
  <c r="J13" i="96"/>
  <c r="G13" i="96"/>
  <c r="I13" i="96"/>
  <c r="M13" i="96"/>
  <c r="K13" i="96"/>
  <c r="L13" i="96"/>
  <c r="N13" i="96"/>
  <c r="M45" i="95"/>
  <c r="T45" i="95"/>
  <c r="D14" i="95"/>
  <c r="O31" i="96" s="1"/>
  <c r="O72" i="96"/>
  <c r="Y32" i="95" s="1"/>
  <c r="O69" i="96"/>
  <c r="O68" i="96"/>
  <c r="O66" i="96"/>
  <c r="O71" i="96"/>
  <c r="O67" i="96"/>
  <c r="O70" i="96"/>
  <c r="K52" i="103"/>
  <c r="K50" i="103"/>
  <c r="K57" i="103"/>
  <c r="K59" i="103" s="1"/>
  <c r="I49" i="103"/>
  <c r="J49" i="103"/>
  <c r="C40" i="106"/>
  <c r="H49" i="103"/>
  <c r="H52" i="103" s="1"/>
  <c r="H17" i="103"/>
  <c r="H20" i="103" s="1"/>
  <c r="G49" i="103"/>
  <c r="G52" i="103" s="1"/>
  <c r="N57" i="103"/>
  <c r="N59" i="103" s="1"/>
  <c r="O12" i="104"/>
  <c r="N17" i="103"/>
  <c r="N20" i="103" s="1"/>
  <c r="N21" i="103" s="1"/>
  <c r="M17" i="103"/>
  <c r="M20" i="103" s="1"/>
  <c r="D20" i="103"/>
  <c r="M50" i="103"/>
  <c r="C18" i="104"/>
  <c r="C24" i="104" s="1"/>
  <c r="C26" i="104" s="1"/>
  <c r="M57" i="103"/>
  <c r="M59" i="103" s="1"/>
  <c r="D49" i="103"/>
  <c r="D52" i="103" s="1"/>
  <c r="E49" i="103"/>
  <c r="E52" i="103" s="1"/>
  <c r="F19" i="104"/>
  <c r="G17" i="103"/>
  <c r="G20" i="103" s="1"/>
  <c r="O44" i="103"/>
  <c r="F49" i="103"/>
  <c r="F52" i="103" s="1"/>
  <c r="D24" i="104"/>
  <c r="L24" i="104"/>
  <c r="L26" i="104" s="1"/>
  <c r="L19" i="104"/>
  <c r="L17" i="103"/>
  <c r="L20" i="103" s="1"/>
  <c r="N55" i="103"/>
  <c r="N43" i="104"/>
  <c r="L57" i="103"/>
  <c r="L59" i="103" s="1"/>
  <c r="E19" i="104"/>
  <c r="L50" i="103"/>
  <c r="O12" i="103"/>
  <c r="O34" i="104"/>
  <c r="I19" i="104"/>
  <c r="M19" i="104"/>
  <c r="J24" i="104"/>
  <c r="J26" i="104" s="1"/>
  <c r="H24" i="104"/>
  <c r="H26" i="104" s="1"/>
  <c r="N41" i="104"/>
  <c r="L46" i="104"/>
  <c r="L48" i="104" s="1"/>
  <c r="L41" i="104"/>
  <c r="I46" i="104"/>
  <c r="I48" i="104" s="1"/>
  <c r="F41" i="104"/>
  <c r="M46" i="104"/>
  <c r="M48" i="104" s="1"/>
  <c r="M41" i="104"/>
  <c r="G41" i="104"/>
  <c r="G46" i="104"/>
  <c r="G48" i="104" s="1"/>
  <c r="H41" i="104"/>
  <c r="H46" i="104"/>
  <c r="H48" i="104" s="1"/>
  <c r="K46" i="104"/>
  <c r="K48" i="104" s="1"/>
  <c r="K41" i="104"/>
  <c r="I41" i="104"/>
  <c r="O35" i="104"/>
  <c r="G19" i="104"/>
  <c r="K19" i="104"/>
  <c r="N50" i="103"/>
  <c r="D46" i="104"/>
  <c r="D48" i="104" s="1"/>
  <c r="D41" i="104"/>
  <c r="C46" i="104"/>
  <c r="O40" i="104"/>
  <c r="J46" i="104"/>
  <c r="J48" i="104" s="1"/>
  <c r="J41" i="104"/>
  <c r="N24" i="104"/>
  <c r="N26" i="104" s="1"/>
  <c r="N19" i="104"/>
  <c r="E46" i="104"/>
  <c r="E48" i="104" s="1"/>
  <c r="E41" i="104"/>
  <c r="M53" i="103"/>
  <c r="E25" i="103"/>
  <c r="E27" i="103" s="1"/>
  <c r="E18" i="103"/>
  <c r="I18" i="103"/>
  <c r="I25" i="103"/>
  <c r="I27" i="103" s="1"/>
  <c r="K18" i="103"/>
  <c r="K25" i="103"/>
  <c r="K27" i="103" s="1"/>
  <c r="F18" i="103"/>
  <c r="F25" i="103"/>
  <c r="F27" i="103" s="1"/>
  <c r="J18" i="103"/>
  <c r="J25" i="103"/>
  <c r="J27" i="103" s="1"/>
  <c r="C36" i="95"/>
  <c r="C29" i="95"/>
  <c r="D29" i="95"/>
  <c r="O49" i="96" s="1"/>
  <c r="D36" i="95"/>
  <c r="O58" i="96" s="1"/>
  <c r="C23" i="95"/>
  <c r="D23" i="95"/>
  <c r="C11" i="95"/>
  <c r="D11" i="95"/>
  <c r="O22" i="96" s="1"/>
  <c r="C11" i="140" l="1"/>
  <c r="C10" i="140"/>
  <c r="X32" i="95"/>
  <c r="W32" i="95"/>
  <c r="O73" i="96"/>
  <c r="J31" i="96"/>
  <c r="E31" i="96"/>
  <c r="C31" i="96"/>
  <c r="D31" i="96"/>
  <c r="K31" i="96"/>
  <c r="L31" i="96"/>
  <c r="H31" i="96"/>
  <c r="N31" i="96"/>
  <c r="G31" i="96"/>
  <c r="M31" i="96"/>
  <c r="I31" i="96"/>
  <c r="F31" i="96"/>
  <c r="E49" i="96"/>
  <c r="D49" i="96"/>
  <c r="C49" i="96"/>
  <c r="H49" i="96"/>
  <c r="F49" i="96"/>
  <c r="G49" i="96"/>
  <c r="M49" i="96"/>
  <c r="N49" i="96"/>
  <c r="J49" i="96"/>
  <c r="L49" i="96"/>
  <c r="K49" i="96"/>
  <c r="I49" i="96"/>
  <c r="N22" i="96"/>
  <c r="D22" i="96"/>
  <c r="C22" i="96"/>
  <c r="M22" i="96"/>
  <c r="I22" i="96"/>
  <c r="L22" i="96"/>
  <c r="K22" i="96"/>
  <c r="J22" i="96"/>
  <c r="G22" i="96"/>
  <c r="F22" i="96"/>
  <c r="H22" i="96"/>
  <c r="E22" i="96"/>
  <c r="M58" i="96"/>
  <c r="F58" i="96"/>
  <c r="E58" i="96"/>
  <c r="D58" i="96"/>
  <c r="K58" i="96"/>
  <c r="I58" i="96"/>
  <c r="H58" i="96"/>
  <c r="J58" i="96"/>
  <c r="G58" i="96"/>
  <c r="C58" i="96"/>
  <c r="C74" i="96" s="1"/>
  <c r="N58" i="96"/>
  <c r="L58" i="96"/>
  <c r="E70" i="96"/>
  <c r="N70" i="96"/>
  <c r="I70" i="96"/>
  <c r="M70" i="96"/>
  <c r="H70" i="96"/>
  <c r="L70" i="96"/>
  <c r="F70" i="96"/>
  <c r="K70" i="96"/>
  <c r="J70" i="96"/>
  <c r="G70" i="96"/>
  <c r="L67" i="96"/>
  <c r="K67" i="96"/>
  <c r="J67" i="96"/>
  <c r="I67" i="96"/>
  <c r="G67" i="96"/>
  <c r="F67" i="96"/>
  <c r="N67" i="96"/>
  <c r="H67" i="96"/>
  <c r="E67" i="96"/>
  <c r="M67" i="96"/>
  <c r="H71" i="96"/>
  <c r="J71" i="96"/>
  <c r="I71" i="96"/>
  <c r="G71" i="96"/>
  <c r="L71" i="96"/>
  <c r="N71" i="96"/>
  <c r="K71" i="96"/>
  <c r="M71" i="96"/>
  <c r="F71" i="96"/>
  <c r="E71" i="96"/>
  <c r="E66" i="96"/>
  <c r="M66" i="96"/>
  <c r="K66" i="96"/>
  <c r="L66" i="96"/>
  <c r="J66" i="96"/>
  <c r="I66" i="96"/>
  <c r="F66" i="96"/>
  <c r="H66" i="96"/>
  <c r="G66" i="96"/>
  <c r="N66" i="96"/>
  <c r="E68" i="96"/>
  <c r="N68" i="96"/>
  <c r="L68" i="96"/>
  <c r="M68" i="96"/>
  <c r="I68" i="96"/>
  <c r="K68" i="96"/>
  <c r="J68" i="96"/>
  <c r="H68" i="96"/>
  <c r="G68" i="96"/>
  <c r="F68" i="96"/>
  <c r="J69" i="96"/>
  <c r="K69" i="96"/>
  <c r="I69" i="96"/>
  <c r="E69" i="96"/>
  <c r="H69" i="96"/>
  <c r="F69" i="96"/>
  <c r="L69" i="96"/>
  <c r="G69" i="96"/>
  <c r="N69" i="96"/>
  <c r="M69" i="96"/>
  <c r="E72" i="96"/>
  <c r="M72" i="96"/>
  <c r="F72" i="96"/>
  <c r="L72" i="96"/>
  <c r="K72" i="96"/>
  <c r="I72" i="96"/>
  <c r="N72" i="96"/>
  <c r="J72" i="96"/>
  <c r="H72" i="96"/>
  <c r="G72" i="96"/>
  <c r="N44" i="104"/>
  <c r="N19" i="138" s="1"/>
  <c r="N59" i="104"/>
  <c r="Q31" i="96"/>
  <c r="C38" i="95"/>
  <c r="N22" i="132"/>
  <c r="D38" i="95"/>
  <c r="J52" i="103"/>
  <c r="J50" i="103"/>
  <c r="J57" i="103"/>
  <c r="J59" i="103" s="1"/>
  <c r="I52" i="103"/>
  <c r="I57" i="103"/>
  <c r="I59" i="103" s="1"/>
  <c r="I50" i="103"/>
  <c r="G57" i="103"/>
  <c r="G59" i="103" s="1"/>
  <c r="G50" i="103"/>
  <c r="H50" i="103"/>
  <c r="H57" i="103"/>
  <c r="H59" i="103" s="1"/>
  <c r="H18" i="103"/>
  <c r="H25" i="103"/>
  <c r="H27" i="103" s="1"/>
  <c r="F57" i="103"/>
  <c r="F59" i="103" s="1"/>
  <c r="O18" i="104"/>
  <c r="O19" i="104" s="1"/>
  <c r="G18" i="103"/>
  <c r="G25" i="103"/>
  <c r="G27" i="103" s="1"/>
  <c r="N18" i="103"/>
  <c r="N25" i="103"/>
  <c r="N27" i="103" s="1"/>
  <c r="M25" i="103"/>
  <c r="M27" i="103" s="1"/>
  <c r="M18" i="103"/>
  <c r="D57" i="103"/>
  <c r="C20" i="103"/>
  <c r="N60" i="103"/>
  <c r="D18" i="103"/>
  <c r="M21" i="103"/>
  <c r="L21" i="103" s="1"/>
  <c r="F50" i="103"/>
  <c r="E57" i="103"/>
  <c r="E59" i="103" s="1"/>
  <c r="E50" i="103"/>
  <c r="L25" i="103"/>
  <c r="L27" i="103" s="1"/>
  <c r="D50" i="103"/>
  <c r="L18" i="103"/>
  <c r="C19" i="104"/>
  <c r="O40" i="96"/>
  <c r="C9" i="102"/>
  <c r="D7" i="102"/>
  <c r="D9" i="102" s="1"/>
  <c r="D20" i="105"/>
  <c r="O24" i="104"/>
  <c r="O46" i="104"/>
  <c r="C48" i="104"/>
  <c r="M54" i="103"/>
  <c r="L53" i="103"/>
  <c r="Q58" i="96"/>
  <c r="Q22" i="96"/>
  <c r="Q49" i="96"/>
  <c r="F195" i="94"/>
  <c r="G194" i="94"/>
  <c r="E6" i="95" s="1"/>
  <c r="H194" i="94"/>
  <c r="J194" i="94"/>
  <c r="L194" i="94"/>
  <c r="J6" i="95" s="1"/>
  <c r="G193" i="94"/>
  <c r="H193" i="94"/>
  <c r="I193" i="94" s="1"/>
  <c r="J193" i="94"/>
  <c r="K193" i="94" s="1"/>
  <c r="L193" i="94"/>
  <c r="G192" i="94"/>
  <c r="H192" i="94"/>
  <c r="J192" i="94"/>
  <c r="L192" i="94"/>
  <c r="G191" i="94"/>
  <c r="E32" i="95" s="1"/>
  <c r="H191" i="94"/>
  <c r="J191" i="94"/>
  <c r="L191" i="94"/>
  <c r="J32" i="95" s="1"/>
  <c r="G190" i="94"/>
  <c r="E33" i="95" s="1"/>
  <c r="H190" i="94"/>
  <c r="J190" i="94"/>
  <c r="L190" i="94"/>
  <c r="J33" i="95" s="1"/>
  <c r="G189" i="94"/>
  <c r="E34" i="95" s="1"/>
  <c r="H189" i="94"/>
  <c r="J189" i="94"/>
  <c r="L189" i="94"/>
  <c r="J34" i="95" s="1"/>
  <c r="G188" i="94"/>
  <c r="E31" i="95" s="1"/>
  <c r="H188" i="94"/>
  <c r="J188" i="94"/>
  <c r="L188" i="94"/>
  <c r="J31" i="95" s="1"/>
  <c r="G187" i="94"/>
  <c r="H187" i="94"/>
  <c r="I187" i="94" s="1"/>
  <c r="J187" i="94"/>
  <c r="K187" i="94" s="1"/>
  <c r="L187" i="94"/>
  <c r="G186" i="94"/>
  <c r="H186" i="94"/>
  <c r="I186" i="94" s="1"/>
  <c r="J186" i="94"/>
  <c r="K186" i="94" s="1"/>
  <c r="L186" i="94"/>
  <c r="G185" i="94"/>
  <c r="H185" i="94"/>
  <c r="J185" i="94"/>
  <c r="L185" i="94"/>
  <c r="G150" i="94"/>
  <c r="H150" i="94"/>
  <c r="I150" i="94" s="1"/>
  <c r="J150" i="94"/>
  <c r="K150" i="94" s="1"/>
  <c r="L150" i="94"/>
  <c r="G151" i="94"/>
  <c r="H151" i="94"/>
  <c r="I151" i="94" s="1"/>
  <c r="J151" i="94"/>
  <c r="K151" i="94" s="1"/>
  <c r="L151" i="94"/>
  <c r="G152" i="94"/>
  <c r="H152" i="94"/>
  <c r="I152" i="94" s="1"/>
  <c r="J152" i="94"/>
  <c r="K152" i="94" s="1"/>
  <c r="L152" i="94"/>
  <c r="G153" i="94"/>
  <c r="H153" i="94"/>
  <c r="I153" i="94" s="1"/>
  <c r="J153" i="94"/>
  <c r="K153" i="94" s="1"/>
  <c r="L153" i="94"/>
  <c r="G154" i="94"/>
  <c r="H154" i="94"/>
  <c r="I154" i="94" s="1"/>
  <c r="J154" i="94"/>
  <c r="K154" i="94" s="1"/>
  <c r="L154" i="94"/>
  <c r="G155" i="94"/>
  <c r="H155" i="94"/>
  <c r="J155" i="94"/>
  <c r="L155" i="94"/>
  <c r="G156" i="94"/>
  <c r="H156" i="94"/>
  <c r="I156" i="94" s="1"/>
  <c r="J156" i="94"/>
  <c r="K156" i="94" s="1"/>
  <c r="L156" i="94"/>
  <c r="G157" i="94"/>
  <c r="H157" i="94"/>
  <c r="I157" i="94" s="1"/>
  <c r="J157" i="94"/>
  <c r="K157" i="94" s="1"/>
  <c r="L157" i="94"/>
  <c r="G158" i="94"/>
  <c r="H158" i="94"/>
  <c r="I158" i="94" s="1"/>
  <c r="J158" i="94"/>
  <c r="K158" i="94" s="1"/>
  <c r="L158" i="94"/>
  <c r="G159" i="94"/>
  <c r="H159" i="94"/>
  <c r="I159" i="94" s="1"/>
  <c r="J159" i="94"/>
  <c r="K159" i="94" s="1"/>
  <c r="L159" i="94"/>
  <c r="G160" i="94"/>
  <c r="H160" i="94"/>
  <c r="I160" i="94" s="1"/>
  <c r="J160" i="94"/>
  <c r="K160" i="94" s="1"/>
  <c r="L160" i="94"/>
  <c r="G161" i="94"/>
  <c r="H161" i="94"/>
  <c r="I161" i="94" s="1"/>
  <c r="J161" i="94"/>
  <c r="K161" i="94" s="1"/>
  <c r="L161" i="94"/>
  <c r="G162" i="94"/>
  <c r="H162" i="94"/>
  <c r="I162" i="94" s="1"/>
  <c r="J162" i="94"/>
  <c r="K162" i="94" s="1"/>
  <c r="L162" i="94"/>
  <c r="G163" i="94"/>
  <c r="H163" i="94"/>
  <c r="I163" i="94" s="1"/>
  <c r="J163" i="94"/>
  <c r="K163" i="94" s="1"/>
  <c r="L163" i="94"/>
  <c r="G164" i="94"/>
  <c r="H164" i="94"/>
  <c r="I164" i="94" s="1"/>
  <c r="J164" i="94"/>
  <c r="K164" i="94" s="1"/>
  <c r="L164" i="94"/>
  <c r="G165" i="94"/>
  <c r="H165" i="94"/>
  <c r="I165" i="94" s="1"/>
  <c r="J165" i="94"/>
  <c r="K165" i="94" s="1"/>
  <c r="L165" i="94"/>
  <c r="G166" i="94"/>
  <c r="H166" i="94"/>
  <c r="I166" i="94" s="1"/>
  <c r="J166" i="94"/>
  <c r="K166" i="94" s="1"/>
  <c r="L166" i="94"/>
  <c r="G167" i="94"/>
  <c r="H167" i="94"/>
  <c r="I167" i="94" s="1"/>
  <c r="J167" i="94"/>
  <c r="K167" i="94" s="1"/>
  <c r="L167" i="94"/>
  <c r="G168" i="94"/>
  <c r="H168" i="94"/>
  <c r="I168" i="94" s="1"/>
  <c r="J168" i="94"/>
  <c r="K168" i="94" s="1"/>
  <c r="L168" i="94"/>
  <c r="G169" i="94"/>
  <c r="H169" i="94"/>
  <c r="I169" i="94" s="1"/>
  <c r="J169" i="94"/>
  <c r="K169" i="94" s="1"/>
  <c r="L169" i="94"/>
  <c r="G170" i="94"/>
  <c r="H170" i="94"/>
  <c r="I170" i="94" s="1"/>
  <c r="J170" i="94"/>
  <c r="K170" i="94" s="1"/>
  <c r="L170" i="94"/>
  <c r="G171" i="94"/>
  <c r="H171" i="94"/>
  <c r="I171" i="94" s="1"/>
  <c r="J171" i="94"/>
  <c r="K171" i="94" s="1"/>
  <c r="L171" i="94"/>
  <c r="G172" i="94"/>
  <c r="H172" i="94"/>
  <c r="I172" i="94" s="1"/>
  <c r="J172" i="94"/>
  <c r="K172" i="94" s="1"/>
  <c r="L172" i="94"/>
  <c r="G173" i="94"/>
  <c r="H173" i="94"/>
  <c r="I173" i="94" s="1"/>
  <c r="J173" i="94"/>
  <c r="K173" i="94" s="1"/>
  <c r="L173" i="94"/>
  <c r="G174" i="94"/>
  <c r="H174" i="94"/>
  <c r="I174" i="94" s="1"/>
  <c r="J174" i="94"/>
  <c r="K174" i="94" s="1"/>
  <c r="L174" i="94"/>
  <c r="G175" i="94"/>
  <c r="H175" i="94"/>
  <c r="I175" i="94" s="1"/>
  <c r="J175" i="94"/>
  <c r="K175" i="94" s="1"/>
  <c r="L175" i="94"/>
  <c r="G176" i="94"/>
  <c r="H176" i="94"/>
  <c r="I176" i="94" s="1"/>
  <c r="J176" i="94"/>
  <c r="K176" i="94" s="1"/>
  <c r="L176" i="94"/>
  <c r="G177" i="94"/>
  <c r="H177" i="94"/>
  <c r="I177" i="94" s="1"/>
  <c r="J177" i="94"/>
  <c r="K177" i="94" s="1"/>
  <c r="L177" i="94"/>
  <c r="G178" i="94"/>
  <c r="H178" i="94"/>
  <c r="I178" i="94" s="1"/>
  <c r="J178" i="94"/>
  <c r="K178" i="94" s="1"/>
  <c r="L178" i="94"/>
  <c r="G179" i="94"/>
  <c r="H179" i="94"/>
  <c r="I179" i="94" s="1"/>
  <c r="J179" i="94"/>
  <c r="K179" i="94" s="1"/>
  <c r="L179" i="94"/>
  <c r="G180" i="94"/>
  <c r="H180" i="94"/>
  <c r="I180" i="94" s="1"/>
  <c r="J180" i="94"/>
  <c r="K180" i="94" s="1"/>
  <c r="L180" i="94"/>
  <c r="G181" i="94"/>
  <c r="H181" i="94"/>
  <c r="I181" i="94" s="1"/>
  <c r="J181" i="94"/>
  <c r="K181" i="94" s="1"/>
  <c r="L181" i="94"/>
  <c r="G182" i="94"/>
  <c r="H182" i="94"/>
  <c r="I182" i="94" s="1"/>
  <c r="J182" i="94"/>
  <c r="K182" i="94" s="1"/>
  <c r="L182" i="94"/>
  <c r="G183" i="94"/>
  <c r="H183" i="94"/>
  <c r="I183" i="94" s="1"/>
  <c r="J183" i="94"/>
  <c r="K183" i="94" s="1"/>
  <c r="L183" i="94"/>
  <c r="G184" i="94"/>
  <c r="H184" i="94"/>
  <c r="I184" i="94" s="1"/>
  <c r="J184" i="94"/>
  <c r="K184" i="94" s="1"/>
  <c r="L184" i="94"/>
  <c r="G149" i="94"/>
  <c r="H149" i="94"/>
  <c r="I149" i="94" s="1"/>
  <c r="J149" i="94"/>
  <c r="K149" i="94" s="1"/>
  <c r="L149" i="94"/>
  <c r="G144" i="94"/>
  <c r="H144" i="94"/>
  <c r="I144" i="94" s="1"/>
  <c r="J144" i="94"/>
  <c r="K144" i="94" s="1"/>
  <c r="L144" i="94"/>
  <c r="G145" i="94"/>
  <c r="E19" i="95" s="1"/>
  <c r="H145" i="94"/>
  <c r="J145" i="94"/>
  <c r="L145" i="94"/>
  <c r="J19" i="95" s="1"/>
  <c r="G146" i="94"/>
  <c r="E25" i="95" s="1"/>
  <c r="H146" i="94"/>
  <c r="J146" i="94"/>
  <c r="L146" i="94"/>
  <c r="J25" i="95" s="1"/>
  <c r="G147" i="94"/>
  <c r="H147" i="94"/>
  <c r="J147" i="94"/>
  <c r="L147" i="94"/>
  <c r="G148" i="94"/>
  <c r="H148" i="94"/>
  <c r="I148" i="94" s="1"/>
  <c r="J148" i="94"/>
  <c r="K148" i="94" s="1"/>
  <c r="L148" i="94"/>
  <c r="G143" i="94"/>
  <c r="H143" i="94"/>
  <c r="J143" i="94"/>
  <c r="L143" i="94"/>
  <c r="G142" i="94"/>
  <c r="H142" i="94"/>
  <c r="I142" i="94" s="1"/>
  <c r="J142" i="94"/>
  <c r="K142" i="94" s="1"/>
  <c r="L142" i="94"/>
  <c r="G141" i="94"/>
  <c r="H141" i="94"/>
  <c r="J141" i="94"/>
  <c r="L141" i="94"/>
  <c r="G140" i="94"/>
  <c r="E21" i="95" s="1"/>
  <c r="H140" i="94"/>
  <c r="J140" i="94"/>
  <c r="H21" i="95" s="1"/>
  <c r="L140" i="94"/>
  <c r="J21" i="95" s="1"/>
  <c r="G132" i="94"/>
  <c r="H132" i="94"/>
  <c r="I132" i="94" s="1"/>
  <c r="J132" i="94"/>
  <c r="K132" i="94" s="1"/>
  <c r="L132" i="94"/>
  <c r="G133" i="94"/>
  <c r="H133" i="94"/>
  <c r="I133" i="94" s="1"/>
  <c r="J133" i="94"/>
  <c r="K133" i="94" s="1"/>
  <c r="L133" i="94"/>
  <c r="G134" i="94"/>
  <c r="H134" i="94"/>
  <c r="I134" i="94" s="1"/>
  <c r="J134" i="94"/>
  <c r="K134" i="94" s="1"/>
  <c r="L134" i="94"/>
  <c r="G135" i="94"/>
  <c r="H135" i="94"/>
  <c r="I135" i="94" s="1"/>
  <c r="J135" i="94"/>
  <c r="K135" i="94" s="1"/>
  <c r="L135" i="94"/>
  <c r="G136" i="94"/>
  <c r="H136" i="94"/>
  <c r="I136" i="94" s="1"/>
  <c r="J136" i="94"/>
  <c r="K136" i="94" s="1"/>
  <c r="L136" i="94"/>
  <c r="G137" i="94"/>
  <c r="H137" i="94"/>
  <c r="I137" i="94" s="1"/>
  <c r="J137" i="94"/>
  <c r="K137" i="94" s="1"/>
  <c r="L137" i="94"/>
  <c r="G138" i="94"/>
  <c r="H138" i="94"/>
  <c r="I138" i="94" s="1"/>
  <c r="J138" i="94"/>
  <c r="K138" i="94" s="1"/>
  <c r="L138" i="94"/>
  <c r="G139" i="94"/>
  <c r="H139" i="94"/>
  <c r="I139" i="94" s="1"/>
  <c r="J139" i="94"/>
  <c r="K139" i="94" s="1"/>
  <c r="L139" i="94"/>
  <c r="G128" i="94"/>
  <c r="H128" i="94"/>
  <c r="I128" i="94" s="1"/>
  <c r="J128" i="94"/>
  <c r="K128" i="94" s="1"/>
  <c r="L128" i="94"/>
  <c r="G129" i="94"/>
  <c r="H129" i="94"/>
  <c r="I129" i="94" s="1"/>
  <c r="J129" i="94"/>
  <c r="K129" i="94" s="1"/>
  <c r="L129" i="94"/>
  <c r="G130" i="94"/>
  <c r="H130" i="94"/>
  <c r="I130" i="94" s="1"/>
  <c r="J130" i="94"/>
  <c r="K130" i="94" s="1"/>
  <c r="L130" i="94"/>
  <c r="G131" i="94"/>
  <c r="H131" i="94"/>
  <c r="I131" i="94" s="1"/>
  <c r="J131" i="94"/>
  <c r="K131" i="94" s="1"/>
  <c r="L131" i="94"/>
  <c r="G127" i="94"/>
  <c r="H127" i="94"/>
  <c r="I127" i="94" s="1"/>
  <c r="J127" i="94"/>
  <c r="K127" i="94" s="1"/>
  <c r="L127" i="94"/>
  <c r="G126" i="94"/>
  <c r="H126" i="94"/>
  <c r="I126" i="94" s="1"/>
  <c r="J126" i="94"/>
  <c r="K126" i="94" s="1"/>
  <c r="L126" i="94"/>
  <c r="G125" i="94"/>
  <c r="H125" i="94"/>
  <c r="I125" i="94" s="1"/>
  <c r="J125" i="94"/>
  <c r="K125" i="94" s="1"/>
  <c r="L125" i="94"/>
  <c r="G124" i="94"/>
  <c r="H124" i="94"/>
  <c r="J124" i="94"/>
  <c r="L124" i="94"/>
  <c r="G67" i="94"/>
  <c r="H67" i="94"/>
  <c r="I67" i="94" s="1"/>
  <c r="J67" i="94"/>
  <c r="K67" i="94" s="1"/>
  <c r="L67" i="94"/>
  <c r="G68" i="94"/>
  <c r="H68" i="94"/>
  <c r="I68" i="94" s="1"/>
  <c r="J68" i="94"/>
  <c r="K68" i="94" s="1"/>
  <c r="L68" i="94"/>
  <c r="G69" i="94"/>
  <c r="H69" i="94"/>
  <c r="I69" i="94" s="1"/>
  <c r="J69" i="94"/>
  <c r="K69" i="94" s="1"/>
  <c r="L69" i="94"/>
  <c r="G70" i="94"/>
  <c r="H70" i="94"/>
  <c r="I70" i="94" s="1"/>
  <c r="J70" i="94"/>
  <c r="K70" i="94" s="1"/>
  <c r="L70" i="94"/>
  <c r="G71" i="94"/>
  <c r="H71" i="94"/>
  <c r="I71" i="94" s="1"/>
  <c r="J71" i="94"/>
  <c r="K71" i="94" s="1"/>
  <c r="L71" i="94"/>
  <c r="G72" i="94"/>
  <c r="H72" i="94"/>
  <c r="I72" i="94" s="1"/>
  <c r="J72" i="94"/>
  <c r="K72" i="94" s="1"/>
  <c r="L72" i="94"/>
  <c r="G73" i="94"/>
  <c r="H73" i="94"/>
  <c r="I73" i="94" s="1"/>
  <c r="J73" i="94"/>
  <c r="K73" i="94" s="1"/>
  <c r="L73" i="94"/>
  <c r="G74" i="94"/>
  <c r="H74" i="94"/>
  <c r="I74" i="94" s="1"/>
  <c r="J74" i="94"/>
  <c r="K74" i="94" s="1"/>
  <c r="L74" i="94"/>
  <c r="G75" i="94"/>
  <c r="H75" i="94"/>
  <c r="I75" i="94" s="1"/>
  <c r="J75" i="94"/>
  <c r="K75" i="94" s="1"/>
  <c r="L75" i="94"/>
  <c r="G76" i="94"/>
  <c r="H76" i="94"/>
  <c r="I76" i="94" s="1"/>
  <c r="J76" i="94"/>
  <c r="K76" i="94" s="1"/>
  <c r="L76" i="94"/>
  <c r="G77" i="94"/>
  <c r="H77" i="94"/>
  <c r="I77" i="94" s="1"/>
  <c r="J77" i="94"/>
  <c r="K77" i="94" s="1"/>
  <c r="L77" i="94"/>
  <c r="G78" i="94"/>
  <c r="H78" i="94"/>
  <c r="I78" i="94" s="1"/>
  <c r="J78" i="94"/>
  <c r="K78" i="94" s="1"/>
  <c r="L78" i="94"/>
  <c r="G79" i="94"/>
  <c r="H79" i="94"/>
  <c r="I79" i="94" s="1"/>
  <c r="J79" i="94"/>
  <c r="K79" i="94" s="1"/>
  <c r="L79" i="94"/>
  <c r="G80" i="94"/>
  <c r="H80" i="94"/>
  <c r="I80" i="94" s="1"/>
  <c r="J80" i="94"/>
  <c r="K80" i="94" s="1"/>
  <c r="L80" i="94"/>
  <c r="G81" i="94"/>
  <c r="H81" i="94"/>
  <c r="I81" i="94" s="1"/>
  <c r="J81" i="94"/>
  <c r="K81" i="94" s="1"/>
  <c r="L81" i="94"/>
  <c r="G82" i="94"/>
  <c r="H82" i="94"/>
  <c r="I82" i="94" s="1"/>
  <c r="J82" i="94"/>
  <c r="K82" i="94" s="1"/>
  <c r="L82" i="94"/>
  <c r="G83" i="94"/>
  <c r="H83" i="94"/>
  <c r="I83" i="94" s="1"/>
  <c r="J83" i="94"/>
  <c r="K83" i="94" s="1"/>
  <c r="L83" i="94"/>
  <c r="G84" i="94"/>
  <c r="H84" i="94"/>
  <c r="I84" i="94" s="1"/>
  <c r="J84" i="94"/>
  <c r="K84" i="94" s="1"/>
  <c r="L84" i="94"/>
  <c r="G85" i="94"/>
  <c r="H85" i="94"/>
  <c r="I85" i="94" s="1"/>
  <c r="J85" i="94"/>
  <c r="K85" i="94" s="1"/>
  <c r="L85" i="94"/>
  <c r="G86" i="94"/>
  <c r="H86" i="94"/>
  <c r="I86" i="94" s="1"/>
  <c r="J86" i="94"/>
  <c r="K86" i="94" s="1"/>
  <c r="L86" i="94"/>
  <c r="G87" i="94"/>
  <c r="H87" i="94"/>
  <c r="I87" i="94" s="1"/>
  <c r="J87" i="94"/>
  <c r="K87" i="94" s="1"/>
  <c r="L87" i="94"/>
  <c r="G88" i="94"/>
  <c r="H88" i="94"/>
  <c r="I88" i="94" s="1"/>
  <c r="J88" i="94"/>
  <c r="K88" i="94" s="1"/>
  <c r="L88" i="94"/>
  <c r="G89" i="94"/>
  <c r="H89" i="94"/>
  <c r="I89" i="94" s="1"/>
  <c r="J89" i="94"/>
  <c r="K89" i="94" s="1"/>
  <c r="L89" i="94"/>
  <c r="G90" i="94"/>
  <c r="H90" i="94"/>
  <c r="I90" i="94" s="1"/>
  <c r="J90" i="94"/>
  <c r="K90" i="94" s="1"/>
  <c r="L90" i="94"/>
  <c r="G91" i="94"/>
  <c r="H91" i="94"/>
  <c r="I91" i="94" s="1"/>
  <c r="J91" i="94"/>
  <c r="K91" i="94" s="1"/>
  <c r="L91" i="94"/>
  <c r="G92" i="94"/>
  <c r="H92" i="94"/>
  <c r="I92" i="94" s="1"/>
  <c r="J92" i="94"/>
  <c r="K92" i="94" s="1"/>
  <c r="L92" i="94"/>
  <c r="G93" i="94"/>
  <c r="H93" i="94"/>
  <c r="I93" i="94" s="1"/>
  <c r="J93" i="94"/>
  <c r="K93" i="94" s="1"/>
  <c r="L93" i="94"/>
  <c r="G94" i="94"/>
  <c r="H94" i="94"/>
  <c r="I94" i="94" s="1"/>
  <c r="J94" i="94"/>
  <c r="K94" i="94" s="1"/>
  <c r="L94" i="94"/>
  <c r="G95" i="94"/>
  <c r="H95" i="94"/>
  <c r="I95" i="94" s="1"/>
  <c r="J95" i="94"/>
  <c r="K95" i="94" s="1"/>
  <c r="L95" i="94"/>
  <c r="G96" i="94"/>
  <c r="H96" i="94"/>
  <c r="I96" i="94" s="1"/>
  <c r="J96" i="94"/>
  <c r="K96" i="94" s="1"/>
  <c r="L96" i="94"/>
  <c r="G97" i="94"/>
  <c r="H97" i="94"/>
  <c r="I97" i="94" s="1"/>
  <c r="J97" i="94"/>
  <c r="K97" i="94" s="1"/>
  <c r="L97" i="94"/>
  <c r="G98" i="94"/>
  <c r="H98" i="94"/>
  <c r="I98" i="94" s="1"/>
  <c r="J98" i="94"/>
  <c r="K98" i="94" s="1"/>
  <c r="L98" i="94"/>
  <c r="G99" i="94"/>
  <c r="H99" i="94"/>
  <c r="I99" i="94" s="1"/>
  <c r="J99" i="94"/>
  <c r="K99" i="94" s="1"/>
  <c r="L99" i="94"/>
  <c r="G100" i="94"/>
  <c r="H100" i="94"/>
  <c r="I100" i="94" s="1"/>
  <c r="J100" i="94"/>
  <c r="K100" i="94" s="1"/>
  <c r="L100" i="94"/>
  <c r="G101" i="94"/>
  <c r="H101" i="94"/>
  <c r="I101" i="94" s="1"/>
  <c r="J101" i="94"/>
  <c r="K101" i="94" s="1"/>
  <c r="L101" i="94"/>
  <c r="G102" i="94"/>
  <c r="H102" i="94"/>
  <c r="I102" i="94" s="1"/>
  <c r="J102" i="94"/>
  <c r="K102" i="94" s="1"/>
  <c r="L102" i="94"/>
  <c r="G103" i="94"/>
  <c r="H103" i="94"/>
  <c r="I103" i="94" s="1"/>
  <c r="J103" i="94"/>
  <c r="K103" i="94" s="1"/>
  <c r="L103" i="94"/>
  <c r="G104" i="94"/>
  <c r="H104" i="94"/>
  <c r="I104" i="94" s="1"/>
  <c r="J104" i="94"/>
  <c r="K104" i="94" s="1"/>
  <c r="L104" i="94"/>
  <c r="G105" i="94"/>
  <c r="H105" i="94"/>
  <c r="I105" i="94" s="1"/>
  <c r="J105" i="94"/>
  <c r="K105" i="94" s="1"/>
  <c r="L105" i="94"/>
  <c r="G106" i="94"/>
  <c r="H106" i="94"/>
  <c r="I106" i="94" s="1"/>
  <c r="J106" i="94"/>
  <c r="K106" i="94" s="1"/>
  <c r="L106" i="94"/>
  <c r="G107" i="94"/>
  <c r="H107" i="94"/>
  <c r="I107" i="94" s="1"/>
  <c r="J107" i="94"/>
  <c r="K107" i="94" s="1"/>
  <c r="L107" i="94"/>
  <c r="G108" i="94"/>
  <c r="H108" i="94"/>
  <c r="I108" i="94" s="1"/>
  <c r="J108" i="94"/>
  <c r="K108" i="94" s="1"/>
  <c r="L108" i="94"/>
  <c r="G109" i="94"/>
  <c r="H109" i="94"/>
  <c r="I109" i="94" s="1"/>
  <c r="J109" i="94"/>
  <c r="K109" i="94" s="1"/>
  <c r="L109" i="94"/>
  <c r="G110" i="94"/>
  <c r="H110" i="94"/>
  <c r="I110" i="94" s="1"/>
  <c r="J110" i="94"/>
  <c r="K110" i="94" s="1"/>
  <c r="L110" i="94"/>
  <c r="G111" i="94"/>
  <c r="H111" i="94"/>
  <c r="I111" i="94" s="1"/>
  <c r="J111" i="94"/>
  <c r="K111" i="94" s="1"/>
  <c r="L111" i="94"/>
  <c r="G112" i="94"/>
  <c r="H112" i="94"/>
  <c r="I112" i="94" s="1"/>
  <c r="J112" i="94"/>
  <c r="K112" i="94" s="1"/>
  <c r="L112" i="94"/>
  <c r="G113" i="94"/>
  <c r="H113" i="94"/>
  <c r="I113" i="94" s="1"/>
  <c r="J113" i="94"/>
  <c r="K113" i="94" s="1"/>
  <c r="L113" i="94"/>
  <c r="G114" i="94"/>
  <c r="H114" i="94"/>
  <c r="I114" i="94" s="1"/>
  <c r="J114" i="94"/>
  <c r="K114" i="94" s="1"/>
  <c r="L114" i="94"/>
  <c r="G115" i="94"/>
  <c r="H115" i="94"/>
  <c r="I115" i="94" s="1"/>
  <c r="J115" i="94"/>
  <c r="K115" i="94" s="1"/>
  <c r="L115" i="94"/>
  <c r="G116" i="94"/>
  <c r="H116" i="94"/>
  <c r="I116" i="94" s="1"/>
  <c r="J116" i="94"/>
  <c r="K116" i="94" s="1"/>
  <c r="L116" i="94"/>
  <c r="G117" i="94"/>
  <c r="H117" i="94"/>
  <c r="I117" i="94" s="1"/>
  <c r="J117" i="94"/>
  <c r="K117" i="94" s="1"/>
  <c r="L117" i="94"/>
  <c r="G118" i="94"/>
  <c r="H118" i="94"/>
  <c r="I118" i="94" s="1"/>
  <c r="J118" i="94"/>
  <c r="K118" i="94" s="1"/>
  <c r="L118" i="94"/>
  <c r="G119" i="94"/>
  <c r="H119" i="94"/>
  <c r="I119" i="94" s="1"/>
  <c r="J119" i="94"/>
  <c r="K119" i="94" s="1"/>
  <c r="L119" i="94"/>
  <c r="G120" i="94"/>
  <c r="H120" i="94"/>
  <c r="I120" i="94" s="1"/>
  <c r="J120" i="94"/>
  <c r="K120" i="94" s="1"/>
  <c r="L120" i="94"/>
  <c r="G121" i="94"/>
  <c r="H121" i="94"/>
  <c r="I121" i="94" s="1"/>
  <c r="J121" i="94"/>
  <c r="K121" i="94" s="1"/>
  <c r="L121" i="94"/>
  <c r="G122" i="94"/>
  <c r="H122" i="94"/>
  <c r="I122" i="94" s="1"/>
  <c r="J122" i="94"/>
  <c r="K122" i="94" s="1"/>
  <c r="L122" i="94"/>
  <c r="G123" i="94"/>
  <c r="H123" i="94"/>
  <c r="I123" i="94" s="1"/>
  <c r="J123" i="94"/>
  <c r="K123" i="94" s="1"/>
  <c r="L123" i="94"/>
  <c r="G54" i="94"/>
  <c r="H54" i="94"/>
  <c r="I54" i="94" s="1"/>
  <c r="J54" i="94"/>
  <c r="K54" i="94" s="1"/>
  <c r="L54" i="94"/>
  <c r="G55" i="94"/>
  <c r="H55" i="94"/>
  <c r="I55" i="94" s="1"/>
  <c r="J55" i="94"/>
  <c r="K55" i="94" s="1"/>
  <c r="L55" i="94"/>
  <c r="G56" i="94"/>
  <c r="H56" i="94"/>
  <c r="I56" i="94" s="1"/>
  <c r="J56" i="94"/>
  <c r="K56" i="94" s="1"/>
  <c r="L56" i="94"/>
  <c r="G57" i="94"/>
  <c r="H57" i="94"/>
  <c r="I57" i="94" s="1"/>
  <c r="J57" i="94"/>
  <c r="K57" i="94" s="1"/>
  <c r="L57" i="94"/>
  <c r="G58" i="94"/>
  <c r="H58" i="94"/>
  <c r="I58" i="94" s="1"/>
  <c r="J58" i="94"/>
  <c r="K58" i="94" s="1"/>
  <c r="L58" i="94"/>
  <c r="G59" i="94"/>
  <c r="H59" i="94"/>
  <c r="I59" i="94" s="1"/>
  <c r="J59" i="94"/>
  <c r="K59" i="94" s="1"/>
  <c r="L59" i="94"/>
  <c r="G60" i="94"/>
  <c r="H60" i="94"/>
  <c r="I60" i="94" s="1"/>
  <c r="J60" i="94"/>
  <c r="K60" i="94" s="1"/>
  <c r="L60" i="94"/>
  <c r="G61" i="94"/>
  <c r="H61" i="94"/>
  <c r="I61" i="94" s="1"/>
  <c r="J61" i="94"/>
  <c r="K61" i="94" s="1"/>
  <c r="L61" i="94"/>
  <c r="G62" i="94"/>
  <c r="H62" i="94"/>
  <c r="I62" i="94" s="1"/>
  <c r="J62" i="94"/>
  <c r="K62" i="94" s="1"/>
  <c r="L62" i="94"/>
  <c r="G63" i="94"/>
  <c r="H63" i="94"/>
  <c r="I63" i="94" s="1"/>
  <c r="J63" i="94"/>
  <c r="K63" i="94" s="1"/>
  <c r="L63" i="94"/>
  <c r="G64" i="94"/>
  <c r="H64" i="94"/>
  <c r="I64" i="94" s="1"/>
  <c r="J64" i="94"/>
  <c r="K64" i="94" s="1"/>
  <c r="L64" i="94"/>
  <c r="G65" i="94"/>
  <c r="H65" i="94"/>
  <c r="I65" i="94" s="1"/>
  <c r="J65" i="94"/>
  <c r="K65" i="94" s="1"/>
  <c r="L65" i="94"/>
  <c r="G66" i="94"/>
  <c r="H66" i="94"/>
  <c r="I66" i="94" s="1"/>
  <c r="J66" i="94"/>
  <c r="K66" i="94" s="1"/>
  <c r="L66" i="94"/>
  <c r="G11" i="94"/>
  <c r="E9" i="95" s="1"/>
  <c r="H11" i="94"/>
  <c r="J11" i="94"/>
  <c r="L11" i="94"/>
  <c r="J9" i="95" s="1"/>
  <c r="G12" i="94"/>
  <c r="E10" i="95" s="1"/>
  <c r="H12" i="94"/>
  <c r="J12" i="94"/>
  <c r="L12" i="94"/>
  <c r="J10" i="95" s="1"/>
  <c r="G13" i="94"/>
  <c r="E16" i="95" s="1"/>
  <c r="H13" i="94"/>
  <c r="J13" i="94"/>
  <c r="L13" i="94"/>
  <c r="J16" i="95" s="1"/>
  <c r="G14" i="94"/>
  <c r="E17" i="95" s="1"/>
  <c r="H14" i="94"/>
  <c r="F17" i="95" s="1"/>
  <c r="J14" i="94"/>
  <c r="H17" i="95" s="1"/>
  <c r="L14" i="94"/>
  <c r="J17" i="95" s="1"/>
  <c r="G15" i="94"/>
  <c r="H15" i="94"/>
  <c r="I15" i="94" s="1"/>
  <c r="J15" i="94"/>
  <c r="K15" i="94" s="1"/>
  <c r="L15" i="94"/>
  <c r="G16" i="94"/>
  <c r="H16" i="94"/>
  <c r="I16" i="94" s="1"/>
  <c r="J16" i="94"/>
  <c r="K16" i="94" s="1"/>
  <c r="L16" i="94"/>
  <c r="G17" i="94"/>
  <c r="H17" i="94"/>
  <c r="I17" i="94" s="1"/>
  <c r="J17" i="94"/>
  <c r="K17" i="94" s="1"/>
  <c r="L17" i="94"/>
  <c r="G18" i="94"/>
  <c r="H18" i="94"/>
  <c r="I18" i="94" s="1"/>
  <c r="J18" i="94"/>
  <c r="K18" i="94" s="1"/>
  <c r="L18" i="94"/>
  <c r="G19" i="94"/>
  <c r="H19" i="94"/>
  <c r="I19" i="94" s="1"/>
  <c r="J19" i="94"/>
  <c r="K19" i="94" s="1"/>
  <c r="L19" i="94"/>
  <c r="G20" i="94"/>
  <c r="H20" i="94"/>
  <c r="I20" i="94" s="1"/>
  <c r="J20" i="94"/>
  <c r="K20" i="94" s="1"/>
  <c r="L20" i="94"/>
  <c r="G21" i="94"/>
  <c r="H21" i="94"/>
  <c r="I21" i="94" s="1"/>
  <c r="J21" i="94"/>
  <c r="K21" i="94" s="1"/>
  <c r="L21" i="94"/>
  <c r="G22" i="94"/>
  <c r="H22" i="94"/>
  <c r="I22" i="94" s="1"/>
  <c r="J22" i="94"/>
  <c r="K22" i="94" s="1"/>
  <c r="L22" i="94"/>
  <c r="G23" i="94"/>
  <c r="H23" i="94"/>
  <c r="I23" i="94" s="1"/>
  <c r="J23" i="94"/>
  <c r="K23" i="94" s="1"/>
  <c r="L23" i="94"/>
  <c r="G24" i="94"/>
  <c r="H24" i="94"/>
  <c r="I24" i="94" s="1"/>
  <c r="J24" i="94"/>
  <c r="K24" i="94" s="1"/>
  <c r="L24" i="94"/>
  <c r="G25" i="94"/>
  <c r="H25" i="94"/>
  <c r="I25" i="94" s="1"/>
  <c r="J25" i="94"/>
  <c r="K25" i="94" s="1"/>
  <c r="L25" i="94"/>
  <c r="G26" i="94"/>
  <c r="H26" i="94"/>
  <c r="I26" i="94" s="1"/>
  <c r="J26" i="94"/>
  <c r="K26" i="94" s="1"/>
  <c r="L26" i="94"/>
  <c r="G27" i="94"/>
  <c r="H27" i="94"/>
  <c r="I27" i="94" s="1"/>
  <c r="J27" i="94"/>
  <c r="K27" i="94" s="1"/>
  <c r="L27" i="94"/>
  <c r="G28" i="94"/>
  <c r="H28" i="94"/>
  <c r="I28" i="94" s="1"/>
  <c r="J28" i="94"/>
  <c r="K28" i="94" s="1"/>
  <c r="L28" i="94"/>
  <c r="G29" i="94"/>
  <c r="H29" i="94"/>
  <c r="I29" i="94" s="1"/>
  <c r="J29" i="94"/>
  <c r="K29" i="94" s="1"/>
  <c r="L29" i="94"/>
  <c r="G30" i="94"/>
  <c r="H30" i="94"/>
  <c r="I30" i="94" s="1"/>
  <c r="J30" i="94"/>
  <c r="K30" i="94" s="1"/>
  <c r="L30" i="94"/>
  <c r="G31" i="94"/>
  <c r="H31" i="94"/>
  <c r="I31" i="94" s="1"/>
  <c r="J31" i="94"/>
  <c r="K31" i="94" s="1"/>
  <c r="L31" i="94"/>
  <c r="G32" i="94"/>
  <c r="H32" i="94"/>
  <c r="I32" i="94" s="1"/>
  <c r="J32" i="94"/>
  <c r="K32" i="94" s="1"/>
  <c r="L32" i="94"/>
  <c r="G33" i="94"/>
  <c r="H33" i="94"/>
  <c r="I33" i="94" s="1"/>
  <c r="J33" i="94"/>
  <c r="K33" i="94" s="1"/>
  <c r="L33" i="94"/>
  <c r="G34" i="94"/>
  <c r="H34" i="94"/>
  <c r="I34" i="94" s="1"/>
  <c r="J34" i="94"/>
  <c r="K34" i="94" s="1"/>
  <c r="L34" i="94"/>
  <c r="G35" i="94"/>
  <c r="H35" i="94"/>
  <c r="I35" i="94" s="1"/>
  <c r="J35" i="94"/>
  <c r="K35" i="94" s="1"/>
  <c r="L35" i="94"/>
  <c r="G36" i="94"/>
  <c r="H36" i="94"/>
  <c r="I36" i="94" s="1"/>
  <c r="J36" i="94"/>
  <c r="K36" i="94" s="1"/>
  <c r="L36" i="94"/>
  <c r="G37" i="94"/>
  <c r="H37" i="94"/>
  <c r="I37" i="94" s="1"/>
  <c r="J37" i="94"/>
  <c r="K37" i="94" s="1"/>
  <c r="L37" i="94"/>
  <c r="G38" i="94"/>
  <c r="H38" i="94"/>
  <c r="I38" i="94" s="1"/>
  <c r="J38" i="94"/>
  <c r="K38" i="94" s="1"/>
  <c r="L38" i="94"/>
  <c r="G39" i="94"/>
  <c r="H39" i="94"/>
  <c r="I39" i="94" s="1"/>
  <c r="J39" i="94"/>
  <c r="K39" i="94" s="1"/>
  <c r="L39" i="94"/>
  <c r="G40" i="94"/>
  <c r="H40" i="94"/>
  <c r="I40" i="94" s="1"/>
  <c r="J40" i="94"/>
  <c r="K40" i="94" s="1"/>
  <c r="L40" i="94"/>
  <c r="G41" i="94"/>
  <c r="H41" i="94"/>
  <c r="I41" i="94" s="1"/>
  <c r="J41" i="94"/>
  <c r="K41" i="94" s="1"/>
  <c r="L41" i="94"/>
  <c r="G42" i="94"/>
  <c r="H42" i="94"/>
  <c r="I42" i="94" s="1"/>
  <c r="J42" i="94"/>
  <c r="K42" i="94" s="1"/>
  <c r="L42" i="94"/>
  <c r="G43" i="94"/>
  <c r="H43" i="94"/>
  <c r="I43" i="94" s="1"/>
  <c r="J43" i="94"/>
  <c r="K43" i="94" s="1"/>
  <c r="L43" i="94"/>
  <c r="G44" i="94"/>
  <c r="H44" i="94"/>
  <c r="I44" i="94" s="1"/>
  <c r="J44" i="94"/>
  <c r="K44" i="94" s="1"/>
  <c r="L44" i="94"/>
  <c r="G45" i="94"/>
  <c r="H45" i="94"/>
  <c r="I45" i="94" s="1"/>
  <c r="J45" i="94"/>
  <c r="K45" i="94" s="1"/>
  <c r="L45" i="94"/>
  <c r="G46" i="94"/>
  <c r="H46" i="94"/>
  <c r="I46" i="94" s="1"/>
  <c r="J46" i="94"/>
  <c r="K46" i="94" s="1"/>
  <c r="L46" i="94"/>
  <c r="G47" i="94"/>
  <c r="H47" i="94"/>
  <c r="I47" i="94" s="1"/>
  <c r="J47" i="94"/>
  <c r="K47" i="94" s="1"/>
  <c r="L47" i="94"/>
  <c r="G48" i="94"/>
  <c r="H48" i="94"/>
  <c r="I48" i="94" s="1"/>
  <c r="J48" i="94"/>
  <c r="K48" i="94" s="1"/>
  <c r="L48" i="94"/>
  <c r="G49" i="94"/>
  <c r="H49" i="94"/>
  <c r="I49" i="94" s="1"/>
  <c r="J49" i="94"/>
  <c r="K49" i="94" s="1"/>
  <c r="L49" i="94"/>
  <c r="G50" i="94"/>
  <c r="H50" i="94"/>
  <c r="I50" i="94" s="1"/>
  <c r="J50" i="94"/>
  <c r="K50" i="94" s="1"/>
  <c r="L50" i="94"/>
  <c r="G51" i="94"/>
  <c r="H51" i="94"/>
  <c r="I51" i="94" s="1"/>
  <c r="J51" i="94"/>
  <c r="K51" i="94" s="1"/>
  <c r="L51" i="94"/>
  <c r="G52" i="94"/>
  <c r="H52" i="94"/>
  <c r="I52" i="94" s="1"/>
  <c r="J52" i="94"/>
  <c r="K52" i="94" s="1"/>
  <c r="L52" i="94"/>
  <c r="G53" i="94"/>
  <c r="H53" i="94"/>
  <c r="I53" i="94" s="1"/>
  <c r="J53" i="94"/>
  <c r="K53" i="94" s="1"/>
  <c r="L53" i="94"/>
  <c r="G10" i="94"/>
  <c r="E8" i="95" s="1"/>
  <c r="E5" i="94"/>
  <c r="L10" i="94"/>
  <c r="J8" i="95" s="1"/>
  <c r="J10" i="94"/>
  <c r="H10" i="94"/>
  <c r="N73" i="96" l="1"/>
  <c r="F40" i="96"/>
  <c r="D40" i="96"/>
  <c r="J40" i="96"/>
  <c r="H40" i="96"/>
  <c r="G40" i="96"/>
  <c r="I40" i="96"/>
  <c r="E40" i="96"/>
  <c r="C40" i="96"/>
  <c r="M40" i="96"/>
  <c r="N40" i="96"/>
  <c r="L40" i="96"/>
  <c r="K40" i="96"/>
  <c r="N48" i="132"/>
  <c r="N49" i="104"/>
  <c r="N49" i="132" s="1"/>
  <c r="R33" i="95"/>
  <c r="R6" i="95"/>
  <c r="R8" i="95"/>
  <c r="P17" i="95"/>
  <c r="R32" i="95"/>
  <c r="R19" i="95"/>
  <c r="R16" i="95"/>
  <c r="R10" i="95"/>
  <c r="R31" i="95"/>
  <c r="R17" i="95"/>
  <c r="R21" i="95"/>
  <c r="R25" i="95"/>
  <c r="R34" i="95"/>
  <c r="R9" i="95"/>
  <c r="E35" i="95"/>
  <c r="E36" i="95" s="1"/>
  <c r="O61" i="96" s="1"/>
  <c r="N24" i="132"/>
  <c r="N25" i="132" s="1"/>
  <c r="O18" i="103"/>
  <c r="O19" i="96"/>
  <c r="O16" i="96"/>
  <c r="C52" i="103"/>
  <c r="C57" i="103"/>
  <c r="C59" i="103" s="1"/>
  <c r="O49" i="103"/>
  <c r="D8" i="140" s="1"/>
  <c r="O25" i="103"/>
  <c r="C20" i="105"/>
  <c r="E20" i="105" s="1"/>
  <c r="Q40" i="96"/>
  <c r="M55" i="103"/>
  <c r="M43" i="104"/>
  <c r="O48" i="104"/>
  <c r="L54" i="103"/>
  <c r="K53" i="103"/>
  <c r="K21" i="103"/>
  <c r="J21" i="103" s="1"/>
  <c r="I21" i="103" s="1"/>
  <c r="H21" i="103" s="1"/>
  <c r="G21" i="103" s="1"/>
  <c r="F21" i="103" s="1"/>
  <c r="E21" i="103" s="1"/>
  <c r="F74" i="96"/>
  <c r="L74" i="96"/>
  <c r="H74" i="96"/>
  <c r="E74" i="96"/>
  <c r="G74" i="96"/>
  <c r="J74" i="96"/>
  <c r="M74" i="96"/>
  <c r="K74" i="96"/>
  <c r="I74" i="96"/>
  <c r="N74" i="96"/>
  <c r="J22" i="95"/>
  <c r="J27" i="95"/>
  <c r="J26" i="95"/>
  <c r="J28" i="95"/>
  <c r="E26" i="95"/>
  <c r="E27" i="95"/>
  <c r="K188" i="94"/>
  <c r="I31" i="95" s="1"/>
  <c r="H31" i="95"/>
  <c r="K192" i="94"/>
  <c r="I35" i="95" s="1"/>
  <c r="H35" i="95"/>
  <c r="I188" i="94"/>
  <c r="G31" i="95" s="1"/>
  <c r="Q31" i="95" s="1"/>
  <c r="F31" i="95"/>
  <c r="I192" i="94"/>
  <c r="G35" i="95" s="1"/>
  <c r="F35" i="95"/>
  <c r="K147" i="94"/>
  <c r="I26" i="95" s="1"/>
  <c r="H26" i="95"/>
  <c r="K185" i="94"/>
  <c r="I27" i="95" s="1"/>
  <c r="H27" i="95"/>
  <c r="K189" i="94"/>
  <c r="I34" i="95" s="1"/>
  <c r="H34" i="95"/>
  <c r="I147" i="94"/>
  <c r="G26" i="95" s="1"/>
  <c r="F26" i="95"/>
  <c r="I185" i="94"/>
  <c r="G27" i="95" s="1"/>
  <c r="F27" i="95"/>
  <c r="I189" i="94"/>
  <c r="G34" i="95" s="1"/>
  <c r="Q34" i="95" s="1"/>
  <c r="F34" i="95"/>
  <c r="K146" i="94"/>
  <c r="I25" i="95" s="1"/>
  <c r="H25" i="95"/>
  <c r="K190" i="94"/>
  <c r="I33" i="95" s="1"/>
  <c r="H33" i="95"/>
  <c r="I146" i="94"/>
  <c r="G25" i="95" s="1"/>
  <c r="F25" i="95"/>
  <c r="I190" i="94"/>
  <c r="G33" i="95" s="1"/>
  <c r="F33" i="95"/>
  <c r="K145" i="94"/>
  <c r="I19" i="95" s="1"/>
  <c r="H19" i="95"/>
  <c r="K155" i="94"/>
  <c r="I28" i="95" s="1"/>
  <c r="H28" i="95"/>
  <c r="K191" i="94"/>
  <c r="I32" i="95" s="1"/>
  <c r="H32" i="95"/>
  <c r="I145" i="94"/>
  <c r="G19" i="95" s="1"/>
  <c r="Q19" i="95" s="1"/>
  <c r="F19" i="95"/>
  <c r="I155" i="94"/>
  <c r="G28" i="95" s="1"/>
  <c r="F28" i="95"/>
  <c r="I191" i="94"/>
  <c r="G32" i="95" s="1"/>
  <c r="F32" i="95"/>
  <c r="P32" i="95" s="1"/>
  <c r="E28" i="95"/>
  <c r="J35" i="95"/>
  <c r="K140" i="94"/>
  <c r="I21" i="95" s="1"/>
  <c r="J20" i="95"/>
  <c r="E11" i="95"/>
  <c r="O25" i="96" s="1"/>
  <c r="K14" i="94"/>
  <c r="H13" i="95"/>
  <c r="H14" i="95" s="1"/>
  <c r="O33" i="96" s="1"/>
  <c r="K141" i="94"/>
  <c r="I22" i="95" s="1"/>
  <c r="H22" i="95"/>
  <c r="I14" i="94"/>
  <c r="F13" i="95"/>
  <c r="I141" i="94"/>
  <c r="G22" i="95" s="1"/>
  <c r="F22" i="95"/>
  <c r="J13" i="95"/>
  <c r="E22" i="95"/>
  <c r="E13" i="95"/>
  <c r="K13" i="94"/>
  <c r="I16" i="95" s="1"/>
  <c r="H16" i="95"/>
  <c r="I13" i="94"/>
  <c r="G16" i="95" s="1"/>
  <c r="F16" i="95"/>
  <c r="K194" i="94"/>
  <c r="I6" i="95" s="1"/>
  <c r="O18" i="96" s="1"/>
  <c r="H6" i="95"/>
  <c r="K12" i="94"/>
  <c r="I10" i="95" s="1"/>
  <c r="H10" i="95"/>
  <c r="K143" i="94"/>
  <c r="I20" i="95" s="1"/>
  <c r="H20" i="95"/>
  <c r="I194" i="94"/>
  <c r="G6" i="95" s="1"/>
  <c r="F6" i="95"/>
  <c r="I12" i="94"/>
  <c r="G10" i="95" s="1"/>
  <c r="Q10" i="95" s="1"/>
  <c r="F10" i="95"/>
  <c r="I143" i="94"/>
  <c r="G20" i="95" s="1"/>
  <c r="F20" i="95"/>
  <c r="P20" i="95" s="1"/>
  <c r="J18" i="95"/>
  <c r="E20" i="95"/>
  <c r="I10" i="94"/>
  <c r="G8" i="95" s="1"/>
  <c r="F8" i="95"/>
  <c r="K124" i="94"/>
  <c r="I18" i="95" s="1"/>
  <c r="H18" i="95"/>
  <c r="K10" i="94"/>
  <c r="I8" i="95" s="1"/>
  <c r="H8" i="95"/>
  <c r="K11" i="94"/>
  <c r="I9" i="95" s="1"/>
  <c r="H9" i="95"/>
  <c r="I124" i="94"/>
  <c r="G18" i="95" s="1"/>
  <c r="F18" i="95"/>
  <c r="J11" i="95"/>
  <c r="O28" i="96" s="1"/>
  <c r="I11" i="94"/>
  <c r="G9" i="95" s="1"/>
  <c r="Q9" i="95" s="1"/>
  <c r="F9" i="95"/>
  <c r="P9" i="95" s="1"/>
  <c r="E18" i="95"/>
  <c r="Q18" i="95" s="1"/>
  <c r="I140" i="94"/>
  <c r="G21" i="95" s="1"/>
  <c r="Q21" i="95" s="1"/>
  <c r="F21" i="95"/>
  <c r="P21" i="95" s="1"/>
  <c r="L195" i="94"/>
  <c r="G195" i="94"/>
  <c r="M187" i="94"/>
  <c r="M142" i="94"/>
  <c r="J195" i="94"/>
  <c r="H195" i="94"/>
  <c r="M42" i="94"/>
  <c r="M158" i="94"/>
  <c r="M48" i="94"/>
  <c r="M193" i="94"/>
  <c r="M192" i="94"/>
  <c r="M125" i="94"/>
  <c r="M182" i="94"/>
  <c r="M169" i="94"/>
  <c r="M165" i="94"/>
  <c r="M162" i="94"/>
  <c r="M75" i="94"/>
  <c r="M183" i="94"/>
  <c r="M50" i="94"/>
  <c r="M77" i="94"/>
  <c r="M171" i="94"/>
  <c r="M174" i="94"/>
  <c r="M128" i="94"/>
  <c r="M133" i="94"/>
  <c r="M151" i="94"/>
  <c r="M180" i="94"/>
  <c r="M186" i="94"/>
  <c r="M181" i="94"/>
  <c r="M135" i="94"/>
  <c r="M126" i="94"/>
  <c r="M127" i="94"/>
  <c r="M167" i="94"/>
  <c r="M18" i="94"/>
  <c r="M144" i="94"/>
  <c r="M161" i="94"/>
  <c r="M175" i="94"/>
  <c r="M172" i="94"/>
  <c r="M166" i="94"/>
  <c r="M156" i="94"/>
  <c r="M131" i="94"/>
  <c r="M149" i="94"/>
  <c r="M177" i="94"/>
  <c r="M160" i="94"/>
  <c r="M163" i="94"/>
  <c r="M53" i="94"/>
  <c r="M100" i="94"/>
  <c r="M113" i="94"/>
  <c r="M176" i="94"/>
  <c r="M173" i="94"/>
  <c r="M179" i="94"/>
  <c r="M129" i="94"/>
  <c r="M164" i="94"/>
  <c r="M153" i="94"/>
  <c r="M150" i="94"/>
  <c r="M178" i="94"/>
  <c r="M159" i="94"/>
  <c r="M152" i="94"/>
  <c r="M154" i="94"/>
  <c r="M168" i="94"/>
  <c r="M184" i="94"/>
  <c r="M170" i="94"/>
  <c r="M157" i="94"/>
  <c r="M148" i="94"/>
  <c r="M137" i="94"/>
  <c r="M139" i="94"/>
  <c r="M138" i="94"/>
  <c r="M136" i="94"/>
  <c r="M134" i="94"/>
  <c r="M132" i="94"/>
  <c r="M130" i="94"/>
  <c r="M123" i="94"/>
  <c r="M93" i="94"/>
  <c r="M34" i="94"/>
  <c r="M82" i="94"/>
  <c r="M62" i="94"/>
  <c r="M88" i="94"/>
  <c r="M98" i="94"/>
  <c r="M79" i="94"/>
  <c r="M26" i="94"/>
  <c r="M32" i="94"/>
  <c r="M66" i="94"/>
  <c r="M111" i="94"/>
  <c r="M118" i="94"/>
  <c r="M97" i="94"/>
  <c r="M90" i="94"/>
  <c r="M116" i="94"/>
  <c r="M106" i="94"/>
  <c r="M55" i="94"/>
  <c r="M95" i="94"/>
  <c r="M57" i="94"/>
  <c r="M68" i="94"/>
  <c r="M109" i="94"/>
  <c r="M61" i="94"/>
  <c r="M51" i="94"/>
  <c r="M122" i="94"/>
  <c r="M114" i="94"/>
  <c r="M89" i="94"/>
  <c r="M46" i="94"/>
  <c r="M39" i="94"/>
  <c r="M102" i="94"/>
  <c r="M94" i="94"/>
  <c r="M28" i="94"/>
  <c r="M30" i="94"/>
  <c r="M107" i="94"/>
  <c r="M37" i="94"/>
  <c r="M23" i="94"/>
  <c r="M104" i="94"/>
  <c r="M84" i="94"/>
  <c r="M44" i="94"/>
  <c r="M120" i="94"/>
  <c r="M81" i="94"/>
  <c r="M86" i="94"/>
  <c r="M91" i="94"/>
  <c r="M74" i="94"/>
  <c r="M73" i="94"/>
  <c r="M121" i="94"/>
  <c r="M80" i="94"/>
  <c r="M83" i="94"/>
  <c r="M105" i="94"/>
  <c r="M70" i="94"/>
  <c r="M67" i="94"/>
  <c r="M112" i="94"/>
  <c r="M96" i="94"/>
  <c r="M115" i="94"/>
  <c r="M99" i="94"/>
  <c r="M69" i="94"/>
  <c r="M101" i="94"/>
  <c r="M72" i="94"/>
  <c r="M119" i="94"/>
  <c r="M117" i="94"/>
  <c r="M85" i="94"/>
  <c r="M103" i="94"/>
  <c r="M71" i="94"/>
  <c r="M87" i="94"/>
  <c r="M78" i="94"/>
  <c r="M108" i="94"/>
  <c r="M92" i="94"/>
  <c r="M110" i="94"/>
  <c r="M76" i="94"/>
  <c r="M59" i="94"/>
  <c r="M64" i="94"/>
  <c r="M60" i="94"/>
  <c r="M54" i="94"/>
  <c r="M25" i="94"/>
  <c r="M41" i="94"/>
  <c r="M35" i="94"/>
  <c r="M49" i="94"/>
  <c r="M27" i="94"/>
  <c r="M40" i="94"/>
  <c r="M24" i="94"/>
  <c r="M43" i="94"/>
  <c r="M22" i="94"/>
  <c r="M21" i="94"/>
  <c r="M16" i="94"/>
  <c r="M56" i="94"/>
  <c r="M58" i="94"/>
  <c r="M65" i="94"/>
  <c r="M63" i="94"/>
  <c r="M15" i="94"/>
  <c r="M45" i="94"/>
  <c r="M38" i="94"/>
  <c r="M29" i="94"/>
  <c r="M31" i="94"/>
  <c r="M52" i="94"/>
  <c r="M47" i="94"/>
  <c r="M20" i="94"/>
  <c r="M17" i="94"/>
  <c r="M36" i="94"/>
  <c r="M33" i="94"/>
  <c r="M19" i="94"/>
  <c r="S41" i="93"/>
  <c r="S40" i="93"/>
  <c r="S39" i="93"/>
  <c r="S35" i="93"/>
  <c r="S34" i="93"/>
  <c r="S33" i="93"/>
  <c r="P41" i="93"/>
  <c r="P40" i="93"/>
  <c r="P39" i="93"/>
  <c r="P35" i="93"/>
  <c r="P34" i="93"/>
  <c r="P33" i="93"/>
  <c r="M41" i="93"/>
  <c r="M40" i="93"/>
  <c r="M39" i="93"/>
  <c r="M35" i="93"/>
  <c r="M34" i="93"/>
  <c r="M33" i="93"/>
  <c r="J41" i="93"/>
  <c r="J40" i="93"/>
  <c r="J39" i="93"/>
  <c r="J35" i="93"/>
  <c r="J34" i="93"/>
  <c r="J33" i="93"/>
  <c r="G41" i="93"/>
  <c r="G40" i="93"/>
  <c r="G39" i="93"/>
  <c r="G35" i="93"/>
  <c r="G34" i="93"/>
  <c r="G33" i="93"/>
  <c r="D41" i="93"/>
  <c r="D40" i="93"/>
  <c r="D39" i="93"/>
  <c r="D35" i="93"/>
  <c r="D34" i="93"/>
  <c r="D33" i="93"/>
  <c r="S17" i="93"/>
  <c r="S16" i="93"/>
  <c r="S15" i="93"/>
  <c r="S11" i="93"/>
  <c r="S10" i="93"/>
  <c r="S9" i="93"/>
  <c r="P17" i="93"/>
  <c r="P16" i="93"/>
  <c r="P15" i="93"/>
  <c r="P11" i="93"/>
  <c r="P10" i="93"/>
  <c r="P9" i="93"/>
  <c r="M17" i="93"/>
  <c r="M16" i="93"/>
  <c r="M15" i="93"/>
  <c r="M11" i="93"/>
  <c r="M10" i="93"/>
  <c r="M9" i="93"/>
  <c r="J17" i="93"/>
  <c r="J16" i="93"/>
  <c r="J15" i="93"/>
  <c r="J11" i="93"/>
  <c r="J10" i="93"/>
  <c r="J9" i="93"/>
  <c r="G17" i="93"/>
  <c r="G16" i="93"/>
  <c r="G15" i="93"/>
  <c r="G11" i="93"/>
  <c r="G10" i="93"/>
  <c r="G9" i="93"/>
  <c r="D16" i="93"/>
  <c r="D17" i="93"/>
  <c r="D15" i="93"/>
  <c r="D10" i="93"/>
  <c r="D11" i="93"/>
  <c r="D9" i="93"/>
  <c r="C50" i="92"/>
  <c r="C43" i="92"/>
  <c r="C36" i="92"/>
  <c r="C29" i="92"/>
  <c r="C22" i="92"/>
  <c r="C15" i="92"/>
  <c r="C8" i="92"/>
  <c r="N67" i="90"/>
  <c r="M68" i="90" s="1"/>
  <c r="N66" i="90" s="1"/>
  <c r="M67" i="90"/>
  <c r="L68" i="90" s="1"/>
  <c r="M66" i="90" s="1"/>
  <c r="L67" i="90"/>
  <c r="K68" i="90" s="1"/>
  <c r="K67" i="90"/>
  <c r="J68" i="90" s="1"/>
  <c r="J67" i="90"/>
  <c r="I68" i="90" s="1"/>
  <c r="I67" i="90"/>
  <c r="H68" i="90" s="1"/>
  <c r="H67" i="90"/>
  <c r="G68" i="90" s="1"/>
  <c r="G67" i="90"/>
  <c r="F68" i="90" s="1"/>
  <c r="G66" i="90" s="1"/>
  <c r="F67" i="90"/>
  <c r="E68" i="90" s="1"/>
  <c r="F66" i="90" s="1"/>
  <c r="E67" i="90"/>
  <c r="D68" i="90" s="1"/>
  <c r="E66" i="90" s="1"/>
  <c r="D67" i="90"/>
  <c r="C64" i="90"/>
  <c r="C63" i="90"/>
  <c r="C62" i="90"/>
  <c r="C66" i="90" s="1"/>
  <c r="N58" i="90"/>
  <c r="M59" i="90" s="1"/>
  <c r="M58" i="90"/>
  <c r="L59" i="90" s="1"/>
  <c r="L58" i="90"/>
  <c r="K59" i="90" s="1"/>
  <c r="K58" i="90"/>
  <c r="J59" i="90" s="1"/>
  <c r="J58" i="90"/>
  <c r="I59" i="90" s="1"/>
  <c r="I58" i="90"/>
  <c r="H58" i="90"/>
  <c r="G58" i="90"/>
  <c r="F59" i="90" s="1"/>
  <c r="G57" i="90" s="1"/>
  <c r="F58" i="90"/>
  <c r="E59" i="90" s="1"/>
  <c r="F57" i="90" s="1"/>
  <c r="E58" i="90"/>
  <c r="D59" i="90" s="1"/>
  <c r="E57" i="90" s="1"/>
  <c r="D58" i="90"/>
  <c r="C55" i="90"/>
  <c r="C54" i="90"/>
  <c r="C53" i="90"/>
  <c r="C57" i="90" s="1"/>
  <c r="D13" i="56"/>
  <c r="D29" i="56"/>
  <c r="G49" i="90"/>
  <c r="E16" i="91"/>
  <c r="E16" i="56" s="1"/>
  <c r="F16" i="56" s="1"/>
  <c r="E15" i="91"/>
  <c r="F15" i="91" s="1"/>
  <c r="E14" i="91"/>
  <c r="F14" i="91" s="1"/>
  <c r="E13" i="91"/>
  <c r="F13" i="91" s="1"/>
  <c r="E12" i="91"/>
  <c r="F12" i="91" s="1"/>
  <c r="E7" i="91"/>
  <c r="F7" i="91" s="1"/>
  <c r="E6" i="91"/>
  <c r="E6" i="56" s="1"/>
  <c r="F6" i="56" s="1"/>
  <c r="E5" i="91"/>
  <c r="F5" i="91" s="1"/>
  <c r="N49" i="90"/>
  <c r="M49" i="90"/>
  <c r="L49" i="90"/>
  <c r="K49" i="90"/>
  <c r="J49" i="90"/>
  <c r="I49" i="90"/>
  <c r="H49" i="90"/>
  <c r="F49" i="90"/>
  <c r="E49" i="90"/>
  <c r="D49" i="90"/>
  <c r="C46" i="90"/>
  <c r="C45" i="90"/>
  <c r="C44" i="90"/>
  <c r="C48" i="90" s="1"/>
  <c r="N40" i="90"/>
  <c r="M40" i="90"/>
  <c r="L40" i="90"/>
  <c r="K41" i="90" s="1"/>
  <c r="K40" i="90"/>
  <c r="J41" i="90" s="1"/>
  <c r="J40" i="90"/>
  <c r="I41" i="90" s="1"/>
  <c r="I40" i="90"/>
  <c r="H40" i="90"/>
  <c r="G40" i="90"/>
  <c r="F40" i="90"/>
  <c r="E40" i="90"/>
  <c r="D40" i="90"/>
  <c r="C37" i="90"/>
  <c r="C36" i="90"/>
  <c r="C35" i="90"/>
  <c r="C39" i="90" s="1"/>
  <c r="N31" i="90"/>
  <c r="M32" i="90" s="1"/>
  <c r="M31" i="90"/>
  <c r="L32" i="90" s="1"/>
  <c r="L31" i="90"/>
  <c r="K32" i="90" s="1"/>
  <c r="K31" i="90"/>
  <c r="J32" i="90" s="1"/>
  <c r="J31" i="90"/>
  <c r="I31" i="90"/>
  <c r="H31" i="90"/>
  <c r="G31" i="90"/>
  <c r="F31" i="90"/>
  <c r="E31" i="90"/>
  <c r="D31" i="90"/>
  <c r="C32" i="90" s="1"/>
  <c r="C28" i="90"/>
  <c r="C27" i="90"/>
  <c r="C26" i="90"/>
  <c r="C30" i="90" s="1"/>
  <c r="N22" i="90"/>
  <c r="M22" i="90"/>
  <c r="L22" i="90"/>
  <c r="K22" i="90"/>
  <c r="J22" i="90"/>
  <c r="I22" i="90"/>
  <c r="H22" i="90"/>
  <c r="G22" i="90"/>
  <c r="F22" i="90"/>
  <c r="E22" i="90"/>
  <c r="D22" i="90"/>
  <c r="C19" i="90"/>
  <c r="C18" i="90"/>
  <c r="C17" i="90"/>
  <c r="C21" i="90" s="1"/>
  <c r="D13" i="90"/>
  <c r="E13" i="90"/>
  <c r="F13" i="90"/>
  <c r="G13" i="90"/>
  <c r="H13" i="90"/>
  <c r="I13" i="90"/>
  <c r="J13" i="90"/>
  <c r="K13" i="90"/>
  <c r="L13" i="90"/>
  <c r="M13" i="90"/>
  <c r="N13" i="90"/>
  <c r="C10" i="90"/>
  <c r="C9" i="90"/>
  <c r="C8" i="90"/>
  <c r="C12" i="90" s="1"/>
  <c r="E15" i="56"/>
  <c r="F15" i="56" s="1"/>
  <c r="E14" i="56"/>
  <c r="E13" i="56"/>
  <c r="E12" i="56"/>
  <c r="F12" i="56" s="1"/>
  <c r="E7" i="56"/>
  <c r="F7" i="56" s="1"/>
  <c r="E5" i="56"/>
  <c r="F5" i="56" s="1"/>
  <c r="F13" i="56"/>
  <c r="F14" i="56"/>
  <c r="C25" i="89"/>
  <c r="C12" i="89"/>
  <c r="C23" i="89"/>
  <c r="K34" i="87"/>
  <c r="H34" i="87"/>
  <c r="R33" i="87"/>
  <c r="P32" i="87"/>
  <c r="R12" i="86"/>
  <c r="R11" i="86" s="1"/>
  <c r="S12" i="86"/>
  <c r="S11" i="86" s="1"/>
  <c r="Q11" i="86"/>
  <c r="E34" i="87" s="1"/>
  <c r="Q12" i="86"/>
  <c r="Q8" i="86"/>
  <c r="S7" i="86"/>
  <c r="R7" i="86"/>
  <c r="C10" i="89"/>
  <c r="D10" i="140" l="1"/>
  <c r="D11" i="140"/>
  <c r="E8" i="140"/>
  <c r="N50" i="132"/>
  <c r="D18" i="96"/>
  <c r="J18" i="96"/>
  <c r="E18" i="96"/>
  <c r="F18" i="96"/>
  <c r="I18" i="96"/>
  <c r="M18" i="96"/>
  <c r="C18" i="96"/>
  <c r="G18" i="96"/>
  <c r="H18" i="96"/>
  <c r="L18" i="96"/>
  <c r="K18" i="96"/>
  <c r="N18" i="96"/>
  <c r="I61" i="96"/>
  <c r="D61" i="96"/>
  <c r="C61" i="96"/>
  <c r="N61" i="96"/>
  <c r="M61" i="96"/>
  <c r="F61" i="96"/>
  <c r="L61" i="96"/>
  <c r="K61" i="96"/>
  <c r="J61" i="96"/>
  <c r="G61" i="96"/>
  <c r="H61" i="96"/>
  <c r="E61" i="96"/>
  <c r="F28" i="96"/>
  <c r="F119" i="96" s="1"/>
  <c r="N28" i="96"/>
  <c r="N119" i="96" s="1"/>
  <c r="M28" i="96"/>
  <c r="M119" i="96" s="1"/>
  <c r="J28" i="96"/>
  <c r="J119" i="96" s="1"/>
  <c r="L28" i="96"/>
  <c r="L119" i="96" s="1"/>
  <c r="E28" i="96"/>
  <c r="E119" i="96" s="1"/>
  <c r="K28" i="96"/>
  <c r="K119" i="96" s="1"/>
  <c r="I28" i="96"/>
  <c r="I119" i="96" s="1"/>
  <c r="G28" i="96"/>
  <c r="G119" i="96" s="1"/>
  <c r="H28" i="96"/>
  <c r="H119" i="96" s="1"/>
  <c r="C28" i="96"/>
  <c r="C119" i="96" s="1"/>
  <c r="D28" i="96"/>
  <c r="D119" i="96" s="1"/>
  <c r="G16" i="96"/>
  <c r="E16" i="96"/>
  <c r="F16" i="96"/>
  <c r="D16" i="96"/>
  <c r="H16" i="96"/>
  <c r="K16" i="96"/>
  <c r="I16" i="96"/>
  <c r="J16" i="96"/>
  <c r="N16" i="96"/>
  <c r="L16" i="96"/>
  <c r="M16" i="96"/>
  <c r="C16" i="96"/>
  <c r="F19" i="96"/>
  <c r="F114" i="96" s="1"/>
  <c r="D19" i="96"/>
  <c r="D114" i="96" s="1"/>
  <c r="G19" i="96"/>
  <c r="G114" i="96" s="1"/>
  <c r="E19" i="96"/>
  <c r="E114" i="96" s="1"/>
  <c r="H19" i="96"/>
  <c r="H114" i="96" s="1"/>
  <c r="I19" i="96"/>
  <c r="I114" i="96" s="1"/>
  <c r="J19" i="96"/>
  <c r="J114" i="96" s="1"/>
  <c r="K19" i="96"/>
  <c r="K114" i="96" s="1"/>
  <c r="L19" i="96"/>
  <c r="L114" i="96" s="1"/>
  <c r="M19" i="96"/>
  <c r="M114" i="96" s="1"/>
  <c r="N19" i="96"/>
  <c r="N114" i="96" s="1"/>
  <c r="C19" i="96"/>
  <c r="C114" i="96" s="1"/>
  <c r="J25" i="96"/>
  <c r="H25" i="96"/>
  <c r="N25" i="96"/>
  <c r="M25" i="96"/>
  <c r="L25" i="96"/>
  <c r="G25" i="96"/>
  <c r="K25" i="96"/>
  <c r="I25" i="96"/>
  <c r="E25" i="96"/>
  <c r="F25" i="96"/>
  <c r="D25" i="96"/>
  <c r="C25" i="96"/>
  <c r="M33" i="96"/>
  <c r="N33" i="96"/>
  <c r="L33" i="96"/>
  <c r="K33" i="96"/>
  <c r="J33" i="96"/>
  <c r="I33" i="96"/>
  <c r="D33" i="96"/>
  <c r="H33" i="96"/>
  <c r="E33" i="96"/>
  <c r="G33" i="96"/>
  <c r="F33" i="96"/>
  <c r="C33" i="96"/>
  <c r="F60" i="90"/>
  <c r="M44" i="104"/>
  <c r="M49" i="104" s="1"/>
  <c r="M59" i="104"/>
  <c r="Q28" i="95"/>
  <c r="Q25" i="95"/>
  <c r="Q32" i="95"/>
  <c r="P35" i="95"/>
  <c r="P26" i="95"/>
  <c r="Q26" i="95"/>
  <c r="P16" i="95"/>
  <c r="P33" i="95"/>
  <c r="Q8" i="95"/>
  <c r="Q16" i="95"/>
  <c r="Q33" i="95"/>
  <c r="Q11" i="95"/>
  <c r="Q27" i="95"/>
  <c r="R28" i="95"/>
  <c r="P8" i="95"/>
  <c r="R20" i="95"/>
  <c r="S33" i="95"/>
  <c r="T33" i="95" s="1"/>
  <c r="R26" i="95"/>
  <c r="S16" i="95"/>
  <c r="R27" i="95"/>
  <c r="S21" i="95"/>
  <c r="T21" i="95" s="1"/>
  <c r="Q20" i="95"/>
  <c r="J36" i="95"/>
  <c r="O64" i="96" s="1"/>
  <c r="Q64" i="96" s="1"/>
  <c r="R35" i="95"/>
  <c r="P25" i="95"/>
  <c r="R22" i="95"/>
  <c r="R18" i="95"/>
  <c r="R23" i="95" s="1"/>
  <c r="R11" i="95"/>
  <c r="E14" i="95"/>
  <c r="O34" i="96" s="1"/>
  <c r="S32" i="95"/>
  <c r="T32" i="95" s="1"/>
  <c r="Q22" i="95"/>
  <c r="P10" i="95"/>
  <c r="J14" i="95"/>
  <c r="O37" i="96" s="1"/>
  <c r="R13" i="95"/>
  <c r="R14" i="95" s="1"/>
  <c r="P28" i="95"/>
  <c r="S9" i="95"/>
  <c r="T9" i="95" s="1"/>
  <c r="P22" i="95"/>
  <c r="P31" i="95"/>
  <c r="Q35" i="95"/>
  <c r="Q36" i="95" s="1"/>
  <c r="P34" i="95"/>
  <c r="R36" i="95"/>
  <c r="P6" i="95"/>
  <c r="Q6" i="95"/>
  <c r="F14" i="95"/>
  <c r="O32" i="96" s="1"/>
  <c r="P13" i="95"/>
  <c r="P18" i="95"/>
  <c r="P19" i="95"/>
  <c r="P27" i="95"/>
  <c r="D21" i="103"/>
  <c r="C21" i="103" s="1"/>
  <c r="E22" i="103"/>
  <c r="C23" i="90"/>
  <c r="D21" i="90" s="1"/>
  <c r="H14" i="90"/>
  <c r="L23" i="90"/>
  <c r="M21" i="90" s="1"/>
  <c r="M24" i="90" s="1"/>
  <c r="M19" i="92" s="1"/>
  <c r="M23" i="90"/>
  <c r="N21" i="90" s="1"/>
  <c r="C14" i="90"/>
  <c r="M22" i="132"/>
  <c r="E32" i="87"/>
  <c r="E60" i="90"/>
  <c r="F69" i="90"/>
  <c r="C68" i="90"/>
  <c r="D66" i="90" s="1"/>
  <c r="D69" i="90" s="1"/>
  <c r="D54" i="92" s="1"/>
  <c r="E69" i="90"/>
  <c r="Q19" i="96"/>
  <c r="Q16" i="96"/>
  <c r="Q33" i="96"/>
  <c r="O15" i="96"/>
  <c r="I13" i="95"/>
  <c r="I14" i="95" s="1"/>
  <c r="I17" i="95"/>
  <c r="I23" i="95" s="1"/>
  <c r="D20" i="106"/>
  <c r="C21" i="106"/>
  <c r="D21" i="106"/>
  <c r="O14" i="96"/>
  <c r="O57" i="103"/>
  <c r="O17" i="96"/>
  <c r="G13" i="95"/>
  <c r="G14" i="95" s="1"/>
  <c r="O35" i="96" s="1"/>
  <c r="G17" i="95"/>
  <c r="Q17" i="95" s="1"/>
  <c r="Q23" i="95" s="1"/>
  <c r="M60" i="103"/>
  <c r="D35" i="106"/>
  <c r="K33" i="87"/>
  <c r="L55" i="103"/>
  <c r="L43" i="104"/>
  <c r="J11" i="92"/>
  <c r="L18" i="92"/>
  <c r="K54" i="103"/>
  <c r="J53" i="103"/>
  <c r="Q25" i="96"/>
  <c r="Q61" i="96"/>
  <c r="J29" i="95"/>
  <c r="O55" i="96" s="1"/>
  <c r="Q28" i="96"/>
  <c r="Q18" i="96"/>
  <c r="K31" i="95"/>
  <c r="K27" i="95"/>
  <c r="M188" i="94"/>
  <c r="M147" i="94"/>
  <c r="K26" i="95"/>
  <c r="K34" i="95"/>
  <c r="K33" i="95"/>
  <c r="K35" i="95"/>
  <c r="K19" i="95"/>
  <c r="K32" i="95"/>
  <c r="M191" i="94"/>
  <c r="M145" i="94"/>
  <c r="I29" i="95"/>
  <c r="O54" i="96" s="1"/>
  <c r="H29" i="95"/>
  <c r="O51" i="96" s="1"/>
  <c r="M146" i="94"/>
  <c r="F36" i="95"/>
  <c r="O59" i="96" s="1"/>
  <c r="M155" i="94"/>
  <c r="G36" i="95"/>
  <c r="O62" i="96" s="1"/>
  <c r="G29" i="95"/>
  <c r="O53" i="96" s="1"/>
  <c r="K22" i="95"/>
  <c r="K28" i="95"/>
  <c r="E29" i="95"/>
  <c r="O52" i="96" s="1"/>
  <c r="K25" i="95"/>
  <c r="M190" i="94"/>
  <c r="M194" i="94"/>
  <c r="M189" i="94"/>
  <c r="H36" i="95"/>
  <c r="O60" i="96" s="1"/>
  <c r="M185" i="94"/>
  <c r="F29" i="95"/>
  <c r="O50" i="96" s="1"/>
  <c r="I36" i="95"/>
  <c r="O63" i="96" s="1"/>
  <c r="K21" i="95"/>
  <c r="K10" i="95"/>
  <c r="K6" i="95"/>
  <c r="J23" i="95"/>
  <c r="M140" i="94"/>
  <c r="K9" i="95"/>
  <c r="I11" i="95"/>
  <c r="O27" i="96" s="1"/>
  <c r="E23" i="95"/>
  <c r="I195" i="94"/>
  <c r="K16" i="95"/>
  <c r="K18" i="95"/>
  <c r="M13" i="94"/>
  <c r="F11" i="95"/>
  <c r="O23" i="96" s="1"/>
  <c r="M10" i="94"/>
  <c r="M11" i="94"/>
  <c r="F23" i="95"/>
  <c r="K20" i="95"/>
  <c r="M14" i="94"/>
  <c r="M143" i="94"/>
  <c r="K8" i="95"/>
  <c r="H11" i="95"/>
  <c r="O24" i="96" s="1"/>
  <c r="K195" i="94"/>
  <c r="G11" i="95"/>
  <c r="O26" i="96" s="1"/>
  <c r="M12" i="94"/>
  <c r="M124" i="94"/>
  <c r="M141" i="94"/>
  <c r="H23" i="95"/>
  <c r="M18" i="92"/>
  <c r="N18" i="92"/>
  <c r="J25" i="92"/>
  <c r="K25" i="92"/>
  <c r="L25" i="92"/>
  <c r="I25" i="92"/>
  <c r="M25" i="92"/>
  <c r="I39" i="92"/>
  <c r="C17" i="92"/>
  <c r="I53" i="92"/>
  <c r="J53" i="92"/>
  <c r="L53" i="92"/>
  <c r="F18" i="92"/>
  <c r="M53" i="92"/>
  <c r="G18" i="92"/>
  <c r="I46" i="92"/>
  <c r="K32" i="92"/>
  <c r="I18" i="92"/>
  <c r="L32" i="92"/>
  <c r="K46" i="92"/>
  <c r="J39" i="92"/>
  <c r="J18" i="92"/>
  <c r="M32" i="92"/>
  <c r="L46" i="92"/>
  <c r="E18" i="92"/>
  <c r="I32" i="92"/>
  <c r="J32" i="92"/>
  <c r="K18" i="92"/>
  <c r="N32" i="92"/>
  <c r="M46" i="92"/>
  <c r="K39" i="92"/>
  <c r="D18" i="92"/>
  <c r="K53" i="92"/>
  <c r="N53" i="92"/>
  <c r="H18" i="92"/>
  <c r="J46" i="92"/>
  <c r="N46" i="92"/>
  <c r="F54" i="92"/>
  <c r="E54" i="92"/>
  <c r="F53" i="92"/>
  <c r="G53" i="92"/>
  <c r="D53" i="92"/>
  <c r="E53" i="92"/>
  <c r="H53" i="92"/>
  <c r="F46" i="92"/>
  <c r="E47" i="92"/>
  <c r="C45" i="92"/>
  <c r="G46" i="92"/>
  <c r="F47" i="92"/>
  <c r="D46" i="92"/>
  <c r="E46" i="92"/>
  <c r="H46" i="92"/>
  <c r="M39" i="92"/>
  <c r="N39" i="92"/>
  <c r="D39" i="92"/>
  <c r="E39" i="92"/>
  <c r="L39" i="92"/>
  <c r="F39" i="92"/>
  <c r="C38" i="92"/>
  <c r="G39" i="92"/>
  <c r="H39" i="92"/>
  <c r="D32" i="92"/>
  <c r="E32" i="92"/>
  <c r="F32" i="92"/>
  <c r="C31" i="92"/>
  <c r="G32" i="92"/>
  <c r="H32" i="92"/>
  <c r="N25" i="92"/>
  <c r="D25" i="92"/>
  <c r="E25" i="92"/>
  <c r="F25" i="92"/>
  <c r="C24" i="92"/>
  <c r="G25" i="92"/>
  <c r="H25" i="92"/>
  <c r="I11" i="92"/>
  <c r="F11" i="92"/>
  <c r="E11" i="92"/>
  <c r="G11" i="92"/>
  <c r="H11" i="92"/>
  <c r="N11" i="92"/>
  <c r="M11" i="92"/>
  <c r="L11" i="92"/>
  <c r="K11" i="92"/>
  <c r="D11" i="92"/>
  <c r="C10" i="92"/>
  <c r="H66" i="90"/>
  <c r="H69" i="90" s="1"/>
  <c r="H54" i="92" s="1"/>
  <c r="G69" i="90"/>
  <c r="G54" i="92" s="1"/>
  <c r="I66" i="90"/>
  <c r="I69" i="90" s="1"/>
  <c r="I54" i="92" s="1"/>
  <c r="J66" i="90"/>
  <c r="K66" i="90"/>
  <c r="J69" i="90"/>
  <c r="J54" i="92" s="1"/>
  <c r="L66" i="90"/>
  <c r="L69" i="90" s="1"/>
  <c r="L54" i="92" s="1"/>
  <c r="K69" i="90"/>
  <c r="K54" i="92" s="1"/>
  <c r="M69" i="90"/>
  <c r="M54" i="92" s="1"/>
  <c r="H59" i="90"/>
  <c r="I57" i="90" s="1"/>
  <c r="I60" i="90" s="1"/>
  <c r="I47" i="92" s="1"/>
  <c r="C59" i="90"/>
  <c r="D57" i="90" s="1"/>
  <c r="D60" i="90" s="1"/>
  <c r="D47" i="92" s="1"/>
  <c r="J57" i="90"/>
  <c r="J60" i="90" s="1"/>
  <c r="J47" i="92" s="1"/>
  <c r="K57" i="90"/>
  <c r="K60" i="90" s="1"/>
  <c r="K47" i="92" s="1"/>
  <c r="L57" i="90"/>
  <c r="M57" i="90"/>
  <c r="M60" i="90" s="1"/>
  <c r="M47" i="92" s="1"/>
  <c r="L60" i="90"/>
  <c r="L47" i="92" s="1"/>
  <c r="N57" i="90"/>
  <c r="G59" i="90"/>
  <c r="F6" i="91"/>
  <c r="F8" i="91"/>
  <c r="F16" i="91"/>
  <c r="F17" i="91" s="1"/>
  <c r="F17" i="56"/>
  <c r="L41" i="90"/>
  <c r="M39" i="90" s="1"/>
  <c r="D50" i="90"/>
  <c r="E48" i="90" s="1"/>
  <c r="F32" i="90"/>
  <c r="G30" i="90" s="1"/>
  <c r="G23" i="90"/>
  <c r="G32" i="90"/>
  <c r="H30" i="90" s="1"/>
  <c r="G41" i="90"/>
  <c r="H39" i="90" s="1"/>
  <c r="C50" i="90"/>
  <c r="D48" i="90" s="1"/>
  <c r="E50" i="90"/>
  <c r="F48" i="90" s="1"/>
  <c r="C41" i="90"/>
  <c r="D39" i="90" s="1"/>
  <c r="D23" i="90"/>
  <c r="E21" i="90" s="1"/>
  <c r="I50" i="90"/>
  <c r="J48" i="90" s="1"/>
  <c r="E41" i="90"/>
  <c r="F39" i="90" s="1"/>
  <c r="F23" i="90"/>
  <c r="G21" i="90" s="1"/>
  <c r="H32" i="90"/>
  <c r="I30" i="90" s="1"/>
  <c r="H41" i="90"/>
  <c r="I39" i="90" s="1"/>
  <c r="I42" i="90" s="1"/>
  <c r="I33" i="92" s="1"/>
  <c r="D41" i="90"/>
  <c r="E39" i="90" s="1"/>
  <c r="F41" i="90"/>
  <c r="G39" i="90" s="1"/>
  <c r="J50" i="90"/>
  <c r="K48" i="90" s="1"/>
  <c r="K50" i="90"/>
  <c r="L48" i="90" s="1"/>
  <c r="L50" i="90"/>
  <c r="M48" i="90" s="1"/>
  <c r="M50" i="90"/>
  <c r="N48" i="90" s="1"/>
  <c r="H50" i="90"/>
  <c r="I48" i="90" s="1"/>
  <c r="F50" i="90"/>
  <c r="G50" i="90"/>
  <c r="I23" i="90"/>
  <c r="J21" i="90" s="1"/>
  <c r="M41" i="90"/>
  <c r="N39" i="90" s="1"/>
  <c r="J39" i="90"/>
  <c r="J42" i="90" s="1"/>
  <c r="J33" i="92" s="1"/>
  <c r="L39" i="90"/>
  <c r="K39" i="90"/>
  <c r="K42" i="90" s="1"/>
  <c r="K33" i="92" s="1"/>
  <c r="K23" i="90"/>
  <c r="L21" i="90" s="1"/>
  <c r="L24" i="90" s="1"/>
  <c r="L19" i="92" s="1"/>
  <c r="E23" i="90"/>
  <c r="F21" i="90" s="1"/>
  <c r="E32" i="90"/>
  <c r="F30" i="90" s="1"/>
  <c r="H23" i="90"/>
  <c r="I21" i="90" s="1"/>
  <c r="J23" i="90"/>
  <c r="D32" i="90"/>
  <c r="E30" i="90" s="1"/>
  <c r="D30" i="90"/>
  <c r="D33" i="90" s="1"/>
  <c r="D26" i="92" s="1"/>
  <c r="K30" i="90"/>
  <c r="K33" i="90" s="1"/>
  <c r="K26" i="92" s="1"/>
  <c r="L30" i="90"/>
  <c r="L33" i="90" s="1"/>
  <c r="L26" i="92" s="1"/>
  <c r="M30" i="90"/>
  <c r="M33" i="90" s="1"/>
  <c r="M26" i="92" s="1"/>
  <c r="N30" i="90"/>
  <c r="I32" i="90"/>
  <c r="F8" i="56"/>
  <c r="K13" i="77"/>
  <c r="K6" i="77"/>
  <c r="K53" i="53" s="1"/>
  <c r="N5" i="52"/>
  <c r="R14" i="87"/>
  <c r="R32" i="87" s="1"/>
  <c r="K32" i="87" s="1"/>
  <c r="P15" i="87"/>
  <c r="P33" i="87" s="1"/>
  <c r="E33" i="87" s="1"/>
  <c r="R7" i="87"/>
  <c r="R6" i="87"/>
  <c r="Q7" i="87"/>
  <c r="Q15" i="87" s="1"/>
  <c r="Q33" i="87" s="1"/>
  <c r="H33" i="87" s="1"/>
  <c r="Q6" i="87"/>
  <c r="Q14" i="87" s="1"/>
  <c r="Q32" i="87" s="1"/>
  <c r="H32" i="87" s="1"/>
  <c r="P7" i="87"/>
  <c r="P6" i="87"/>
  <c r="J7" i="87"/>
  <c r="J15" i="87" s="1"/>
  <c r="J33" i="87" s="1"/>
  <c r="J6" i="87"/>
  <c r="J14" i="87" s="1"/>
  <c r="J32" i="87" s="1"/>
  <c r="G7" i="87"/>
  <c r="G15" i="87" s="1"/>
  <c r="G33" i="87" s="1"/>
  <c r="G6" i="87"/>
  <c r="G14" i="87" s="1"/>
  <c r="G32" i="87" s="1"/>
  <c r="D7" i="87"/>
  <c r="D15" i="87" s="1"/>
  <c r="D33" i="87" s="1"/>
  <c r="D6" i="87"/>
  <c r="D14" i="87" s="1"/>
  <c r="D32" i="87" s="1"/>
  <c r="L8" i="86"/>
  <c r="N7" i="86"/>
  <c r="H19" i="86"/>
  <c r="G20" i="86"/>
  <c r="L20" i="86" s="1"/>
  <c r="C28" i="85"/>
  <c r="C40" i="85"/>
  <c r="D40" i="85"/>
  <c r="B40" i="85"/>
  <c r="D19" i="86"/>
  <c r="E19" i="86"/>
  <c r="I19" i="86" s="1"/>
  <c r="D20" i="86"/>
  <c r="H20" i="86" s="1"/>
  <c r="M20" i="86" s="1"/>
  <c r="E20" i="86"/>
  <c r="I20" i="86" s="1"/>
  <c r="N20" i="86" s="1"/>
  <c r="D21" i="86"/>
  <c r="H21" i="86" s="1"/>
  <c r="M21" i="86" s="1"/>
  <c r="E21" i="86"/>
  <c r="I21" i="86" s="1"/>
  <c r="C20" i="86"/>
  <c r="C21" i="86"/>
  <c r="G21" i="86" s="1"/>
  <c r="L21" i="86" s="1"/>
  <c r="C19" i="86"/>
  <c r="G19" i="86" s="1"/>
  <c r="E14" i="86"/>
  <c r="I14" i="86" s="1"/>
  <c r="C14" i="86"/>
  <c r="C12" i="86"/>
  <c r="C8" i="86"/>
  <c r="G8" i="86" s="1"/>
  <c r="E25" i="85"/>
  <c r="C20" i="85"/>
  <c r="C22" i="85" s="1"/>
  <c r="D8" i="86" s="1"/>
  <c r="B24" i="85"/>
  <c r="B20" i="85" s="1"/>
  <c r="B21" i="85" s="1"/>
  <c r="B30" i="85"/>
  <c r="C55" i="85"/>
  <c r="D55" i="85"/>
  <c r="B55" i="85"/>
  <c r="D20" i="85"/>
  <c r="E7" i="86" s="1"/>
  <c r="I7" i="86" s="1"/>
  <c r="D22" i="85"/>
  <c r="E8" i="86" s="1"/>
  <c r="I8" i="86" s="1"/>
  <c r="N8" i="86" s="1"/>
  <c r="B38" i="85"/>
  <c r="E43" i="85"/>
  <c r="C24" i="85"/>
  <c r="C43" i="85" s="1"/>
  <c r="E38" i="85"/>
  <c r="E44" i="85" s="1"/>
  <c r="E26" i="85"/>
  <c r="F12" i="86" s="1"/>
  <c r="D17" i="140" l="1"/>
  <c r="O114" i="96"/>
  <c r="O119" i="96"/>
  <c r="M48" i="132"/>
  <c r="Q37" i="96"/>
  <c r="D37" i="96"/>
  <c r="C37" i="96"/>
  <c r="I37" i="96"/>
  <c r="J37" i="96"/>
  <c r="N37" i="96"/>
  <c r="M37" i="96"/>
  <c r="L37" i="96"/>
  <c r="K37" i="96"/>
  <c r="G37" i="96"/>
  <c r="H37" i="96"/>
  <c r="F37" i="96"/>
  <c r="E37" i="96"/>
  <c r="I55" i="96"/>
  <c r="I134" i="96" s="1"/>
  <c r="N55" i="96"/>
  <c r="N134" i="96" s="1"/>
  <c r="L55" i="96"/>
  <c r="L134" i="96" s="1"/>
  <c r="H55" i="96"/>
  <c r="H134" i="96" s="1"/>
  <c r="D55" i="96"/>
  <c r="D134" i="96" s="1"/>
  <c r="M55" i="96"/>
  <c r="M134" i="96" s="1"/>
  <c r="G55" i="96"/>
  <c r="G134" i="96" s="1"/>
  <c r="K55" i="96"/>
  <c r="K134" i="96" s="1"/>
  <c r="J55" i="96"/>
  <c r="J134" i="96" s="1"/>
  <c r="E55" i="96"/>
  <c r="E134" i="96" s="1"/>
  <c r="F55" i="96"/>
  <c r="F134" i="96" s="1"/>
  <c r="C55" i="96"/>
  <c r="C134" i="96" s="1"/>
  <c r="Q34" i="96"/>
  <c r="F34" i="96"/>
  <c r="C34" i="96"/>
  <c r="E34" i="96"/>
  <c r="M34" i="96"/>
  <c r="N34" i="96"/>
  <c r="G34" i="96"/>
  <c r="L34" i="96"/>
  <c r="J34" i="96"/>
  <c r="K34" i="96"/>
  <c r="I34" i="96"/>
  <c r="H34" i="96"/>
  <c r="D34" i="96"/>
  <c r="E60" i="96"/>
  <c r="N60" i="96"/>
  <c r="L60" i="96"/>
  <c r="I60" i="96"/>
  <c r="G60" i="96"/>
  <c r="H60" i="96"/>
  <c r="F60" i="96"/>
  <c r="D60" i="96"/>
  <c r="C60" i="96"/>
  <c r="M60" i="96"/>
  <c r="K60" i="96"/>
  <c r="J60" i="96"/>
  <c r="Q32" i="96"/>
  <c r="N32" i="96"/>
  <c r="J32" i="96"/>
  <c r="H32" i="96"/>
  <c r="G32" i="96"/>
  <c r="I32" i="96"/>
  <c r="F32" i="96"/>
  <c r="C32" i="96"/>
  <c r="M32" i="96"/>
  <c r="E32" i="96"/>
  <c r="D32" i="96"/>
  <c r="L32" i="96"/>
  <c r="K32" i="96"/>
  <c r="E50" i="96"/>
  <c r="J50" i="96"/>
  <c r="I50" i="96"/>
  <c r="H50" i="96"/>
  <c r="N50" i="96"/>
  <c r="M50" i="96"/>
  <c r="L50" i="96"/>
  <c r="F50" i="96"/>
  <c r="K50" i="96"/>
  <c r="G50" i="96"/>
  <c r="D50" i="96"/>
  <c r="C50" i="96"/>
  <c r="M14" i="96"/>
  <c r="H14" i="96"/>
  <c r="I14" i="96"/>
  <c r="J14" i="96"/>
  <c r="L14" i="96"/>
  <c r="L112" i="96" s="1"/>
  <c r="K14" i="96"/>
  <c r="N14" i="96"/>
  <c r="E14" i="96"/>
  <c r="F14" i="96"/>
  <c r="C14" i="96"/>
  <c r="D14" i="96"/>
  <c r="G14" i="96"/>
  <c r="I51" i="96"/>
  <c r="N51" i="96"/>
  <c r="M51" i="96"/>
  <c r="D51" i="96"/>
  <c r="C51" i="96"/>
  <c r="F51" i="96"/>
  <c r="J51" i="96"/>
  <c r="K51" i="96"/>
  <c r="L51" i="96"/>
  <c r="H51" i="96"/>
  <c r="G51" i="96"/>
  <c r="E51" i="96"/>
  <c r="I23" i="96"/>
  <c r="F23" i="96"/>
  <c r="H23" i="96"/>
  <c r="G23" i="96"/>
  <c r="E23" i="96"/>
  <c r="N23" i="96"/>
  <c r="L23" i="96"/>
  <c r="D23" i="96"/>
  <c r="C23" i="96"/>
  <c r="M23" i="96"/>
  <c r="K23" i="96"/>
  <c r="J23" i="96"/>
  <c r="L17" i="96"/>
  <c r="L113" i="96" s="1"/>
  <c r="I17" i="96"/>
  <c r="I113" i="96" s="1"/>
  <c r="J17" i="96"/>
  <c r="J113" i="96" s="1"/>
  <c r="K17" i="96"/>
  <c r="K113" i="96" s="1"/>
  <c r="N17" i="96"/>
  <c r="N113" i="96" s="1"/>
  <c r="M17" i="96"/>
  <c r="M113" i="96" s="1"/>
  <c r="G17" i="96"/>
  <c r="G113" i="96" s="1"/>
  <c r="D17" i="96"/>
  <c r="D113" i="96" s="1"/>
  <c r="F17" i="96"/>
  <c r="F113" i="96" s="1"/>
  <c r="C17" i="96"/>
  <c r="C113" i="96" s="1"/>
  <c r="E17" i="96"/>
  <c r="E113" i="96" s="1"/>
  <c r="H17" i="96"/>
  <c r="H113" i="96" s="1"/>
  <c r="E64" i="96"/>
  <c r="H64" i="96"/>
  <c r="F64" i="96"/>
  <c r="D64" i="96"/>
  <c r="G64" i="96"/>
  <c r="C64" i="96"/>
  <c r="K64" i="96"/>
  <c r="N64" i="96"/>
  <c r="M64" i="96"/>
  <c r="L64" i="96"/>
  <c r="J64" i="96"/>
  <c r="I64" i="96"/>
  <c r="J35" i="96"/>
  <c r="H35" i="96"/>
  <c r="I35" i="96"/>
  <c r="E35" i="96"/>
  <c r="D35" i="96"/>
  <c r="G35" i="96"/>
  <c r="F35" i="96"/>
  <c r="C35" i="96"/>
  <c r="L35" i="96"/>
  <c r="N35" i="96"/>
  <c r="M35" i="96"/>
  <c r="K35" i="96"/>
  <c r="N63" i="96"/>
  <c r="M63" i="96"/>
  <c r="L63" i="96"/>
  <c r="J63" i="96"/>
  <c r="E63" i="96"/>
  <c r="K63" i="96"/>
  <c r="I63" i="96"/>
  <c r="D63" i="96"/>
  <c r="H63" i="96"/>
  <c r="G63" i="96"/>
  <c r="F63" i="96"/>
  <c r="C63" i="96"/>
  <c r="N26" i="96"/>
  <c r="G26" i="96"/>
  <c r="F26" i="96"/>
  <c r="E26" i="96"/>
  <c r="D26" i="96"/>
  <c r="C26" i="96"/>
  <c r="I26" i="96"/>
  <c r="M26" i="96"/>
  <c r="L26" i="96"/>
  <c r="K26" i="96"/>
  <c r="J26" i="96"/>
  <c r="H26" i="96"/>
  <c r="N15" i="96"/>
  <c r="H15" i="96"/>
  <c r="L15" i="96"/>
  <c r="D15" i="96"/>
  <c r="I15" i="96"/>
  <c r="E15" i="96"/>
  <c r="F15" i="96"/>
  <c r="G15" i="96"/>
  <c r="C15" i="96"/>
  <c r="J15" i="96"/>
  <c r="K15" i="96"/>
  <c r="M15" i="96"/>
  <c r="K59" i="96"/>
  <c r="J59" i="96"/>
  <c r="I59" i="96"/>
  <c r="G59" i="96"/>
  <c r="E59" i="96"/>
  <c r="F59" i="96"/>
  <c r="N59" i="96"/>
  <c r="M59" i="96"/>
  <c r="L59" i="96"/>
  <c r="H59" i="96"/>
  <c r="C59" i="96"/>
  <c r="D59" i="96"/>
  <c r="E54" i="96"/>
  <c r="M54" i="96"/>
  <c r="L54" i="96"/>
  <c r="K54" i="96"/>
  <c r="I54" i="96"/>
  <c r="N54" i="96"/>
  <c r="H54" i="96"/>
  <c r="G54" i="96"/>
  <c r="J54" i="96"/>
  <c r="F54" i="96"/>
  <c r="D54" i="96"/>
  <c r="C54" i="96"/>
  <c r="F24" i="96"/>
  <c r="N24" i="96"/>
  <c r="J24" i="96"/>
  <c r="M24" i="96"/>
  <c r="L24" i="96"/>
  <c r="K24" i="96"/>
  <c r="I24" i="96"/>
  <c r="H24" i="96"/>
  <c r="G24" i="96"/>
  <c r="E24" i="96"/>
  <c r="C24" i="96"/>
  <c r="D24" i="96"/>
  <c r="H53" i="96"/>
  <c r="G53" i="96"/>
  <c r="F53" i="96"/>
  <c r="D53" i="96"/>
  <c r="N53" i="96"/>
  <c r="K53" i="96"/>
  <c r="E53" i="96"/>
  <c r="M53" i="96"/>
  <c r="L53" i="96"/>
  <c r="J53" i="96"/>
  <c r="I53" i="96"/>
  <c r="C53" i="96"/>
  <c r="M52" i="96"/>
  <c r="C52" i="96"/>
  <c r="L52" i="96"/>
  <c r="H52" i="96"/>
  <c r="K52" i="96"/>
  <c r="I52" i="96"/>
  <c r="J52" i="96"/>
  <c r="G52" i="96"/>
  <c r="F52" i="96"/>
  <c r="E52" i="96"/>
  <c r="D52" i="96"/>
  <c r="N52" i="96"/>
  <c r="L27" i="96"/>
  <c r="J27" i="96"/>
  <c r="I27" i="96"/>
  <c r="I118" i="96" s="1"/>
  <c r="H27" i="96"/>
  <c r="K27" i="96"/>
  <c r="E27" i="96"/>
  <c r="G27" i="96"/>
  <c r="F27" i="96"/>
  <c r="D27" i="96"/>
  <c r="C27" i="96"/>
  <c r="N27" i="96"/>
  <c r="M27" i="96"/>
  <c r="M62" i="96"/>
  <c r="I62" i="96"/>
  <c r="H62" i="96"/>
  <c r="G62" i="96"/>
  <c r="E62" i="96"/>
  <c r="J62" i="96"/>
  <c r="D62" i="96"/>
  <c r="C62" i="96"/>
  <c r="F62" i="96"/>
  <c r="N62" i="96"/>
  <c r="L62" i="96"/>
  <c r="K62" i="96"/>
  <c r="L44" i="104"/>
  <c r="L49" i="104" s="1"/>
  <c r="L59" i="104"/>
  <c r="M19" i="138"/>
  <c r="S20" i="95"/>
  <c r="T20" i="95" s="1"/>
  <c r="Q29" i="95"/>
  <c r="S26" i="95"/>
  <c r="T26" i="95" s="1"/>
  <c r="L9" i="95"/>
  <c r="X11" i="95"/>
  <c r="S6" i="95"/>
  <c r="T6" i="95" s="1"/>
  <c r="T16" i="95"/>
  <c r="L27" i="95"/>
  <c r="S34" i="95"/>
  <c r="T34" i="95" s="1"/>
  <c r="S17" i="95"/>
  <c r="T17" i="95" s="1"/>
  <c r="S31" i="95"/>
  <c r="P36" i="95"/>
  <c r="S28" i="95"/>
  <c r="T28" i="95" s="1"/>
  <c r="R29" i="95"/>
  <c r="R38" i="95" s="1"/>
  <c r="S22" i="95"/>
  <c r="T22" i="95" s="1"/>
  <c r="S25" i="95"/>
  <c r="P29" i="95"/>
  <c r="L20" i="95"/>
  <c r="S8" i="95"/>
  <c r="T8" i="95" s="1"/>
  <c r="Y11" i="95"/>
  <c r="L32" i="95"/>
  <c r="L19" i="95"/>
  <c r="S27" i="95"/>
  <c r="T27" i="95" s="1"/>
  <c r="S19" i="95"/>
  <c r="T19" i="95" s="1"/>
  <c r="S35" i="95"/>
  <c r="T35" i="95" s="1"/>
  <c r="Q13" i="95"/>
  <c r="Q14" i="95" s="1"/>
  <c r="Q38" i="95" s="1"/>
  <c r="S10" i="95"/>
  <c r="T10" i="95" s="1"/>
  <c r="L18" i="95"/>
  <c r="L35" i="95"/>
  <c r="L33" i="95"/>
  <c r="S18" i="95"/>
  <c r="T18" i="95" s="1"/>
  <c r="Y23" i="95"/>
  <c r="L31" i="95"/>
  <c r="L21" i="95"/>
  <c r="L34" i="95"/>
  <c r="P14" i="95"/>
  <c r="S13" i="95"/>
  <c r="L26" i="95"/>
  <c r="L28" i="95"/>
  <c r="L22" i="95"/>
  <c r="P23" i="95"/>
  <c r="K17" i="95"/>
  <c r="P11" i="95"/>
  <c r="P38" i="95" s="1"/>
  <c r="E38" i="95"/>
  <c r="M24" i="132"/>
  <c r="M25" i="132" s="1"/>
  <c r="L22" i="132"/>
  <c r="G23" i="95"/>
  <c r="O44" i="96" s="1"/>
  <c r="J38" i="95"/>
  <c r="M49" i="132"/>
  <c r="Q14" i="96"/>
  <c r="O20" i="96"/>
  <c r="AC6" i="95" s="1"/>
  <c r="I38" i="95"/>
  <c r="O36" i="96"/>
  <c r="H38" i="95"/>
  <c r="Q35" i="96"/>
  <c r="F38" i="95"/>
  <c r="K13" i="95"/>
  <c r="Q17" i="96"/>
  <c r="Q15" i="96"/>
  <c r="E21" i="106"/>
  <c r="L60" i="103"/>
  <c r="O41" i="96"/>
  <c r="O45" i="96"/>
  <c r="O42" i="96"/>
  <c r="L10" i="95"/>
  <c r="Z10" i="95" s="1"/>
  <c r="AA10" i="95" s="1"/>
  <c r="B5" i="77"/>
  <c r="F5" i="77"/>
  <c r="J12" i="77"/>
  <c r="C14" i="77"/>
  <c r="I7" i="77"/>
  <c r="D14" i="77"/>
  <c r="B7" i="77"/>
  <c r="M7" i="77"/>
  <c r="L7" i="77"/>
  <c r="K7" i="77"/>
  <c r="K55" i="103"/>
  <c r="K43" i="104"/>
  <c r="D51" i="90"/>
  <c r="D40" i="92" s="1"/>
  <c r="L42" i="90"/>
  <c r="L33" i="92" s="1"/>
  <c r="J54" i="103"/>
  <c r="I53" i="103"/>
  <c r="Q51" i="96"/>
  <c r="Q53" i="96"/>
  <c r="Q50" i="96"/>
  <c r="O56" i="96"/>
  <c r="AC29" i="95" s="1"/>
  <c r="K36" i="95"/>
  <c r="L36" i="95" s="1"/>
  <c r="Q55" i="96"/>
  <c r="O46" i="96"/>
  <c r="Q59" i="96"/>
  <c r="O65" i="96"/>
  <c r="Q54" i="96"/>
  <c r="Q62" i="96"/>
  <c r="Q23" i="96"/>
  <c r="O29" i="96"/>
  <c r="Q26" i="96"/>
  <c r="O43" i="96"/>
  <c r="Q24" i="96"/>
  <c r="Q63" i="96"/>
  <c r="Q60" i="96"/>
  <c r="Q27" i="96"/>
  <c r="Q52" i="96"/>
  <c r="L25" i="95"/>
  <c r="K29" i="95"/>
  <c r="L29" i="95" s="1"/>
  <c r="L6" i="95"/>
  <c r="M195" i="94"/>
  <c r="L8" i="95"/>
  <c r="K11" i="95"/>
  <c r="L16" i="95"/>
  <c r="K23" i="95"/>
  <c r="L23" i="95" s="1"/>
  <c r="J59" i="92"/>
  <c r="F59" i="92"/>
  <c r="M59" i="92"/>
  <c r="I59" i="92"/>
  <c r="N59" i="92"/>
  <c r="H59" i="92"/>
  <c r="C58" i="92"/>
  <c r="D59" i="92"/>
  <c r="G59" i="92"/>
  <c r="K59" i="92"/>
  <c r="L59" i="92"/>
  <c r="E59" i="92"/>
  <c r="H57" i="90"/>
  <c r="H60" i="90" s="1"/>
  <c r="H47" i="92" s="1"/>
  <c r="G60" i="90"/>
  <c r="K51" i="90"/>
  <c r="K40" i="92" s="1"/>
  <c r="G33" i="90"/>
  <c r="G26" i="92" s="1"/>
  <c r="J51" i="90"/>
  <c r="J40" i="92" s="1"/>
  <c r="F42" i="90"/>
  <c r="F33" i="92" s="1"/>
  <c r="I51" i="90"/>
  <c r="I40" i="92" s="1"/>
  <c r="E24" i="90"/>
  <c r="E19" i="92" s="1"/>
  <c r="I24" i="90"/>
  <c r="I19" i="92" s="1"/>
  <c r="E42" i="90"/>
  <c r="E33" i="92" s="1"/>
  <c r="F33" i="90"/>
  <c r="F26" i="92" s="1"/>
  <c r="L51" i="90"/>
  <c r="L40" i="92" s="1"/>
  <c r="H33" i="90"/>
  <c r="H26" i="92" s="1"/>
  <c r="D24" i="90"/>
  <c r="D19" i="92" s="1"/>
  <c r="H42" i="90"/>
  <c r="H33" i="92" s="1"/>
  <c r="D42" i="90"/>
  <c r="D33" i="92" s="1"/>
  <c r="F24" i="90"/>
  <c r="F19" i="92" s="1"/>
  <c r="M42" i="90"/>
  <c r="M33" i="92" s="1"/>
  <c r="G42" i="90"/>
  <c r="G33" i="92" s="1"/>
  <c r="E51" i="90"/>
  <c r="E40" i="92" s="1"/>
  <c r="M51" i="90"/>
  <c r="M40" i="92" s="1"/>
  <c r="G48" i="90"/>
  <c r="G51" i="90" s="1"/>
  <c r="G40" i="92" s="1"/>
  <c r="F51" i="90"/>
  <c r="F40" i="92" s="1"/>
  <c r="J24" i="90"/>
  <c r="J19" i="92" s="1"/>
  <c r="H48" i="90"/>
  <c r="H51" i="90" s="1"/>
  <c r="H40" i="92" s="1"/>
  <c r="K21" i="90"/>
  <c r="K24" i="90" s="1"/>
  <c r="K19" i="92" s="1"/>
  <c r="E33" i="90"/>
  <c r="E26" i="92" s="1"/>
  <c r="I33" i="90"/>
  <c r="I26" i="92" s="1"/>
  <c r="J30" i="90"/>
  <c r="J33" i="90" s="1"/>
  <c r="J26" i="92" s="1"/>
  <c r="G24" i="90"/>
  <c r="G19" i="92" s="1"/>
  <c r="H21" i="90"/>
  <c r="H24" i="90" s="1"/>
  <c r="H19" i="92" s="1"/>
  <c r="I11" i="86"/>
  <c r="N14" i="86"/>
  <c r="L19" i="86"/>
  <c r="J21" i="86"/>
  <c r="O21" i="86" s="1"/>
  <c r="N21" i="86"/>
  <c r="N19" i="86"/>
  <c r="R8" i="86"/>
  <c r="R9" i="86" s="1"/>
  <c r="M19" i="86"/>
  <c r="B6" i="77"/>
  <c r="B53" i="53" s="1"/>
  <c r="J6" i="77"/>
  <c r="J53" i="53" s="1"/>
  <c r="E5" i="77"/>
  <c r="I12" i="77"/>
  <c r="I6" i="77"/>
  <c r="I53" i="53" s="1"/>
  <c r="D5" i="77"/>
  <c r="M13" i="77"/>
  <c r="H12" i="77"/>
  <c r="H6" i="77"/>
  <c r="H53" i="53" s="1"/>
  <c r="C5" i="77"/>
  <c r="L13" i="77"/>
  <c r="G12" i="77"/>
  <c r="B12" i="77"/>
  <c r="F6" i="77"/>
  <c r="F53" i="53" s="1"/>
  <c r="J7" i="77"/>
  <c r="E6" i="77"/>
  <c r="E53" i="53" s="1"/>
  <c r="B14" i="77"/>
  <c r="I13" i="77"/>
  <c r="D12" i="77"/>
  <c r="H7" i="77"/>
  <c r="C6" i="77"/>
  <c r="C53" i="53" s="1"/>
  <c r="L14" i="77"/>
  <c r="G13" i="77"/>
  <c r="G7" i="77"/>
  <c r="B13" i="77"/>
  <c r="C12" i="77"/>
  <c r="K14" i="77"/>
  <c r="F7" i="77"/>
  <c r="L5" i="77"/>
  <c r="J14" i="77"/>
  <c r="E13" i="77"/>
  <c r="G6" i="77"/>
  <c r="G53" i="53" s="1"/>
  <c r="H13" i="77"/>
  <c r="D13" i="77"/>
  <c r="F12" i="77"/>
  <c r="M14" i="77"/>
  <c r="M5" i="77"/>
  <c r="E7" i="77"/>
  <c r="D7" i="77"/>
  <c r="J5" i="77"/>
  <c r="H14" i="77"/>
  <c r="C13" i="77"/>
  <c r="E12" i="77"/>
  <c r="D6" i="77"/>
  <c r="D53" i="53" s="1"/>
  <c r="K5" i="77"/>
  <c r="I5" i="77"/>
  <c r="G14" i="77"/>
  <c r="M12" i="77"/>
  <c r="J13" i="77"/>
  <c r="F13" i="77"/>
  <c r="I14" i="77"/>
  <c r="C7" i="77"/>
  <c r="M6" i="77"/>
  <c r="M53" i="53" s="1"/>
  <c r="H5" i="77"/>
  <c r="F14" i="77"/>
  <c r="L12" i="77"/>
  <c r="L6" i="77"/>
  <c r="L53" i="53" s="1"/>
  <c r="G5" i="77"/>
  <c r="E14" i="77"/>
  <c r="K12" i="77"/>
  <c r="D14" i="86"/>
  <c r="C11" i="86"/>
  <c r="E8" i="87" s="1"/>
  <c r="E7" i="87" s="1"/>
  <c r="D16" i="86"/>
  <c r="C30" i="85"/>
  <c r="D11" i="86"/>
  <c r="H8" i="87" s="1"/>
  <c r="H7" i="87" s="1"/>
  <c r="F14" i="86"/>
  <c r="E16" i="86"/>
  <c r="C7" i="86"/>
  <c r="G7" i="86" s="1"/>
  <c r="L7" i="86" s="1"/>
  <c r="D7" i="86"/>
  <c r="H7" i="86" s="1"/>
  <c r="G22" i="86"/>
  <c r="I22" i="86"/>
  <c r="G9" i="86"/>
  <c r="H22" i="86"/>
  <c r="E22" i="86"/>
  <c r="D22" i="86"/>
  <c r="D24" i="86" s="1"/>
  <c r="C22" i="86"/>
  <c r="C24" i="86" s="1"/>
  <c r="F21" i="86"/>
  <c r="F20" i="86"/>
  <c r="I16" i="86"/>
  <c r="J19" i="86"/>
  <c r="I9" i="86"/>
  <c r="J20" i="86"/>
  <c r="D15" i="86"/>
  <c r="F19" i="86"/>
  <c r="E9" i="86"/>
  <c r="C16" i="86"/>
  <c r="G16" i="86" s="1"/>
  <c r="C15" i="86"/>
  <c r="G15" i="86" s="1"/>
  <c r="L15" i="86" s="1"/>
  <c r="F8" i="86"/>
  <c r="C29" i="85"/>
  <c r="D24" i="85"/>
  <c r="E11" i="86" s="1"/>
  <c r="G20" i="85"/>
  <c r="G21" i="85" s="1"/>
  <c r="D26" i="85"/>
  <c r="E12" i="86" s="1"/>
  <c r="B43" i="85"/>
  <c r="B29" i="85"/>
  <c r="B44" i="85"/>
  <c r="C44" i="85"/>
  <c r="C26" i="85"/>
  <c r="D12" i="86" s="1"/>
  <c r="H12" i="86" s="1"/>
  <c r="M12" i="86" s="1"/>
  <c r="E112" i="96" l="1"/>
  <c r="H132" i="96"/>
  <c r="H118" i="96"/>
  <c r="K118" i="96"/>
  <c r="G133" i="96"/>
  <c r="C118" i="96"/>
  <c r="M132" i="96"/>
  <c r="L118" i="96"/>
  <c r="D118" i="96"/>
  <c r="N132" i="96"/>
  <c r="E118" i="96"/>
  <c r="M50" i="132"/>
  <c r="F118" i="96"/>
  <c r="N112" i="96"/>
  <c r="G118" i="96"/>
  <c r="J132" i="96"/>
  <c r="I117" i="96"/>
  <c r="I120" i="96" s="1"/>
  <c r="D133" i="96"/>
  <c r="I132" i="96"/>
  <c r="E133" i="96"/>
  <c r="K112" i="96"/>
  <c r="F133" i="96"/>
  <c r="N118" i="96"/>
  <c r="E132" i="96"/>
  <c r="M118" i="96"/>
  <c r="I133" i="96"/>
  <c r="C117" i="96"/>
  <c r="M112" i="96"/>
  <c r="H133" i="96"/>
  <c r="J118" i="96"/>
  <c r="F117" i="96"/>
  <c r="N133" i="96"/>
  <c r="F112" i="96"/>
  <c r="A88" i="96"/>
  <c r="AC11" i="95"/>
  <c r="E115" i="96"/>
  <c r="O113" i="96"/>
  <c r="L115" i="96"/>
  <c r="J133" i="96"/>
  <c r="J117" i="96"/>
  <c r="J112" i="96"/>
  <c r="K117" i="96"/>
  <c r="I112" i="96"/>
  <c r="K133" i="96"/>
  <c r="M117" i="96"/>
  <c r="H112" i="96"/>
  <c r="L133" i="96"/>
  <c r="D117" i="96"/>
  <c r="C132" i="96"/>
  <c r="C133" i="96"/>
  <c r="L117" i="96"/>
  <c r="D132" i="96"/>
  <c r="M133" i="96"/>
  <c r="N117" i="96"/>
  <c r="G132" i="96"/>
  <c r="G135" i="96" s="1"/>
  <c r="O134" i="96"/>
  <c r="E117" i="96"/>
  <c r="K132" i="96"/>
  <c r="G117" i="96"/>
  <c r="G112" i="96"/>
  <c r="F132" i="96"/>
  <c r="H117" i="96"/>
  <c r="D112" i="96"/>
  <c r="L132" i="96"/>
  <c r="L48" i="132"/>
  <c r="H20" i="96"/>
  <c r="C112" i="96"/>
  <c r="N42" i="96"/>
  <c r="M42" i="96"/>
  <c r="L42" i="96"/>
  <c r="E42" i="96"/>
  <c r="D42" i="96"/>
  <c r="C42" i="96"/>
  <c r="J42" i="96"/>
  <c r="H42" i="96"/>
  <c r="K42" i="96"/>
  <c r="I42" i="96"/>
  <c r="G42" i="96"/>
  <c r="F42" i="96"/>
  <c r="I45" i="96"/>
  <c r="L45" i="96"/>
  <c r="K45" i="96"/>
  <c r="J45" i="96"/>
  <c r="H45" i="96"/>
  <c r="F45" i="96"/>
  <c r="E45" i="96"/>
  <c r="G45" i="96"/>
  <c r="D45" i="96"/>
  <c r="C45" i="96"/>
  <c r="N45" i="96"/>
  <c r="M45" i="96"/>
  <c r="J41" i="96"/>
  <c r="I41" i="96"/>
  <c r="I127" i="96" s="1"/>
  <c r="H41" i="96"/>
  <c r="N41" i="96"/>
  <c r="M41" i="96"/>
  <c r="G41" i="96"/>
  <c r="L41" i="96"/>
  <c r="K41" i="96"/>
  <c r="F41" i="96"/>
  <c r="D41" i="96"/>
  <c r="E41" i="96"/>
  <c r="C41" i="96"/>
  <c r="L43" i="96"/>
  <c r="J43" i="96"/>
  <c r="I43" i="96"/>
  <c r="H43" i="96"/>
  <c r="K43" i="96"/>
  <c r="E43" i="96"/>
  <c r="G43" i="96"/>
  <c r="F43" i="96"/>
  <c r="N43" i="96"/>
  <c r="D43" i="96"/>
  <c r="C43" i="96"/>
  <c r="M43" i="96"/>
  <c r="E44" i="96"/>
  <c r="G44" i="96"/>
  <c r="F44" i="96"/>
  <c r="D44" i="96"/>
  <c r="J44" i="96"/>
  <c r="C44" i="96"/>
  <c r="N44" i="96"/>
  <c r="M44" i="96"/>
  <c r="L44" i="96"/>
  <c r="K44" i="96"/>
  <c r="I44" i="96"/>
  <c r="H44" i="96"/>
  <c r="M46" i="96"/>
  <c r="M129" i="96" s="1"/>
  <c r="N46" i="96"/>
  <c r="N129" i="96" s="1"/>
  <c r="L46" i="96"/>
  <c r="L129" i="96" s="1"/>
  <c r="C46" i="96"/>
  <c r="C129" i="96" s="1"/>
  <c r="K46" i="96"/>
  <c r="K129" i="96" s="1"/>
  <c r="F46" i="96"/>
  <c r="F129" i="96" s="1"/>
  <c r="E46" i="96"/>
  <c r="E129" i="96" s="1"/>
  <c r="J46" i="96"/>
  <c r="J129" i="96" s="1"/>
  <c r="I46" i="96"/>
  <c r="I129" i="96" s="1"/>
  <c r="H46" i="96"/>
  <c r="H129" i="96" s="1"/>
  <c r="G46" i="96"/>
  <c r="G129" i="96" s="1"/>
  <c r="D46" i="96"/>
  <c r="D129" i="96" s="1"/>
  <c r="N36" i="96"/>
  <c r="N38" i="96" s="1"/>
  <c r="L36" i="96"/>
  <c r="L38" i="96" s="1"/>
  <c r="M36" i="96"/>
  <c r="M38" i="96" s="1"/>
  <c r="K36" i="96"/>
  <c r="K38" i="96" s="1"/>
  <c r="J36" i="96"/>
  <c r="J38" i="96" s="1"/>
  <c r="G36" i="96"/>
  <c r="D36" i="96"/>
  <c r="D38" i="96" s="1"/>
  <c r="I36" i="96"/>
  <c r="I38" i="96" s="1"/>
  <c r="C36" i="96"/>
  <c r="C38" i="96" s="1"/>
  <c r="H36" i="96"/>
  <c r="H38" i="96" s="1"/>
  <c r="F36" i="96"/>
  <c r="F38" i="96" s="1"/>
  <c r="E36" i="96"/>
  <c r="E38" i="96" s="1"/>
  <c r="K44" i="104"/>
  <c r="K59" i="104"/>
  <c r="L19" i="138"/>
  <c r="C20" i="96"/>
  <c r="X29" i="95"/>
  <c r="Z33" i="95"/>
  <c r="AA33" i="95" s="1"/>
  <c r="Z32" i="95"/>
  <c r="AA32" i="95" s="1"/>
  <c r="Z28" i="95"/>
  <c r="AA28" i="95" s="1"/>
  <c r="E20" i="96"/>
  <c r="Z34" i="95"/>
  <c r="AA34" i="95" s="1"/>
  <c r="Y36" i="95"/>
  <c r="T31" i="95"/>
  <c r="S36" i="95"/>
  <c r="T36" i="95" s="1"/>
  <c r="L17" i="95"/>
  <c r="X23" i="95"/>
  <c r="Z21" i="95"/>
  <c r="AA21" i="95" s="1"/>
  <c r="X36" i="95"/>
  <c r="Z31" i="95"/>
  <c r="AA31" i="95" s="1"/>
  <c r="W36" i="95"/>
  <c r="Z16" i="95"/>
  <c r="AA16" i="95" s="1"/>
  <c r="Z6" i="95"/>
  <c r="G38" i="95"/>
  <c r="Z22" i="95"/>
  <c r="AA22" i="95" s="1"/>
  <c r="Z35" i="95"/>
  <c r="AA35" i="95" s="1"/>
  <c r="Z18" i="95"/>
  <c r="AA18" i="95" s="1"/>
  <c r="Z20" i="95"/>
  <c r="AA20" i="95" s="1"/>
  <c r="W29" i="95"/>
  <c r="Z25" i="95"/>
  <c r="AA25" i="95" s="1"/>
  <c r="Z19" i="95"/>
  <c r="AA19" i="95" s="1"/>
  <c r="S14" i="95"/>
  <c r="T14" i="95" s="1"/>
  <c r="T13" i="95"/>
  <c r="T25" i="95"/>
  <c r="S29" i="95"/>
  <c r="T29" i="95" s="1"/>
  <c r="S23" i="95"/>
  <c r="T23" i="95" s="1"/>
  <c r="Y29" i="95"/>
  <c r="Z26" i="95"/>
  <c r="AA26" i="95" s="1"/>
  <c r="Z27" i="95"/>
  <c r="AA27" i="95" s="1"/>
  <c r="Z9" i="95"/>
  <c r="AA9" i="95" s="1"/>
  <c r="S11" i="95"/>
  <c r="T11" i="95" s="1"/>
  <c r="I20" i="96"/>
  <c r="D20" i="96"/>
  <c r="L24" i="132"/>
  <c r="L25" i="132" s="1"/>
  <c r="L20" i="96"/>
  <c r="M20" i="96"/>
  <c r="F20" i="96"/>
  <c r="L49" i="132"/>
  <c r="Q20" i="96"/>
  <c r="K22" i="132"/>
  <c r="J20" i="96"/>
  <c r="G20" i="96"/>
  <c r="N20" i="96"/>
  <c r="K20" i="96"/>
  <c r="L13" i="95"/>
  <c r="K14" i="95"/>
  <c r="K38" i="95" s="1"/>
  <c r="L38" i="95" s="1"/>
  <c r="Q36" i="96"/>
  <c r="Q38" i="96" s="1"/>
  <c r="L11" i="95"/>
  <c r="N8" i="95"/>
  <c r="O38" i="96"/>
  <c r="K60" i="103"/>
  <c r="Q44" i="96"/>
  <c r="Q45" i="96"/>
  <c r="Q42" i="96"/>
  <c r="Q41" i="96"/>
  <c r="M65" i="96"/>
  <c r="J29" i="96"/>
  <c r="E6" i="87"/>
  <c r="H6" i="87"/>
  <c r="C6" i="87"/>
  <c r="F7" i="87"/>
  <c r="F6" i="87"/>
  <c r="N65" i="96"/>
  <c r="H56" i="96"/>
  <c r="G56" i="96"/>
  <c r="H65" i="96"/>
  <c r="D65" i="96"/>
  <c r="H29" i="96"/>
  <c r="J55" i="103"/>
  <c r="J43" i="104"/>
  <c r="G47" i="92"/>
  <c r="I54" i="103"/>
  <c r="H53" i="103"/>
  <c r="D56" i="96"/>
  <c r="E29" i="96"/>
  <c r="F65" i="96"/>
  <c r="G29" i="96"/>
  <c r="E65" i="96"/>
  <c r="J65" i="96"/>
  <c r="Q29" i="96"/>
  <c r="Q46" i="96"/>
  <c r="J56" i="96"/>
  <c r="N29" i="96"/>
  <c r="C56" i="96"/>
  <c r="Q56" i="96"/>
  <c r="Q43" i="96"/>
  <c r="G65" i="96"/>
  <c r="I56" i="96"/>
  <c r="O47" i="96"/>
  <c r="AC23" i="95" s="1"/>
  <c r="K56" i="96"/>
  <c r="F29" i="96"/>
  <c r="K29" i="96"/>
  <c r="L29" i="96"/>
  <c r="C65" i="96"/>
  <c r="E56" i="96"/>
  <c r="D29" i="96"/>
  <c r="Q65" i="96"/>
  <c r="N56" i="96"/>
  <c r="I29" i="96"/>
  <c r="L65" i="96"/>
  <c r="F56" i="96"/>
  <c r="C29" i="96"/>
  <c r="I65" i="96"/>
  <c r="L56" i="96"/>
  <c r="M29" i="96"/>
  <c r="K65" i="96"/>
  <c r="M56" i="96"/>
  <c r="C7" i="87"/>
  <c r="L22" i="86"/>
  <c r="M22" i="86"/>
  <c r="I24" i="86"/>
  <c r="N24" i="86" s="1"/>
  <c r="N22" i="86"/>
  <c r="O20" i="86"/>
  <c r="E15" i="86"/>
  <c r="N15" i="86" s="1"/>
  <c r="K8" i="87"/>
  <c r="N9" i="86"/>
  <c r="O19" i="86"/>
  <c r="G14" i="86"/>
  <c r="L14" i="86" s="1"/>
  <c r="L16" i="86"/>
  <c r="N16" i="86"/>
  <c r="N34" i="87"/>
  <c r="H8" i="86"/>
  <c r="M7" i="86"/>
  <c r="I12" i="86"/>
  <c r="N12" i="86" s="1"/>
  <c r="N11" i="86"/>
  <c r="K16" i="87"/>
  <c r="G11" i="86"/>
  <c r="E24" i="86"/>
  <c r="H11" i="86"/>
  <c r="J8" i="86"/>
  <c r="O8" i="86" s="1"/>
  <c r="S8" i="86" s="1"/>
  <c r="H14" i="86"/>
  <c r="H15" i="86" s="1"/>
  <c r="M15" i="86" s="1"/>
  <c r="F11" i="86"/>
  <c r="F15" i="86" s="1"/>
  <c r="F7" i="86"/>
  <c r="F9" i="86" s="1"/>
  <c r="F16" i="86"/>
  <c r="F22" i="86"/>
  <c r="F24" i="86" s="1"/>
  <c r="H24" i="86"/>
  <c r="M24" i="86" s="1"/>
  <c r="J7" i="86"/>
  <c r="D9" i="86"/>
  <c r="C9" i="86"/>
  <c r="L9" i="86" s="1"/>
  <c r="J22" i="86"/>
  <c r="O22" i="86" s="1"/>
  <c r="D25" i="85"/>
  <c r="D29" i="85"/>
  <c r="D43" i="85"/>
  <c r="D44" i="85"/>
  <c r="H120" i="96" l="1"/>
  <c r="H135" i="96"/>
  <c r="K120" i="96"/>
  <c r="F120" i="96"/>
  <c r="D120" i="96"/>
  <c r="N120" i="96"/>
  <c r="E120" i="96"/>
  <c r="G120" i="96"/>
  <c r="L50" i="132"/>
  <c r="H127" i="96"/>
  <c r="J127" i="96"/>
  <c r="J120" i="96"/>
  <c r="N135" i="96"/>
  <c r="E135" i="96"/>
  <c r="L135" i="96"/>
  <c r="D115" i="96"/>
  <c r="H115" i="96"/>
  <c r="F135" i="96"/>
  <c r="F115" i="96"/>
  <c r="G115" i="96"/>
  <c r="I115" i="96"/>
  <c r="J115" i="96"/>
  <c r="O118" i="96"/>
  <c r="E127" i="96"/>
  <c r="M115" i="96"/>
  <c r="M135" i="96"/>
  <c r="C120" i="96"/>
  <c r="D135" i="96"/>
  <c r="K115" i="96"/>
  <c r="L120" i="96"/>
  <c r="N115" i="96"/>
  <c r="C128" i="96"/>
  <c r="L127" i="96"/>
  <c r="F128" i="96"/>
  <c r="N127" i="96"/>
  <c r="G128" i="96"/>
  <c r="E128" i="96"/>
  <c r="O117" i="96"/>
  <c r="H128" i="96"/>
  <c r="M120" i="96"/>
  <c r="I135" i="96"/>
  <c r="G38" i="96"/>
  <c r="K128" i="96"/>
  <c r="O133" i="96"/>
  <c r="I128" i="96"/>
  <c r="K48" i="132"/>
  <c r="J128" i="96"/>
  <c r="L128" i="96"/>
  <c r="C127" i="96"/>
  <c r="J135" i="96"/>
  <c r="D127" i="96"/>
  <c r="F127" i="96"/>
  <c r="M128" i="96"/>
  <c r="K127" i="96"/>
  <c r="K135" i="96"/>
  <c r="O132" i="96"/>
  <c r="C135" i="96"/>
  <c r="O129" i="96"/>
  <c r="D128" i="96"/>
  <c r="G127" i="96"/>
  <c r="N128" i="96"/>
  <c r="M127" i="96"/>
  <c r="C115" i="96"/>
  <c r="O112" i="96"/>
  <c r="A82" i="96"/>
  <c r="A85" i="96"/>
  <c r="J44" i="104"/>
  <c r="J48" i="132" s="1"/>
  <c r="J59" i="104"/>
  <c r="K49" i="104"/>
  <c r="K19" i="138"/>
  <c r="Z36" i="95"/>
  <c r="W11" i="95"/>
  <c r="Z8" i="95"/>
  <c r="AA8" i="95" s="1"/>
  <c r="Z17" i="95"/>
  <c r="AA17" i="95" s="1"/>
  <c r="Z29" i="95"/>
  <c r="AA29" i="95" s="1"/>
  <c r="W23" i="95"/>
  <c r="L14" i="95"/>
  <c r="S38" i="95"/>
  <c r="T38" i="95" s="1"/>
  <c r="J22" i="132"/>
  <c r="K24" i="132"/>
  <c r="K25" i="132" s="1"/>
  <c r="J60" i="103"/>
  <c r="C47" i="96"/>
  <c r="K47" i="96"/>
  <c r="D47" i="96"/>
  <c r="J47" i="96"/>
  <c r="N47" i="96"/>
  <c r="I47" i="96"/>
  <c r="M47" i="96"/>
  <c r="H47" i="96"/>
  <c r="E47" i="96"/>
  <c r="K27" i="87"/>
  <c r="G47" i="96"/>
  <c r="L47" i="96"/>
  <c r="F47" i="96"/>
  <c r="Q47" i="96"/>
  <c r="I55" i="103"/>
  <c r="I43" i="104"/>
  <c r="H54" i="103"/>
  <c r="G53" i="103"/>
  <c r="O38" i="95"/>
  <c r="G12" i="86"/>
  <c r="L12" i="86" s="1"/>
  <c r="E16" i="87"/>
  <c r="L11" i="86"/>
  <c r="K6" i="87"/>
  <c r="N8" i="87"/>
  <c r="K7" i="87"/>
  <c r="I32" i="87"/>
  <c r="I33" i="87"/>
  <c r="K14" i="87"/>
  <c r="K15" i="87"/>
  <c r="J11" i="86"/>
  <c r="Q9" i="86"/>
  <c r="T7" i="86"/>
  <c r="H9" i="86"/>
  <c r="M9" i="86" s="1"/>
  <c r="M8" i="86"/>
  <c r="J9" i="86"/>
  <c r="O9" i="86" s="1"/>
  <c r="O7" i="86"/>
  <c r="S9" i="86" s="1"/>
  <c r="H16" i="87"/>
  <c r="M11" i="86"/>
  <c r="H16" i="86"/>
  <c r="M16" i="86" s="1"/>
  <c r="M14" i="86"/>
  <c r="G24" i="86"/>
  <c r="L24" i="86" s="1"/>
  <c r="J14" i="86"/>
  <c r="J130" i="96" l="1"/>
  <c r="K130" i="96"/>
  <c r="O120" i="96"/>
  <c r="F130" i="96"/>
  <c r="G130" i="96"/>
  <c r="L130" i="96"/>
  <c r="I130" i="96"/>
  <c r="D130" i="96"/>
  <c r="H130" i="96"/>
  <c r="E130" i="96"/>
  <c r="N130" i="96"/>
  <c r="M130" i="96"/>
  <c r="O135" i="96"/>
  <c r="C130" i="96"/>
  <c r="O127" i="96"/>
  <c r="O128" i="96"/>
  <c r="AA36" i="95"/>
  <c r="O115" i="96"/>
  <c r="J49" i="104"/>
  <c r="K49" i="132"/>
  <c r="K50" i="132" s="1"/>
  <c r="I44" i="104"/>
  <c r="I48" i="132" s="1"/>
  <c r="I59" i="104"/>
  <c r="J19" i="138"/>
  <c r="Z23" i="95"/>
  <c r="AA23" i="95" s="1"/>
  <c r="Z11" i="95"/>
  <c r="AA11" i="95" s="1"/>
  <c r="J24" i="132"/>
  <c r="J25" i="132" s="1"/>
  <c r="I22" i="132"/>
  <c r="I60" i="103"/>
  <c r="H27" i="87"/>
  <c r="E27" i="87"/>
  <c r="I15" i="87"/>
  <c r="K17" i="52" s="1"/>
  <c r="K26" i="87"/>
  <c r="I14" i="87"/>
  <c r="H10" i="52" s="1"/>
  <c r="K21" i="87"/>
  <c r="Q17" i="52"/>
  <c r="R17" i="52"/>
  <c r="S17" i="52"/>
  <c r="P17" i="52"/>
  <c r="Q10" i="52"/>
  <c r="S10" i="52"/>
  <c r="R10" i="52"/>
  <c r="P10" i="52"/>
  <c r="H55" i="103"/>
  <c r="H43" i="104"/>
  <c r="G54" i="103"/>
  <c r="F53" i="103"/>
  <c r="H17" i="52"/>
  <c r="I17" i="52"/>
  <c r="B17" i="52"/>
  <c r="M17" i="52"/>
  <c r="G17" i="52"/>
  <c r="J17" i="52"/>
  <c r="E17" i="52"/>
  <c r="F17" i="52"/>
  <c r="I7" i="87"/>
  <c r="L7" i="87" s="1"/>
  <c r="N7" i="87"/>
  <c r="O11" i="86"/>
  <c r="J12" i="86"/>
  <c r="O12" i="86" s="1"/>
  <c r="F32" i="87"/>
  <c r="H14" i="87"/>
  <c r="H15" i="87"/>
  <c r="F33" i="87"/>
  <c r="J15" i="86"/>
  <c r="O15" i="86" s="1"/>
  <c r="I6" i="87"/>
  <c r="L6" i="87" s="1"/>
  <c r="N6" i="87"/>
  <c r="J24" i="86"/>
  <c r="O24" i="86" s="1"/>
  <c r="J16" i="86"/>
  <c r="O16" i="86" s="1"/>
  <c r="O14" i="86"/>
  <c r="T8" i="86"/>
  <c r="T9" i="86" s="1"/>
  <c r="N16" i="87"/>
  <c r="E14" i="87"/>
  <c r="E19" i="87" s="1"/>
  <c r="E21" i="87" s="1"/>
  <c r="E15" i="87"/>
  <c r="E24" i="87" s="1"/>
  <c r="E26" i="87" s="1"/>
  <c r="J49" i="132" l="1"/>
  <c r="J50" i="132" s="1"/>
  <c r="O130" i="96"/>
  <c r="I19" i="138"/>
  <c r="H44" i="104"/>
  <c r="H49" i="104" s="1"/>
  <c r="H59" i="104"/>
  <c r="I49" i="104"/>
  <c r="I49" i="132" s="1"/>
  <c r="I50" i="132" s="1"/>
  <c r="H22" i="132"/>
  <c r="I24" i="132"/>
  <c r="I25" i="132" s="1"/>
  <c r="H60" i="103"/>
  <c r="F10" i="52"/>
  <c r="D10" i="52"/>
  <c r="B10" i="52"/>
  <c r="E10" i="52"/>
  <c r="C10" i="52"/>
  <c r="G10" i="52"/>
  <c r="M10" i="52"/>
  <c r="I10" i="52"/>
  <c r="N27" i="87"/>
  <c r="L10" i="52"/>
  <c r="L17" i="52"/>
  <c r="K10" i="52"/>
  <c r="D17" i="52"/>
  <c r="C17" i="52"/>
  <c r="J10" i="52"/>
  <c r="F15" i="87"/>
  <c r="I16" i="52" s="1"/>
  <c r="H26" i="87"/>
  <c r="F14" i="87"/>
  <c r="B9" i="52" s="1"/>
  <c r="B52" i="53" s="1"/>
  <c r="H21" i="87"/>
  <c r="R9" i="52"/>
  <c r="P9" i="52"/>
  <c r="Q9" i="52"/>
  <c r="S9" i="52"/>
  <c r="Q16" i="52"/>
  <c r="R16" i="52"/>
  <c r="S16" i="52"/>
  <c r="P16" i="52"/>
  <c r="G55" i="103"/>
  <c r="G43" i="104"/>
  <c r="F54" i="103"/>
  <c r="E53" i="103"/>
  <c r="C15" i="87"/>
  <c r="N15" i="87"/>
  <c r="C32" i="87"/>
  <c r="N32" i="87"/>
  <c r="C33" i="87"/>
  <c r="N33" i="87"/>
  <c r="N14" i="87"/>
  <c r="C14" i="87"/>
  <c r="S7" i="87"/>
  <c r="M7" i="87"/>
  <c r="S6" i="87"/>
  <c r="M6" i="87"/>
  <c r="N26" i="87" l="1"/>
  <c r="H48" i="132"/>
  <c r="H19" i="138"/>
  <c r="G44" i="104"/>
  <c r="G59" i="104"/>
  <c r="H24" i="132"/>
  <c r="H25" i="132" s="1"/>
  <c r="G22" i="132"/>
  <c r="H49" i="132"/>
  <c r="H50" i="132" s="1"/>
  <c r="G60" i="103"/>
  <c r="H16" i="52"/>
  <c r="F16" i="52"/>
  <c r="E16" i="52"/>
  <c r="C16" i="52"/>
  <c r="F9" i="52"/>
  <c r="F52" i="53" s="1"/>
  <c r="F54" i="53" s="1"/>
  <c r="K9" i="52"/>
  <c r="K52" i="53" s="1"/>
  <c r="K54" i="53" s="1"/>
  <c r="C9" i="52"/>
  <c r="C52" i="53" s="1"/>
  <c r="C54" i="53" s="1"/>
  <c r="B16" i="52"/>
  <c r="L16" i="52"/>
  <c r="H9" i="52"/>
  <c r="H52" i="53" s="1"/>
  <c r="H54" i="53" s="1"/>
  <c r="D16" i="52"/>
  <c r="D9" i="52"/>
  <c r="D52" i="53" s="1"/>
  <c r="D54" i="53" s="1"/>
  <c r="G16" i="52"/>
  <c r="J9" i="52"/>
  <c r="J52" i="53" s="1"/>
  <c r="J54" i="53" s="1"/>
  <c r="M16" i="52"/>
  <c r="L9" i="52"/>
  <c r="L52" i="53" s="1"/>
  <c r="L54" i="53" s="1"/>
  <c r="J16" i="52"/>
  <c r="M9" i="52"/>
  <c r="M52" i="53" s="1"/>
  <c r="M54" i="53" s="1"/>
  <c r="I9" i="52"/>
  <c r="I52" i="53" s="1"/>
  <c r="I54" i="53" s="1"/>
  <c r="K16" i="52"/>
  <c r="S14" i="87"/>
  <c r="N21" i="87"/>
  <c r="G9" i="52"/>
  <c r="G52" i="53" s="1"/>
  <c r="G54" i="53" s="1"/>
  <c r="E9" i="52"/>
  <c r="E52" i="53" s="1"/>
  <c r="E54" i="53" s="1"/>
  <c r="L33" i="87"/>
  <c r="M33" i="87" s="1"/>
  <c r="Q15" i="52"/>
  <c r="Q18" i="52" s="1"/>
  <c r="R26" i="89" s="1"/>
  <c r="R15" i="52"/>
  <c r="R18" i="52" s="1"/>
  <c r="S26" i="89" s="1"/>
  <c r="S15" i="52"/>
  <c r="S18" i="52" s="1"/>
  <c r="T26" i="89" s="1"/>
  <c r="P15" i="52"/>
  <c r="P18" i="52" s="1"/>
  <c r="Q26" i="89" s="1"/>
  <c r="L32" i="87"/>
  <c r="M32" i="87" s="1"/>
  <c r="P8" i="52"/>
  <c r="P11" i="52" s="1"/>
  <c r="Q13" i="89" s="1"/>
  <c r="Q8" i="52"/>
  <c r="Q11" i="52" s="1"/>
  <c r="R13" i="89" s="1"/>
  <c r="S8" i="52"/>
  <c r="S11" i="52" s="1"/>
  <c r="T13" i="89" s="1"/>
  <c r="R8" i="52"/>
  <c r="R11" i="52" s="1"/>
  <c r="S13" i="89" s="1"/>
  <c r="F55" i="103"/>
  <c r="F43" i="104"/>
  <c r="E54" i="103"/>
  <c r="D53" i="103"/>
  <c r="B54" i="53"/>
  <c r="S33" i="87"/>
  <c r="S32" i="87"/>
  <c r="S15" i="87"/>
  <c r="T11" i="86"/>
  <c r="I8" i="52"/>
  <c r="K8" i="52"/>
  <c r="J8" i="52"/>
  <c r="B8" i="52"/>
  <c r="C8" i="52"/>
  <c r="D8" i="52"/>
  <c r="L14" i="87"/>
  <c r="M14" i="87" s="1"/>
  <c r="M8" i="52"/>
  <c r="L8" i="52"/>
  <c r="E8" i="52"/>
  <c r="F8" i="52"/>
  <c r="G8" i="52"/>
  <c r="H8" i="52"/>
  <c r="F15" i="52"/>
  <c r="M15" i="52"/>
  <c r="L15" i="87"/>
  <c r="M15" i="87" s="1"/>
  <c r="J15" i="52"/>
  <c r="G15" i="52"/>
  <c r="H15" i="52"/>
  <c r="I15" i="52"/>
  <c r="C15" i="52"/>
  <c r="B15" i="52"/>
  <c r="D15" i="52"/>
  <c r="K15" i="52"/>
  <c r="E15" i="52"/>
  <c r="L15" i="52"/>
  <c r="G19" i="138" l="1"/>
  <c r="F44" i="104"/>
  <c r="F48" i="132" s="1"/>
  <c r="F59" i="104"/>
  <c r="G48" i="132"/>
  <c r="G49" i="104"/>
  <c r="G49" i="132" s="1"/>
  <c r="F22" i="132"/>
  <c r="G24" i="132"/>
  <c r="G25" i="132" s="1"/>
  <c r="F60" i="103"/>
  <c r="N54" i="53"/>
  <c r="N52" i="53"/>
  <c r="Q27" i="89"/>
  <c r="Q14" i="89"/>
  <c r="E55" i="103"/>
  <c r="E60" i="103" s="1"/>
  <c r="E43" i="104"/>
  <c r="T12" i="86"/>
  <c r="F49" i="104" l="1"/>
  <c r="G50" i="132"/>
  <c r="E44" i="104"/>
  <c r="E48" i="132" s="1"/>
  <c r="E59" i="104"/>
  <c r="F19" i="138"/>
  <c r="F49" i="132"/>
  <c r="F50" i="132" s="1"/>
  <c r="F24" i="132"/>
  <c r="F25" i="132" s="1"/>
  <c r="E24" i="132"/>
  <c r="E22" i="132"/>
  <c r="N53" i="53"/>
  <c r="C53" i="104"/>
  <c r="D53" i="104"/>
  <c r="E49" i="104" l="1"/>
  <c r="E19" i="138"/>
  <c r="E25" i="132"/>
  <c r="E49" i="132"/>
  <c r="E50" i="132" s="1"/>
  <c r="E53" i="104"/>
  <c r="F53" i="104" s="1"/>
  <c r="G53" i="104" s="1"/>
  <c r="H53" i="104" s="1"/>
  <c r="I53" i="104" s="1"/>
  <c r="J53" i="104" s="1"/>
  <c r="K53" i="104" s="1"/>
  <c r="L53" i="104" s="1"/>
  <c r="M53" i="104" s="1"/>
  <c r="N53" i="104" s="1"/>
  <c r="O58" i="103" l="1"/>
  <c r="D27" i="106" s="1"/>
  <c r="D59" i="103"/>
  <c r="O25" i="104" l="1"/>
  <c r="D26" i="104"/>
  <c r="O59" i="103"/>
  <c r="O26" i="104" l="1"/>
  <c r="C35" i="106" l="1"/>
  <c r="D22" i="106"/>
  <c r="D23" i="106"/>
  <c r="D29" i="106" l="1"/>
  <c r="H27" i="132"/>
  <c r="C28" i="132"/>
  <c r="I27" i="132"/>
  <c r="D28" i="132"/>
  <c r="E28" i="132"/>
  <c r="E29" i="132"/>
  <c r="F28" i="132"/>
  <c r="F29" i="132"/>
  <c r="K28" i="132"/>
  <c r="M28" i="132"/>
  <c r="G28" i="132"/>
  <c r="H29" i="132"/>
  <c r="J28" i="132"/>
  <c r="H28" i="132"/>
  <c r="I29" i="132"/>
  <c r="I28" i="132"/>
  <c r="L28" i="132"/>
  <c r="N28" i="132"/>
  <c r="N27" i="132"/>
  <c r="E27" i="132"/>
  <c r="G29" i="132"/>
  <c r="M27" i="132"/>
  <c r="M29" i="132"/>
  <c r="L27" i="132"/>
  <c r="K27" i="132"/>
  <c r="L29" i="132"/>
  <c r="G27" i="132"/>
  <c r="F27" i="132"/>
  <c r="K29" i="132"/>
  <c r="J27" i="132"/>
  <c r="N29" i="132"/>
  <c r="J29" i="132"/>
  <c r="K76" i="103"/>
  <c r="I76" i="103"/>
  <c r="C76" i="103"/>
  <c r="F76" i="103"/>
  <c r="G76" i="103"/>
  <c r="M76" i="103"/>
  <c r="N76" i="103"/>
  <c r="L76" i="103"/>
  <c r="H76" i="103"/>
  <c r="J76" i="103"/>
  <c r="E76" i="103"/>
  <c r="D76" i="103"/>
  <c r="E35" i="106"/>
  <c r="F30" i="132" l="1"/>
  <c r="G30" i="132"/>
  <c r="N30" i="132"/>
  <c r="O28" i="132"/>
  <c r="L30" i="132"/>
  <c r="E30" i="132"/>
  <c r="I30" i="132"/>
  <c r="M30" i="132"/>
  <c r="K30" i="132"/>
  <c r="J30" i="132"/>
  <c r="H30" i="132"/>
  <c r="O16" i="89" l="1"/>
  <c r="J80" i="54" l="1"/>
  <c r="H80" i="54"/>
  <c r="E80" i="54"/>
  <c r="J17" i="51"/>
  <c r="G17" i="51"/>
  <c r="J40" i="51"/>
  <c r="D40" i="51"/>
  <c r="P39" i="51"/>
  <c r="M39" i="51"/>
  <c r="I30" i="54"/>
  <c r="F30" i="54"/>
  <c r="D30" i="54"/>
  <c r="C30" i="54"/>
  <c r="D30" i="53"/>
  <c r="E30" i="53"/>
  <c r="F30" i="53"/>
  <c r="K30" i="53"/>
  <c r="L30" i="53"/>
  <c r="G10" i="51"/>
  <c r="E78" i="53"/>
  <c r="D35" i="51"/>
  <c r="I78" i="53"/>
  <c r="P35" i="51"/>
  <c r="M78" i="53"/>
  <c r="D11" i="51"/>
  <c r="D9" i="51"/>
  <c r="B29" i="53"/>
  <c r="B77" i="53"/>
  <c r="C29" i="53"/>
  <c r="C77" i="53"/>
  <c r="B29" i="54"/>
  <c r="B54" i="54"/>
  <c r="B79" i="54"/>
  <c r="C29" i="54"/>
  <c r="C54" i="54"/>
  <c r="C79" i="54"/>
  <c r="D29" i="54"/>
  <c r="D54" i="54"/>
  <c r="D79" i="54"/>
  <c r="D29" i="53"/>
  <c r="D77" i="53"/>
  <c r="E29" i="54"/>
  <c r="E54" i="54"/>
  <c r="E79" i="54"/>
  <c r="E29" i="53"/>
  <c r="E77" i="53"/>
  <c r="F29" i="54"/>
  <c r="F54" i="54"/>
  <c r="F79" i="54"/>
  <c r="B30" i="53"/>
  <c r="B78" i="53"/>
  <c r="C30" i="53"/>
  <c r="C78" i="53"/>
  <c r="F29" i="53"/>
  <c r="F77" i="53"/>
  <c r="G29" i="53"/>
  <c r="G30" i="53"/>
  <c r="G77" i="53"/>
  <c r="G78" i="53"/>
  <c r="H29" i="53"/>
  <c r="H30" i="53"/>
  <c r="H77" i="53"/>
  <c r="H78" i="53"/>
  <c r="I29" i="53"/>
  <c r="I30" i="53"/>
  <c r="I77" i="53"/>
  <c r="J29" i="53"/>
  <c r="J77" i="53"/>
  <c r="K29" i="53"/>
  <c r="K77" i="53"/>
  <c r="L29" i="53"/>
  <c r="L77" i="53"/>
  <c r="M29" i="53"/>
  <c r="M30" i="53"/>
  <c r="M77" i="53"/>
  <c r="C80" i="54"/>
  <c r="D80" i="54"/>
  <c r="E30" i="54"/>
  <c r="F55" i="54"/>
  <c r="G29" i="54"/>
  <c r="G54" i="54"/>
  <c r="G79" i="54"/>
  <c r="H29" i="54"/>
  <c r="H30" i="54"/>
  <c r="H54" i="54"/>
  <c r="H79" i="54"/>
  <c r="I29" i="54"/>
  <c r="I54" i="54"/>
  <c r="I55" i="54"/>
  <c r="I79" i="54"/>
  <c r="I80" i="54"/>
  <c r="J29" i="54"/>
  <c r="J30" i="54"/>
  <c r="J54" i="54"/>
  <c r="J79" i="54"/>
  <c r="K29" i="54"/>
  <c r="K30" i="54"/>
  <c r="K54" i="54"/>
  <c r="K55" i="54"/>
  <c r="K79" i="54"/>
  <c r="L29" i="54"/>
  <c r="L54" i="54"/>
  <c r="L79" i="54"/>
  <c r="L80" i="54"/>
  <c r="M29" i="54"/>
  <c r="M30" i="54"/>
  <c r="M54" i="54"/>
  <c r="M55" i="54"/>
  <c r="M79" i="54"/>
  <c r="M80" i="54"/>
  <c r="N17" i="52"/>
  <c r="N16" i="52"/>
  <c r="N15" i="52"/>
  <c r="N10" i="52"/>
  <c r="C15" i="51"/>
  <c r="C15" i="93" s="1"/>
  <c r="F15" i="51"/>
  <c r="F15" i="93" s="1"/>
  <c r="I15" i="51"/>
  <c r="I15" i="93" s="1"/>
  <c r="L15" i="51"/>
  <c r="L15" i="93" s="1"/>
  <c r="M15" i="51"/>
  <c r="O15" i="51"/>
  <c r="O15" i="93" s="1"/>
  <c r="R15" i="51"/>
  <c r="R15" i="93" s="1"/>
  <c r="S15" i="51"/>
  <c r="C39" i="51"/>
  <c r="C39" i="93" s="1"/>
  <c r="D39" i="51"/>
  <c r="F39" i="51"/>
  <c r="F39" i="93" s="1"/>
  <c r="G39" i="51"/>
  <c r="I39" i="51"/>
  <c r="I39" i="93" s="1"/>
  <c r="J39" i="51"/>
  <c r="L39" i="51"/>
  <c r="L39" i="93" s="1"/>
  <c r="O39" i="51"/>
  <c r="O39" i="93" s="1"/>
  <c r="R39" i="51"/>
  <c r="R39" i="93" s="1"/>
  <c r="C16" i="51"/>
  <c r="C16" i="93" s="1"/>
  <c r="F16" i="51"/>
  <c r="F16" i="93" s="1"/>
  <c r="H16" i="93" s="1"/>
  <c r="I16" i="51"/>
  <c r="I16" i="93" s="1"/>
  <c r="K16" i="93" s="1"/>
  <c r="L16" i="51"/>
  <c r="L16" i="93" s="1"/>
  <c r="N16" i="93" s="1"/>
  <c r="M16" i="51"/>
  <c r="O16" i="51"/>
  <c r="O16" i="93" s="1"/>
  <c r="Q16" i="93" s="1"/>
  <c r="P16" i="51"/>
  <c r="R16" i="51"/>
  <c r="R16" i="93" s="1"/>
  <c r="T16" i="93" s="1"/>
  <c r="S16" i="51"/>
  <c r="C40" i="51"/>
  <c r="C40" i="93" s="1"/>
  <c r="F40" i="51"/>
  <c r="F40" i="93" s="1"/>
  <c r="H40" i="93" s="1"/>
  <c r="G40" i="51"/>
  <c r="I40" i="51"/>
  <c r="I40" i="93" s="1"/>
  <c r="K40" i="93" s="1"/>
  <c r="L40" i="51"/>
  <c r="L40" i="93" s="1"/>
  <c r="N40" i="93" s="1"/>
  <c r="M40" i="51"/>
  <c r="O40" i="51"/>
  <c r="O40" i="93" s="1"/>
  <c r="Q40" i="93" s="1"/>
  <c r="P40" i="51"/>
  <c r="R40" i="51"/>
  <c r="R40" i="93" s="1"/>
  <c r="T40" i="93" s="1"/>
  <c r="S40" i="51"/>
  <c r="C17" i="51"/>
  <c r="C17" i="93" s="1"/>
  <c r="D17" i="51"/>
  <c r="F17" i="51"/>
  <c r="F17" i="93" s="1"/>
  <c r="H17" i="93" s="1"/>
  <c r="I17" i="51"/>
  <c r="I17" i="93" s="1"/>
  <c r="K17" i="93" s="1"/>
  <c r="L17" i="51"/>
  <c r="L17" i="93" s="1"/>
  <c r="N17" i="93" s="1"/>
  <c r="O17" i="51"/>
  <c r="O17" i="93" s="1"/>
  <c r="Q17" i="93" s="1"/>
  <c r="R17" i="51"/>
  <c r="R17" i="93" s="1"/>
  <c r="T17" i="93" s="1"/>
  <c r="C41" i="51"/>
  <c r="C41" i="93" s="1"/>
  <c r="F41" i="51"/>
  <c r="F41" i="93" s="1"/>
  <c r="H41" i="93" s="1"/>
  <c r="G41" i="51"/>
  <c r="I41" i="51"/>
  <c r="I41" i="93" s="1"/>
  <c r="K41" i="93" s="1"/>
  <c r="J41" i="51"/>
  <c r="L41" i="51"/>
  <c r="L41" i="93" s="1"/>
  <c r="N41" i="93" s="1"/>
  <c r="M41" i="51"/>
  <c r="O41" i="51"/>
  <c r="O41" i="93" s="1"/>
  <c r="Q41" i="93" s="1"/>
  <c r="P41" i="51"/>
  <c r="R41" i="51"/>
  <c r="R41" i="93" s="1"/>
  <c r="T41" i="93" s="1"/>
  <c r="S41" i="51"/>
  <c r="C9" i="51"/>
  <c r="F9" i="51"/>
  <c r="G9" i="51"/>
  <c r="I9" i="51"/>
  <c r="I9" i="93" s="1"/>
  <c r="J9" i="51"/>
  <c r="L9" i="51"/>
  <c r="L9" i="93" s="1"/>
  <c r="M9" i="51"/>
  <c r="O9" i="51"/>
  <c r="O9" i="93" s="1"/>
  <c r="P9" i="51"/>
  <c r="R9" i="51"/>
  <c r="R9" i="93" s="1"/>
  <c r="S9" i="51"/>
  <c r="C33" i="51"/>
  <c r="C33" i="93" s="1"/>
  <c r="D33" i="51"/>
  <c r="F33" i="51"/>
  <c r="G33" i="51"/>
  <c r="I33" i="51"/>
  <c r="L33" i="51"/>
  <c r="M33" i="51"/>
  <c r="O33" i="51"/>
  <c r="P33" i="51"/>
  <c r="R33" i="51"/>
  <c r="R33" i="93" s="1"/>
  <c r="S33" i="51"/>
  <c r="C10" i="51"/>
  <c r="C10" i="93" s="1"/>
  <c r="D10" i="51"/>
  <c r="F10" i="51"/>
  <c r="F10" i="93" s="1"/>
  <c r="I10" i="51"/>
  <c r="I10" i="93" s="1"/>
  <c r="L10" i="51"/>
  <c r="L10" i="93" s="1"/>
  <c r="O10" i="51"/>
  <c r="O10" i="93" s="1"/>
  <c r="R10" i="51"/>
  <c r="R10" i="93" s="1"/>
  <c r="C34" i="51"/>
  <c r="D34" i="51"/>
  <c r="F34" i="51"/>
  <c r="G34" i="51"/>
  <c r="I34" i="51"/>
  <c r="J34" i="51"/>
  <c r="L34" i="51"/>
  <c r="L34" i="93" s="1"/>
  <c r="M34" i="51"/>
  <c r="O34" i="51"/>
  <c r="O34" i="93" s="1"/>
  <c r="P34" i="51"/>
  <c r="R34" i="51"/>
  <c r="R34" i="93" s="1"/>
  <c r="S34" i="51"/>
  <c r="C11" i="51"/>
  <c r="C11" i="93" s="1"/>
  <c r="F11" i="51"/>
  <c r="F11" i="93" s="1"/>
  <c r="G11" i="51"/>
  <c r="I11" i="51"/>
  <c r="I11" i="93" s="1"/>
  <c r="J11" i="51"/>
  <c r="L11" i="51"/>
  <c r="L11" i="93" s="1"/>
  <c r="M11" i="51"/>
  <c r="O11" i="51"/>
  <c r="P11" i="51"/>
  <c r="R11" i="51"/>
  <c r="S11" i="51"/>
  <c r="C35" i="51"/>
  <c r="F35" i="51"/>
  <c r="I35" i="51"/>
  <c r="I35" i="93" s="1"/>
  <c r="L35" i="51"/>
  <c r="L35" i="93" s="1"/>
  <c r="O35" i="51"/>
  <c r="O35" i="93" s="1"/>
  <c r="R35" i="51"/>
  <c r="R35" i="93" s="1"/>
  <c r="S35" i="51"/>
  <c r="M18" i="52"/>
  <c r="L18" i="52"/>
  <c r="K18" i="52"/>
  <c r="J18" i="52"/>
  <c r="I18" i="52"/>
  <c r="H18" i="52"/>
  <c r="G18" i="52"/>
  <c r="F18" i="52"/>
  <c r="E18" i="52"/>
  <c r="D18" i="52"/>
  <c r="C18" i="52"/>
  <c r="B18" i="52"/>
  <c r="C11" i="52"/>
  <c r="D11" i="52"/>
  <c r="E11" i="52"/>
  <c r="F11" i="52"/>
  <c r="G11" i="52"/>
  <c r="H11" i="52"/>
  <c r="I11" i="52"/>
  <c r="J11" i="52"/>
  <c r="K11" i="52"/>
  <c r="L11" i="52"/>
  <c r="M11" i="52"/>
  <c r="N8" i="52"/>
  <c r="N9" i="52"/>
  <c r="B11" i="52"/>
  <c r="G13" i="89" l="1"/>
  <c r="E13" i="89"/>
  <c r="D13" i="89"/>
  <c r="C26" i="89"/>
  <c r="D26" i="89"/>
  <c r="E26" i="89"/>
  <c r="F26" i="89"/>
  <c r="G26" i="89"/>
  <c r="N13" i="89"/>
  <c r="H26" i="89"/>
  <c r="M13" i="89"/>
  <c r="I26" i="89"/>
  <c r="J26" i="89"/>
  <c r="K13" i="89"/>
  <c r="K26" i="89"/>
  <c r="J13" i="89"/>
  <c r="L26" i="89"/>
  <c r="C13" i="89"/>
  <c r="C14" i="89" s="1"/>
  <c r="L13" i="89"/>
  <c r="I13" i="89"/>
  <c r="M26" i="89"/>
  <c r="H13" i="89"/>
  <c r="N26" i="89"/>
  <c r="F13" i="89"/>
  <c r="E33" i="51"/>
  <c r="O26" i="89"/>
  <c r="H39" i="93"/>
  <c r="H42" i="93" s="1"/>
  <c r="F42" i="93"/>
  <c r="L12" i="93"/>
  <c r="N9" i="93"/>
  <c r="L21" i="93"/>
  <c r="C22" i="93"/>
  <c r="U10" i="93"/>
  <c r="E10" i="93"/>
  <c r="F47" i="51"/>
  <c r="F35" i="93"/>
  <c r="K9" i="93"/>
  <c r="I12" i="93"/>
  <c r="I21" i="93"/>
  <c r="I42" i="93"/>
  <c r="K39" i="93"/>
  <c r="K42" i="93" s="1"/>
  <c r="R23" i="51"/>
  <c r="R11" i="93"/>
  <c r="O18" i="93"/>
  <c r="Q15" i="93"/>
  <c r="Q18" i="93" s="1"/>
  <c r="R45" i="93"/>
  <c r="R36" i="93"/>
  <c r="T33" i="93"/>
  <c r="E39" i="93"/>
  <c r="U39" i="93"/>
  <c r="C42" i="93"/>
  <c r="O23" i="51"/>
  <c r="O11" i="93"/>
  <c r="N11" i="93"/>
  <c r="N23" i="93" s="1"/>
  <c r="L23" i="93"/>
  <c r="U17" i="93"/>
  <c r="E17" i="93"/>
  <c r="W17" i="93" s="1"/>
  <c r="O46" i="93"/>
  <c r="Q34" i="93"/>
  <c r="Q46" i="93" s="1"/>
  <c r="C47" i="51"/>
  <c r="C35" i="93"/>
  <c r="O45" i="51"/>
  <c r="O33" i="93"/>
  <c r="F21" i="51"/>
  <c r="F9" i="93"/>
  <c r="C46" i="51"/>
  <c r="C34" i="93"/>
  <c r="C36" i="93" s="1"/>
  <c r="N15" i="93"/>
  <c r="N18" i="93" s="1"/>
  <c r="L18" i="93"/>
  <c r="F46" i="51"/>
  <c r="F34" i="93"/>
  <c r="K15" i="93"/>
  <c r="K18" i="93" s="1"/>
  <c r="I18" i="93"/>
  <c r="K35" i="93"/>
  <c r="K47" i="93" s="1"/>
  <c r="I47" i="93"/>
  <c r="E41" i="93"/>
  <c r="W41" i="93" s="1"/>
  <c r="U41" i="93"/>
  <c r="T15" i="93"/>
  <c r="T18" i="93" s="1"/>
  <c r="R18" i="93"/>
  <c r="I45" i="51"/>
  <c r="I33" i="93"/>
  <c r="O22" i="93"/>
  <c r="Q10" i="93"/>
  <c r="Q22" i="93" s="1"/>
  <c r="E33" i="93"/>
  <c r="C45" i="93"/>
  <c r="U16" i="93"/>
  <c r="E16" i="93"/>
  <c r="W16" i="93" s="1"/>
  <c r="H15" i="93"/>
  <c r="H18" i="93" s="1"/>
  <c r="F18" i="93"/>
  <c r="I46" i="51"/>
  <c r="I34" i="93"/>
  <c r="C21" i="51"/>
  <c r="C9" i="93"/>
  <c r="F45" i="51"/>
  <c r="F33" i="93"/>
  <c r="I23" i="93"/>
  <c r="K11" i="93"/>
  <c r="K23" i="93" s="1"/>
  <c r="N10" i="93"/>
  <c r="N22" i="93" s="1"/>
  <c r="L22" i="93"/>
  <c r="R42" i="93"/>
  <c r="T39" i="93"/>
  <c r="T42" i="93" s="1"/>
  <c r="E15" i="93"/>
  <c r="U15" i="93"/>
  <c r="C18" i="93"/>
  <c r="N34" i="93"/>
  <c r="N46" i="93" s="1"/>
  <c r="L46" i="93"/>
  <c r="R47" i="93"/>
  <c r="T35" i="93"/>
  <c r="T47" i="93" s="1"/>
  <c r="S47" i="93" s="1"/>
  <c r="C23" i="93"/>
  <c r="E11" i="93"/>
  <c r="I22" i="93"/>
  <c r="K10" i="93"/>
  <c r="K22" i="93" s="1"/>
  <c r="J22" i="93" s="1"/>
  <c r="R21" i="93"/>
  <c r="T9" i="93"/>
  <c r="R12" i="93"/>
  <c r="Q39" i="93"/>
  <c r="Q42" i="93" s="1"/>
  <c r="O42" i="93"/>
  <c r="L45" i="51"/>
  <c r="L33" i="93"/>
  <c r="Q35" i="93"/>
  <c r="Q47" i="93" s="1"/>
  <c r="O47" i="93"/>
  <c r="L42" i="93"/>
  <c r="N39" i="93"/>
  <c r="N42" i="93" s="1"/>
  <c r="U40" i="93"/>
  <c r="E40" i="93"/>
  <c r="R22" i="93"/>
  <c r="T10" i="93"/>
  <c r="T22" i="93" s="1"/>
  <c r="H11" i="93"/>
  <c r="H23" i="93" s="1"/>
  <c r="F23" i="93"/>
  <c r="F22" i="93"/>
  <c r="H10" i="93"/>
  <c r="H22" i="93" s="1"/>
  <c r="N35" i="93"/>
  <c r="N47" i="93" s="1"/>
  <c r="L47" i="93"/>
  <c r="R46" i="93"/>
  <c r="T34" i="93"/>
  <c r="T46" i="93" s="1"/>
  <c r="O21" i="93"/>
  <c r="Q9" i="93"/>
  <c r="K4" i="53"/>
  <c r="L4" i="53"/>
  <c r="D4" i="53"/>
  <c r="H4" i="53"/>
  <c r="G4" i="53"/>
  <c r="E4" i="53"/>
  <c r="F4" i="53"/>
  <c r="C45" i="51"/>
  <c r="J4" i="53"/>
  <c r="R22" i="51"/>
  <c r="L22" i="51"/>
  <c r="C23" i="51"/>
  <c r="F23" i="51"/>
  <c r="I22" i="51"/>
  <c r="M4" i="53"/>
  <c r="O47" i="51"/>
  <c r="L47" i="51"/>
  <c r="R46" i="51"/>
  <c r="O21" i="51"/>
  <c r="I4" i="53"/>
  <c r="O13" i="89"/>
  <c r="I47" i="51"/>
  <c r="C22" i="51"/>
  <c r="R21" i="51"/>
  <c r="O46" i="51"/>
  <c r="L21" i="51"/>
  <c r="C4" i="53"/>
  <c r="L23" i="51"/>
  <c r="I23" i="51"/>
  <c r="O22" i="51"/>
  <c r="R45" i="51"/>
  <c r="R47" i="51"/>
  <c r="F22" i="51"/>
  <c r="L46" i="51"/>
  <c r="I21" i="51"/>
  <c r="B4" i="53"/>
  <c r="J10" i="51"/>
  <c r="K10" i="51" s="1"/>
  <c r="G80" i="54"/>
  <c r="G81" i="54" s="1"/>
  <c r="G55" i="54"/>
  <c r="G56" i="54" s="1"/>
  <c r="J16" i="51"/>
  <c r="K16" i="51" s="1"/>
  <c r="E55" i="54"/>
  <c r="E56" i="54" s="1"/>
  <c r="D55" i="54"/>
  <c r="D56" i="54" s="1"/>
  <c r="G16" i="51"/>
  <c r="H16" i="51" s="1"/>
  <c r="D41" i="51"/>
  <c r="E41" i="51" s="1"/>
  <c r="D16" i="51"/>
  <c r="E16" i="51" s="1"/>
  <c r="J15" i="51"/>
  <c r="K15" i="51" s="1"/>
  <c r="S17" i="51"/>
  <c r="T17" i="51" s="1"/>
  <c r="G15" i="51"/>
  <c r="H15" i="51" s="1"/>
  <c r="H55" i="54"/>
  <c r="H56" i="54" s="1"/>
  <c r="B30" i="54"/>
  <c r="B31" i="54" s="1"/>
  <c r="P17" i="51"/>
  <c r="Q17" i="51" s="1"/>
  <c r="D15" i="51"/>
  <c r="E15" i="51" s="1"/>
  <c r="G35" i="51"/>
  <c r="H35" i="51" s="1"/>
  <c r="F78" i="53"/>
  <c r="F79" i="53" s="1"/>
  <c r="K80" i="54"/>
  <c r="K81" i="54" s="1"/>
  <c r="D78" i="53"/>
  <c r="D79" i="53" s="1"/>
  <c r="C55" i="54"/>
  <c r="C56" i="54" s="1"/>
  <c r="N16" i="51"/>
  <c r="E34" i="51"/>
  <c r="E40" i="51"/>
  <c r="H33" i="51"/>
  <c r="T16" i="51"/>
  <c r="N18" i="52"/>
  <c r="L31" i="53"/>
  <c r="E4" i="54"/>
  <c r="C81" i="54"/>
  <c r="C4" i="54"/>
  <c r="G31" i="53"/>
  <c r="J55" i="54"/>
  <c r="P15" i="51"/>
  <c r="Q15" i="51" s="1"/>
  <c r="L55" i="54"/>
  <c r="L56" i="54" s="1"/>
  <c r="G30" i="54"/>
  <c r="G31" i="54" s="1"/>
  <c r="B80" i="54"/>
  <c r="M17" i="51"/>
  <c r="N17" i="51" s="1"/>
  <c r="S39" i="51"/>
  <c r="T39" i="51" s="1"/>
  <c r="B55" i="54"/>
  <c r="B56" i="54" s="1"/>
  <c r="L30" i="54"/>
  <c r="L31" i="54" s="1"/>
  <c r="F80" i="54"/>
  <c r="F81" i="54" s="1"/>
  <c r="P10" i="51"/>
  <c r="Q10" i="51" s="1"/>
  <c r="M10" i="51"/>
  <c r="N10" i="51" s="1"/>
  <c r="J33" i="51"/>
  <c r="K33" i="51" s="1"/>
  <c r="J30" i="53"/>
  <c r="J31" i="53" s="1"/>
  <c r="L78" i="53"/>
  <c r="L79" i="53" s="1"/>
  <c r="K78" i="53"/>
  <c r="K79" i="53" s="1"/>
  <c r="M35" i="51"/>
  <c r="N35" i="51" s="1"/>
  <c r="S10" i="51"/>
  <c r="T10" i="51" s="1"/>
  <c r="J35" i="51"/>
  <c r="K35" i="51" s="1"/>
  <c r="J78" i="53"/>
  <c r="J79" i="53" s="1"/>
  <c r="N33" i="51"/>
  <c r="B31" i="53"/>
  <c r="N41" i="51"/>
  <c r="H31" i="53"/>
  <c r="J81" i="54"/>
  <c r="H31" i="54"/>
  <c r="E17" i="51"/>
  <c r="H34" i="51"/>
  <c r="D4" i="54"/>
  <c r="Q33" i="51"/>
  <c r="L18" i="51"/>
  <c r="D31" i="53"/>
  <c r="E81" i="54"/>
  <c r="C79" i="53"/>
  <c r="C31" i="53"/>
  <c r="E31" i="54"/>
  <c r="C18" i="51"/>
  <c r="D31" i="54"/>
  <c r="B79" i="53"/>
  <c r="Q41" i="51"/>
  <c r="F56" i="54"/>
  <c r="E31" i="53"/>
  <c r="F31" i="54"/>
  <c r="R18" i="51"/>
  <c r="T11" i="51"/>
  <c r="M81" i="54"/>
  <c r="H79" i="53"/>
  <c r="M31" i="54"/>
  <c r="H9" i="51"/>
  <c r="N9" i="51"/>
  <c r="K39" i="51"/>
  <c r="I31" i="54"/>
  <c r="M79" i="53"/>
  <c r="I79" i="53"/>
  <c r="D81" i="54"/>
  <c r="N40" i="51"/>
  <c r="E35" i="51"/>
  <c r="H81" i="54"/>
  <c r="I31" i="53"/>
  <c r="Q34" i="51"/>
  <c r="H41" i="51"/>
  <c r="T41" i="51"/>
  <c r="T15" i="51"/>
  <c r="H4" i="54"/>
  <c r="Q16" i="51"/>
  <c r="R36" i="51"/>
  <c r="N11" i="51"/>
  <c r="E10" i="51"/>
  <c r="E22" i="51" s="1"/>
  <c r="C31" i="54"/>
  <c r="L81" i="54"/>
  <c r="H11" i="51"/>
  <c r="K41" i="51"/>
  <c r="Q39" i="51"/>
  <c r="U10" i="51"/>
  <c r="K31" i="54"/>
  <c r="K56" i="54"/>
  <c r="M4" i="54"/>
  <c r="H39" i="51"/>
  <c r="F36" i="51"/>
  <c r="F42" i="51"/>
  <c r="M31" i="53"/>
  <c r="G79" i="53"/>
  <c r="N77" i="53"/>
  <c r="E79" i="53"/>
  <c r="Q11" i="51"/>
  <c r="J4" i="54"/>
  <c r="K31" i="53"/>
  <c r="N79" i="54"/>
  <c r="J31" i="54"/>
  <c r="O36" i="51"/>
  <c r="I81" i="54"/>
  <c r="K17" i="51"/>
  <c r="L4" i="54"/>
  <c r="N29" i="54"/>
  <c r="U17" i="51"/>
  <c r="M56" i="54"/>
  <c r="F12" i="51"/>
  <c r="I12" i="51"/>
  <c r="C36" i="51"/>
  <c r="T33" i="51"/>
  <c r="T45" i="51" s="1"/>
  <c r="R42" i="51"/>
  <c r="U39" i="51"/>
  <c r="U11" i="51"/>
  <c r="I18" i="51"/>
  <c r="U15" i="51"/>
  <c r="T34" i="51"/>
  <c r="U16" i="51"/>
  <c r="F4" i="54"/>
  <c r="N15" i="51"/>
  <c r="K4" i="54"/>
  <c r="B4" i="54"/>
  <c r="T35" i="51"/>
  <c r="T47" i="51" s="1"/>
  <c r="N39" i="51"/>
  <c r="F31" i="53"/>
  <c r="N29" i="53"/>
  <c r="U41" i="51"/>
  <c r="G4" i="54"/>
  <c r="K40" i="51"/>
  <c r="N34" i="51"/>
  <c r="L36" i="51"/>
  <c r="H40" i="51"/>
  <c r="I42" i="51"/>
  <c r="K34" i="51"/>
  <c r="Q40" i="51"/>
  <c r="O42" i="51"/>
  <c r="Q9" i="51"/>
  <c r="O12" i="51"/>
  <c r="N54" i="54"/>
  <c r="I56" i="54"/>
  <c r="L42" i="51"/>
  <c r="L12" i="51"/>
  <c r="T40" i="51"/>
  <c r="O18" i="51"/>
  <c r="I36" i="51"/>
  <c r="K11" i="51"/>
  <c r="N11" i="52"/>
  <c r="H10" i="51"/>
  <c r="U40" i="51"/>
  <c r="U35" i="51"/>
  <c r="E11" i="51"/>
  <c r="K9" i="51"/>
  <c r="Q35" i="51"/>
  <c r="E9" i="51"/>
  <c r="U9" i="51"/>
  <c r="H17" i="51"/>
  <c r="C12" i="51"/>
  <c r="U33" i="51"/>
  <c r="T9" i="51"/>
  <c r="R12" i="51"/>
  <c r="C42" i="51"/>
  <c r="E39" i="51"/>
  <c r="E45" i="51" s="1"/>
  <c r="F18" i="51"/>
  <c r="U34" i="51"/>
  <c r="I4" i="54"/>
  <c r="H22" i="51" l="1"/>
  <c r="U33" i="93"/>
  <c r="L24" i="93"/>
  <c r="Q21" i="51"/>
  <c r="Y40" i="93"/>
  <c r="F48" i="51"/>
  <c r="G22" i="93"/>
  <c r="I48" i="51"/>
  <c r="S22" i="93"/>
  <c r="P18" i="93"/>
  <c r="M42" i="93"/>
  <c r="Y41" i="93"/>
  <c r="F24" i="51"/>
  <c r="H45" i="51"/>
  <c r="G45" i="51" s="1"/>
  <c r="I24" i="93"/>
  <c r="J23" i="93"/>
  <c r="P22" i="93"/>
  <c r="U18" i="93"/>
  <c r="J42" i="93"/>
  <c r="V16" i="93"/>
  <c r="W15" i="93"/>
  <c r="E18" i="93"/>
  <c r="D18" i="93" s="1"/>
  <c r="J18" i="93"/>
  <c r="V17" i="93"/>
  <c r="AA41" i="93"/>
  <c r="M47" i="93"/>
  <c r="P42" i="93"/>
  <c r="S42" i="93"/>
  <c r="F46" i="93"/>
  <c r="H34" i="93"/>
  <c r="H46" i="93" s="1"/>
  <c r="T21" i="93"/>
  <c r="M23" i="93"/>
  <c r="M22" i="93"/>
  <c r="E45" i="93"/>
  <c r="M18" i="93"/>
  <c r="Q11" i="93"/>
  <c r="Q23" i="93" s="1"/>
  <c r="O23" i="93"/>
  <c r="O24" i="93" s="1"/>
  <c r="K21" i="93"/>
  <c r="K12" i="93"/>
  <c r="J12" i="93" s="1"/>
  <c r="G23" i="93"/>
  <c r="F47" i="93"/>
  <c r="H35" i="93"/>
  <c r="C46" i="93"/>
  <c r="E34" i="93"/>
  <c r="U34" i="93"/>
  <c r="Y34" i="93" s="1"/>
  <c r="E23" i="93"/>
  <c r="F45" i="93"/>
  <c r="F36" i="93"/>
  <c r="H33" i="93"/>
  <c r="I36" i="93"/>
  <c r="K33" i="93"/>
  <c r="I45" i="93"/>
  <c r="Y39" i="93"/>
  <c r="W10" i="93"/>
  <c r="E22" i="93"/>
  <c r="E42" i="93"/>
  <c r="D42" i="93" s="1"/>
  <c r="W40" i="93"/>
  <c r="V40" i="93" s="1"/>
  <c r="U11" i="93"/>
  <c r="F12" i="93"/>
  <c r="F21" i="93"/>
  <c r="F24" i="93" s="1"/>
  <c r="H9" i="93"/>
  <c r="W39" i="93"/>
  <c r="C12" i="93"/>
  <c r="E9" i="93"/>
  <c r="E12" i="93" s="1"/>
  <c r="U9" i="93"/>
  <c r="C21" i="93"/>
  <c r="T36" i="93"/>
  <c r="S36" i="93" s="1"/>
  <c r="T45" i="93"/>
  <c r="U22" i="93"/>
  <c r="Q23" i="51"/>
  <c r="P23" i="51" s="1"/>
  <c r="K46" i="51"/>
  <c r="J46" i="51" s="1"/>
  <c r="S18" i="93"/>
  <c r="O45" i="93"/>
  <c r="O48" i="93" s="1"/>
  <c r="Q33" i="93"/>
  <c r="O36" i="93"/>
  <c r="K21" i="51"/>
  <c r="J21" i="51" s="1"/>
  <c r="O12" i="93"/>
  <c r="K34" i="93"/>
  <c r="K46" i="93" s="1"/>
  <c r="I46" i="93"/>
  <c r="U42" i="93"/>
  <c r="R48" i="93"/>
  <c r="N21" i="93"/>
  <c r="N12" i="93"/>
  <c r="M12" i="93" s="1"/>
  <c r="Q21" i="93"/>
  <c r="V41" i="93"/>
  <c r="C47" i="93"/>
  <c r="E35" i="93"/>
  <c r="E47" i="93" s="1"/>
  <c r="U35" i="93"/>
  <c r="E21" i="51"/>
  <c r="P47" i="93"/>
  <c r="M46" i="93"/>
  <c r="S46" i="93"/>
  <c r="N33" i="93"/>
  <c r="L36" i="93"/>
  <c r="L45" i="93"/>
  <c r="L48" i="93" s="1"/>
  <c r="G18" i="93"/>
  <c r="J47" i="93"/>
  <c r="P46" i="93"/>
  <c r="T11" i="93"/>
  <c r="T23" i="93" s="1"/>
  <c r="R23" i="93"/>
  <c r="R24" i="93" s="1"/>
  <c r="G42" i="93"/>
  <c r="T22" i="51"/>
  <c r="S22" i="51" s="1"/>
  <c r="H46" i="51"/>
  <c r="G46" i="51" s="1"/>
  <c r="N22" i="51"/>
  <c r="M22" i="51" s="1"/>
  <c r="Q22" i="51"/>
  <c r="Q24" i="51" s="1"/>
  <c r="H47" i="51"/>
  <c r="G47" i="51" s="1"/>
  <c r="E47" i="51"/>
  <c r="D47" i="51" s="1"/>
  <c r="K22" i="51"/>
  <c r="J22" i="51" s="1"/>
  <c r="R24" i="51"/>
  <c r="T21" i="51"/>
  <c r="S21" i="51" s="1"/>
  <c r="E23" i="51"/>
  <c r="B6" i="53"/>
  <c r="L48" i="51"/>
  <c r="K6" i="53"/>
  <c r="N45" i="51"/>
  <c r="H23" i="51"/>
  <c r="G23" i="51" s="1"/>
  <c r="L24" i="51"/>
  <c r="F6" i="53"/>
  <c r="Q47" i="51"/>
  <c r="P47" i="51" s="1"/>
  <c r="H6" i="53"/>
  <c r="K47" i="51"/>
  <c r="J47" i="51" s="1"/>
  <c r="L6" i="53"/>
  <c r="I24" i="51"/>
  <c r="I6" i="53"/>
  <c r="P21" i="51"/>
  <c r="O24" i="51"/>
  <c r="C6" i="53"/>
  <c r="N21" i="51"/>
  <c r="M21" i="51" s="1"/>
  <c r="H21" i="51"/>
  <c r="E6" i="53"/>
  <c r="D45" i="51"/>
  <c r="C48" i="51"/>
  <c r="N47" i="51"/>
  <c r="M47" i="51" s="1"/>
  <c r="G22" i="51"/>
  <c r="M6" i="53"/>
  <c r="K23" i="51"/>
  <c r="J23" i="51" s="1"/>
  <c r="T46" i="51"/>
  <c r="T48" i="51" s="1"/>
  <c r="D6" i="53"/>
  <c r="G6" i="53"/>
  <c r="E46" i="51"/>
  <c r="D46" i="51" s="1"/>
  <c r="S47" i="51"/>
  <c r="N46" i="51"/>
  <c r="M46" i="51" s="1"/>
  <c r="S45" i="51"/>
  <c r="R48" i="51"/>
  <c r="N23" i="51"/>
  <c r="M23" i="51" s="1"/>
  <c r="T23" i="51"/>
  <c r="S23" i="51" s="1"/>
  <c r="Q45" i="51"/>
  <c r="J6" i="53"/>
  <c r="Q46" i="51"/>
  <c r="P46" i="51" s="1"/>
  <c r="K45" i="51"/>
  <c r="O48" i="51"/>
  <c r="H36" i="51"/>
  <c r="G36" i="51" s="1"/>
  <c r="E18" i="51"/>
  <c r="D18" i="51" s="1"/>
  <c r="J56" i="54"/>
  <c r="B81" i="54"/>
  <c r="C6" i="54"/>
  <c r="L6" i="54"/>
  <c r="N42" i="51"/>
  <c r="M42" i="51" s="1"/>
  <c r="G6" i="54"/>
  <c r="F6" i="54"/>
  <c r="N31" i="53"/>
  <c r="N30" i="53" s="1"/>
  <c r="E6" i="54"/>
  <c r="D6" i="54"/>
  <c r="K42" i="51"/>
  <c r="J42" i="51" s="1"/>
  <c r="T36" i="51"/>
  <c r="S36" i="51" s="1"/>
  <c r="W16" i="51"/>
  <c r="V16" i="51" s="1"/>
  <c r="W41" i="51"/>
  <c r="V41" i="51" s="1"/>
  <c r="M6" i="54"/>
  <c r="K18" i="51"/>
  <c r="J18" i="51" s="1"/>
  <c r="U42" i="51"/>
  <c r="Q42" i="51"/>
  <c r="P42" i="51" s="1"/>
  <c r="E36" i="51"/>
  <c r="D36" i="51" s="1"/>
  <c r="Y34" i="51"/>
  <c r="N18" i="51"/>
  <c r="M18" i="51" s="1"/>
  <c r="H6" i="54"/>
  <c r="K6" i="54"/>
  <c r="T18" i="51"/>
  <c r="S18" i="51" s="1"/>
  <c r="W34" i="51"/>
  <c r="V34" i="51" s="1"/>
  <c r="Q18" i="51"/>
  <c r="P18" i="51" s="1"/>
  <c r="H42" i="51"/>
  <c r="G42" i="51" s="1"/>
  <c r="Y41" i="51"/>
  <c r="W33" i="51"/>
  <c r="V33" i="51" s="1"/>
  <c r="U23" i="51"/>
  <c r="U18" i="51"/>
  <c r="Y39" i="51"/>
  <c r="N36" i="51"/>
  <c r="M36" i="51" s="1"/>
  <c r="Y40" i="51"/>
  <c r="N31" i="54"/>
  <c r="N30" i="54" s="1"/>
  <c r="N79" i="53"/>
  <c r="N78" i="53" s="1"/>
  <c r="K36" i="51"/>
  <c r="J36" i="51" s="1"/>
  <c r="N12" i="51"/>
  <c r="M12" i="51" s="1"/>
  <c r="Y35" i="51"/>
  <c r="W35" i="51"/>
  <c r="V35" i="51" s="1"/>
  <c r="U47" i="51"/>
  <c r="T42" i="51"/>
  <c r="S42" i="51" s="1"/>
  <c r="E42" i="51"/>
  <c r="D42" i="51" s="1"/>
  <c r="W39" i="51"/>
  <c r="V39" i="51" s="1"/>
  <c r="N4" i="54"/>
  <c r="Q12" i="51"/>
  <c r="P12" i="51" s="1"/>
  <c r="W11" i="51"/>
  <c r="V11" i="51" s="1"/>
  <c r="W15" i="51"/>
  <c r="V15" i="51" s="1"/>
  <c r="W10" i="51"/>
  <c r="V10" i="51" s="1"/>
  <c r="H12" i="51"/>
  <c r="G12" i="51" s="1"/>
  <c r="U45" i="51"/>
  <c r="T12" i="51"/>
  <c r="S12" i="51" s="1"/>
  <c r="U22" i="51"/>
  <c r="H18" i="51"/>
  <c r="G18" i="51" s="1"/>
  <c r="W17" i="51"/>
  <c r="V17" i="51" s="1"/>
  <c r="U46" i="51"/>
  <c r="I6" i="54"/>
  <c r="U12" i="51"/>
  <c r="Y33" i="51"/>
  <c r="W9" i="51"/>
  <c r="V9" i="51" s="1"/>
  <c r="E12" i="51"/>
  <c r="D12" i="51" s="1"/>
  <c r="K12" i="51"/>
  <c r="J12" i="51" s="1"/>
  <c r="N4" i="53"/>
  <c r="Q36" i="51"/>
  <c r="P36" i="51" s="1"/>
  <c r="U36" i="51"/>
  <c r="C24" i="51"/>
  <c r="U21" i="51"/>
  <c r="W40" i="51"/>
  <c r="V40" i="51" s="1"/>
  <c r="Z41" i="93" l="1"/>
  <c r="Q12" i="93"/>
  <c r="Y42" i="93"/>
  <c r="H48" i="51"/>
  <c r="G48" i="51" s="1"/>
  <c r="P22" i="51"/>
  <c r="U47" i="93"/>
  <c r="G46" i="93"/>
  <c r="Y35" i="93"/>
  <c r="P12" i="93"/>
  <c r="D12" i="93"/>
  <c r="U46" i="93"/>
  <c r="Y46" i="93" s="1"/>
  <c r="W9" i="93"/>
  <c r="V9" i="93" s="1"/>
  <c r="S21" i="93"/>
  <c r="T24" i="93"/>
  <c r="S24" i="93" s="1"/>
  <c r="E36" i="93"/>
  <c r="D36" i="93" s="1"/>
  <c r="W34" i="93"/>
  <c r="V34" i="93" s="1"/>
  <c r="E46" i="93"/>
  <c r="E48" i="93" s="1"/>
  <c r="T12" i="93"/>
  <c r="S12" i="93" s="1"/>
  <c r="S23" i="93"/>
  <c r="P21" i="93"/>
  <c r="Q24" i="93"/>
  <c r="P24" i="93" s="1"/>
  <c r="W35" i="93"/>
  <c r="V35" i="93" s="1"/>
  <c r="H47" i="93"/>
  <c r="G47" i="93" s="1"/>
  <c r="W22" i="93"/>
  <c r="D22" i="93"/>
  <c r="U36" i="93"/>
  <c r="M21" i="93"/>
  <c r="N24" i="93"/>
  <c r="M24" i="93" s="1"/>
  <c r="S45" i="93"/>
  <c r="T48" i="93"/>
  <c r="S48" i="93" s="1"/>
  <c r="V10" i="93"/>
  <c r="C24" i="93"/>
  <c r="U21" i="93"/>
  <c r="J21" i="93"/>
  <c r="K24" i="93"/>
  <c r="J24" i="93" s="1"/>
  <c r="Y33" i="93"/>
  <c r="Y36" i="93" s="1"/>
  <c r="U12" i="93"/>
  <c r="I48" i="93"/>
  <c r="N45" i="93"/>
  <c r="N36" i="93"/>
  <c r="M36" i="93" s="1"/>
  <c r="J46" i="93"/>
  <c r="K45" i="93"/>
  <c r="K36" i="93"/>
  <c r="J36" i="93" s="1"/>
  <c r="P23" i="93"/>
  <c r="U23" i="93"/>
  <c r="Y47" i="93" s="1"/>
  <c r="H36" i="93"/>
  <c r="G36" i="93" s="1"/>
  <c r="H45" i="93"/>
  <c r="W33" i="93"/>
  <c r="U45" i="93"/>
  <c r="D45" i="93"/>
  <c r="V15" i="93"/>
  <c r="AA39" i="93"/>
  <c r="W18" i="93"/>
  <c r="V18" i="93" s="1"/>
  <c r="C48" i="93"/>
  <c r="V39" i="93"/>
  <c r="W42" i="93"/>
  <c r="V42" i="93" s="1"/>
  <c r="F48" i="93"/>
  <c r="E21" i="93"/>
  <c r="H12" i="93"/>
  <c r="G12" i="93" s="1"/>
  <c r="H21" i="93"/>
  <c r="W11" i="93"/>
  <c r="D47" i="93"/>
  <c r="Q45" i="93"/>
  <c r="Q36" i="93"/>
  <c r="P36" i="93" s="1"/>
  <c r="W23" i="93"/>
  <c r="D23" i="93"/>
  <c r="AA40" i="93"/>
  <c r="Z40" i="93" s="1"/>
  <c r="E48" i="51"/>
  <c r="D48" i="51" s="1"/>
  <c r="S46" i="51"/>
  <c r="K24" i="51"/>
  <c r="J24" i="51" s="1"/>
  <c r="P24" i="51"/>
  <c r="K48" i="51"/>
  <c r="J48" i="51" s="1"/>
  <c r="J45" i="51"/>
  <c r="T24" i="51"/>
  <c r="S24" i="51" s="1"/>
  <c r="S48" i="51"/>
  <c r="N48" i="51"/>
  <c r="M48" i="51" s="1"/>
  <c r="M45" i="51"/>
  <c r="H24" i="51"/>
  <c r="G24" i="51" s="1"/>
  <c r="G21" i="51"/>
  <c r="N24" i="51"/>
  <c r="M24" i="51" s="1"/>
  <c r="N56" i="54"/>
  <c r="N55" i="54" s="1"/>
  <c r="Q48" i="51"/>
  <c r="P48" i="51" s="1"/>
  <c r="P45" i="51"/>
  <c r="L5" i="53"/>
  <c r="J5" i="53"/>
  <c r="G5" i="53"/>
  <c r="K5" i="54"/>
  <c r="M5" i="53"/>
  <c r="F5" i="54"/>
  <c r="L5" i="54"/>
  <c r="G5" i="54"/>
  <c r="D5" i="54"/>
  <c r="I5" i="53"/>
  <c r="E5" i="53"/>
  <c r="E5" i="54"/>
  <c r="J6" i="54"/>
  <c r="B5" i="53"/>
  <c r="D5" i="53"/>
  <c r="H5" i="54"/>
  <c r="K5" i="53"/>
  <c r="F5" i="53"/>
  <c r="M5" i="54"/>
  <c r="H5" i="53"/>
  <c r="C5" i="54"/>
  <c r="B6" i="54"/>
  <c r="N81" i="54"/>
  <c r="N80" i="54" s="1"/>
  <c r="C5" i="53"/>
  <c r="AA34" i="51"/>
  <c r="Z34" i="51" s="1"/>
  <c r="Y47" i="51"/>
  <c r="N6" i="53"/>
  <c r="W36" i="51"/>
  <c r="V36" i="51" s="1"/>
  <c r="AA40" i="51"/>
  <c r="Z40" i="51" s="1"/>
  <c r="W46" i="51"/>
  <c r="V46" i="51" s="1"/>
  <c r="W47" i="51"/>
  <c r="V47" i="51" s="1"/>
  <c r="Y42" i="51"/>
  <c r="Y36" i="51"/>
  <c r="AA41" i="51"/>
  <c r="Z41" i="51" s="1"/>
  <c r="U48" i="51"/>
  <c r="D21" i="51"/>
  <c r="W21" i="51"/>
  <c r="V21" i="51" s="1"/>
  <c r="E24" i="51"/>
  <c r="D24" i="51" s="1"/>
  <c r="D23" i="51"/>
  <c r="W23" i="51"/>
  <c r="V23" i="51" s="1"/>
  <c r="AA35" i="51"/>
  <c r="Z35" i="51" s="1"/>
  <c r="Y45" i="51"/>
  <c r="U24" i="51"/>
  <c r="AA33" i="51"/>
  <c r="Z33" i="51" s="1"/>
  <c r="W12" i="51"/>
  <c r="V12" i="51" s="1"/>
  <c r="W18" i="51"/>
  <c r="V18" i="51" s="1"/>
  <c r="AA39" i="51"/>
  <c r="Z39" i="51" s="1"/>
  <c r="W42" i="51"/>
  <c r="V42" i="51" s="1"/>
  <c r="Y46" i="51"/>
  <c r="W45" i="51"/>
  <c r="V45" i="51" s="1"/>
  <c r="I5" i="54"/>
  <c r="W22" i="51"/>
  <c r="V22" i="51" s="1"/>
  <c r="D22" i="51"/>
  <c r="W45" i="93" l="1"/>
  <c r="D48" i="93"/>
  <c r="W47" i="93"/>
  <c r="V47" i="93" s="1"/>
  <c r="U48" i="93"/>
  <c r="AA34" i="93"/>
  <c r="Z34" i="93" s="1"/>
  <c r="AA42" i="93"/>
  <c r="Z42" i="93" s="1"/>
  <c r="Z39" i="93"/>
  <c r="V23" i="93"/>
  <c r="V45" i="93"/>
  <c r="M45" i="93"/>
  <c r="N48" i="93"/>
  <c r="M48" i="93" s="1"/>
  <c r="V22" i="93"/>
  <c r="P45" i="93"/>
  <c r="Q48" i="93"/>
  <c r="P48" i="93" s="1"/>
  <c r="V33" i="93"/>
  <c r="W36" i="93"/>
  <c r="V36" i="93" s="1"/>
  <c r="V11" i="93"/>
  <c r="AA35" i="93"/>
  <c r="Z35" i="93" s="1"/>
  <c r="G45" i="93"/>
  <c r="H48" i="93"/>
  <c r="G48" i="93" s="1"/>
  <c r="H24" i="93"/>
  <c r="G24" i="93" s="1"/>
  <c r="G21" i="93"/>
  <c r="Y45" i="93"/>
  <c r="Y48" i="93" s="1"/>
  <c r="U24" i="93"/>
  <c r="D21" i="93"/>
  <c r="W21" i="93"/>
  <c r="E24" i="93"/>
  <c r="D24" i="93" s="1"/>
  <c r="D46" i="93"/>
  <c r="W46" i="93"/>
  <c r="V46" i="93" s="1"/>
  <c r="J45" i="93"/>
  <c r="K48" i="93"/>
  <c r="J48" i="93" s="1"/>
  <c r="W12" i="93"/>
  <c r="V12" i="93" s="1"/>
  <c r="AA33" i="93"/>
  <c r="B5" i="54"/>
  <c r="N5" i="53"/>
  <c r="J5" i="54"/>
  <c r="N6" i="54"/>
  <c r="Y48" i="51"/>
  <c r="W24" i="51"/>
  <c r="V24" i="51" s="1"/>
  <c r="AA45" i="51"/>
  <c r="Z45" i="51" s="1"/>
  <c r="AA46" i="51"/>
  <c r="Z46" i="51" s="1"/>
  <c r="AA36" i="51"/>
  <c r="Z36" i="51" s="1"/>
  <c r="AA47" i="51"/>
  <c r="Z47" i="51" s="1"/>
  <c r="W48" i="51"/>
  <c r="V48" i="51" s="1"/>
  <c r="AA42" i="51"/>
  <c r="Z42" i="51" s="1"/>
  <c r="AA47" i="93" l="1"/>
  <c r="Z47" i="93" s="1"/>
  <c r="W48" i="93"/>
  <c r="V48" i="93" s="1"/>
  <c r="V21" i="93"/>
  <c r="W24" i="93"/>
  <c r="V24" i="93" s="1"/>
  <c r="AA45" i="93"/>
  <c r="Z33" i="93"/>
  <c r="AA36" i="93"/>
  <c r="Z36" i="93" s="1"/>
  <c r="AA46" i="93"/>
  <c r="Z46" i="93" s="1"/>
  <c r="P6" i="53"/>
  <c r="N5" i="54"/>
  <c r="P6" i="54"/>
  <c r="AA48" i="51"/>
  <c r="AA48" i="93" l="1"/>
  <c r="Z45" i="93"/>
  <c r="Z48" i="51"/>
  <c r="AA50" i="51"/>
  <c r="Z48" i="93" l="1"/>
  <c r="D12" i="89" l="1"/>
  <c r="D14" i="89" s="1"/>
  <c r="E12" i="89" s="1"/>
  <c r="E14" i="89" s="1"/>
  <c r="F12" i="89" s="1"/>
  <c r="E14" i="90" l="1"/>
  <c r="F14" i="89"/>
  <c r="G12" i="89" s="1"/>
  <c r="M14" i="90"/>
  <c r="N12" i="90" s="1"/>
  <c r="G14" i="90"/>
  <c r="F12" i="90"/>
  <c r="D14" i="90"/>
  <c r="O15" i="89"/>
  <c r="F14" i="90" l="1"/>
  <c r="G12" i="90" s="1"/>
  <c r="G14" i="89"/>
  <c r="H12" i="89" s="1"/>
  <c r="H14" i="89" s="1"/>
  <c r="I12" i="89" s="1"/>
  <c r="D12" i="90"/>
  <c r="D15" i="90" s="1"/>
  <c r="D12" i="92" s="1"/>
  <c r="D60" i="92" s="1"/>
  <c r="G15" i="90"/>
  <c r="G12" i="92" s="1"/>
  <c r="G60" i="92" s="1"/>
  <c r="H12" i="90"/>
  <c r="E12" i="90"/>
  <c r="E15" i="90" s="1"/>
  <c r="E12" i="92" s="1"/>
  <c r="E60" i="92" s="1"/>
  <c r="F15" i="90" l="1"/>
  <c r="F12" i="92" s="1"/>
  <c r="F60" i="92" s="1"/>
  <c r="I12" i="90"/>
  <c r="I14" i="89"/>
  <c r="J12" i="89" s="1"/>
  <c r="H15" i="90" l="1"/>
  <c r="H12" i="92" s="1"/>
  <c r="H60" i="92" s="1"/>
  <c r="I14" i="90"/>
  <c r="J14" i="89"/>
  <c r="K12" i="89" s="1"/>
  <c r="D74" i="96"/>
  <c r="Q66" i="96"/>
  <c r="C77" i="96"/>
  <c r="C80" i="96"/>
  <c r="C139" i="96" s="1"/>
  <c r="C78" i="96"/>
  <c r="C95" i="96" s="1"/>
  <c r="C79" i="96"/>
  <c r="C96" i="96" s="1"/>
  <c r="D78" i="96"/>
  <c r="D95" i="96" s="1"/>
  <c r="D79" i="96"/>
  <c r="D96" i="96" s="1"/>
  <c r="D75" i="96"/>
  <c r="D92" i="96" s="1"/>
  <c r="D73" i="96"/>
  <c r="D76" i="96"/>
  <c r="D93" i="96" s="1"/>
  <c r="D80" i="96"/>
  <c r="D139" i="96" s="1"/>
  <c r="C75" i="96"/>
  <c r="C76" i="96"/>
  <c r="C93" i="96" s="1"/>
  <c r="C73" i="96"/>
  <c r="D77" i="96"/>
  <c r="C138" i="96" l="1"/>
  <c r="D137" i="96"/>
  <c r="C92" i="96"/>
  <c r="C137" i="96"/>
  <c r="D138" i="96"/>
  <c r="J12" i="90"/>
  <c r="I15" i="90"/>
  <c r="I12" i="92" s="1"/>
  <c r="I60" i="92" s="1"/>
  <c r="J14" i="90"/>
  <c r="K12" i="90" s="1"/>
  <c r="K14" i="89"/>
  <c r="L12" i="89" s="1"/>
  <c r="O74" i="96"/>
  <c r="Q74" i="96" s="1"/>
  <c r="Q91" i="96" s="1"/>
  <c r="C81" i="96"/>
  <c r="D81" i="96"/>
  <c r="E76" i="96"/>
  <c r="E93" i="96" s="1"/>
  <c r="E80" i="96"/>
  <c r="E139" i="96" s="1"/>
  <c r="E78" i="96"/>
  <c r="E95" i="96" s="1"/>
  <c r="E77" i="96"/>
  <c r="E79" i="96"/>
  <c r="E96" i="96" s="1"/>
  <c r="G77" i="96"/>
  <c r="G138" i="96" s="1"/>
  <c r="K75" i="96"/>
  <c r="M77" i="96"/>
  <c r="I80" i="96"/>
  <c r="I139" i="96" s="1"/>
  <c r="J77" i="96"/>
  <c r="I77" i="96"/>
  <c r="F77" i="96"/>
  <c r="M75" i="96"/>
  <c r="I76" i="96"/>
  <c r="I93" i="96" s="1"/>
  <c r="H78" i="96"/>
  <c r="H95" i="96" s="1"/>
  <c r="L80" i="96"/>
  <c r="L139" i="96" s="1"/>
  <c r="H75" i="96"/>
  <c r="M78" i="96"/>
  <c r="M95" i="96" s="1"/>
  <c r="K76" i="96"/>
  <c r="K93" i="96" s="1"/>
  <c r="H73" i="96"/>
  <c r="J80" i="96"/>
  <c r="J139" i="96" s="1"/>
  <c r="F79" i="96"/>
  <c r="F96" i="96" s="1"/>
  <c r="M80" i="96"/>
  <c r="M139" i="96" s="1"/>
  <c r="K77" i="96"/>
  <c r="G76" i="96"/>
  <c r="G93" i="96" s="1"/>
  <c r="I78" i="96"/>
  <c r="I95" i="96" s="1"/>
  <c r="J78" i="96"/>
  <c r="J95" i="96" s="1"/>
  <c r="G79" i="96"/>
  <c r="G96" i="96" s="1"/>
  <c r="N76" i="96"/>
  <c r="N93" i="96" s="1"/>
  <c r="K73" i="96"/>
  <c r="K78" i="96"/>
  <c r="K95" i="96" s="1"/>
  <c r="H77" i="96"/>
  <c r="L79" i="96"/>
  <c r="L96" i="96" s="1"/>
  <c r="N80" i="96"/>
  <c r="N139" i="96" s="1"/>
  <c r="H79" i="96"/>
  <c r="H96" i="96" s="1"/>
  <c r="J73" i="96"/>
  <c r="H76" i="96"/>
  <c r="H93" i="96" s="1"/>
  <c r="F73" i="96"/>
  <c r="K80" i="96"/>
  <c r="K139" i="96" s="1"/>
  <c r="F80" i="96"/>
  <c r="F139" i="96" s="1"/>
  <c r="J76" i="96"/>
  <c r="J93" i="96" s="1"/>
  <c r="M73" i="96"/>
  <c r="G73" i="96"/>
  <c r="N78" i="96"/>
  <c r="N95" i="96" s="1"/>
  <c r="L76" i="96"/>
  <c r="L93" i="96" s="1"/>
  <c r="F75" i="96"/>
  <c r="I79" i="96"/>
  <c r="I96" i="96" s="1"/>
  <c r="N75" i="96"/>
  <c r="L78" i="96"/>
  <c r="L95" i="96" s="1"/>
  <c r="H80" i="96"/>
  <c r="H139" i="96" s="1"/>
  <c r="N79" i="96"/>
  <c r="N96" i="96" s="1"/>
  <c r="J75" i="96"/>
  <c r="M76" i="96"/>
  <c r="M93" i="96" s="1"/>
  <c r="F78" i="96"/>
  <c r="F95" i="96" s="1"/>
  <c r="G75" i="96"/>
  <c r="E75" i="96"/>
  <c r="L77" i="96"/>
  <c r="I73" i="96"/>
  <c r="E73" i="96"/>
  <c r="J79" i="96"/>
  <c r="J96" i="96" s="1"/>
  <c r="L73" i="96"/>
  <c r="M79" i="96"/>
  <c r="M96" i="96" s="1"/>
  <c r="I75" i="96"/>
  <c r="Q70" i="96"/>
  <c r="G78" i="96"/>
  <c r="G95" i="96" s="1"/>
  <c r="Q68" i="96"/>
  <c r="F76" i="96"/>
  <c r="F93" i="96" s="1"/>
  <c r="Q67" i="96"/>
  <c r="L75" i="96"/>
  <c r="Q69" i="96"/>
  <c r="N77" i="96"/>
  <c r="Q71" i="96"/>
  <c r="K79" i="96"/>
  <c r="K96" i="96" s="1"/>
  <c r="Q72" i="96"/>
  <c r="G80" i="96"/>
  <c r="G139" i="96" s="1"/>
  <c r="C140" i="96" l="1"/>
  <c r="L138" i="96"/>
  <c r="M138" i="96"/>
  <c r="N138" i="96"/>
  <c r="E138" i="96"/>
  <c r="J138" i="96"/>
  <c r="K92" i="96"/>
  <c r="K137" i="96"/>
  <c r="K138" i="96"/>
  <c r="G92" i="96"/>
  <c r="G137" i="96"/>
  <c r="H92" i="96"/>
  <c r="H137" i="96"/>
  <c r="N92" i="96"/>
  <c r="N137" i="96"/>
  <c r="F92" i="96"/>
  <c r="F137" i="96"/>
  <c r="M92" i="96"/>
  <c r="M137" i="96"/>
  <c r="L92" i="96"/>
  <c r="L137" i="96"/>
  <c r="J92" i="96"/>
  <c r="J137" i="96"/>
  <c r="I92" i="96"/>
  <c r="I137" i="96"/>
  <c r="F138" i="96"/>
  <c r="E92" i="96"/>
  <c r="E137" i="96"/>
  <c r="O139" i="96"/>
  <c r="H138" i="96"/>
  <c r="I138" i="96"/>
  <c r="D140" i="96"/>
  <c r="O86" i="96"/>
  <c r="Q86" i="96" s="1"/>
  <c r="O84" i="96"/>
  <c r="Q84" i="96" s="1"/>
  <c r="O87" i="96"/>
  <c r="Q87" i="96" s="1"/>
  <c r="J15" i="90"/>
  <c r="J12" i="92" s="1"/>
  <c r="J60" i="92" s="1"/>
  <c r="K14" i="90"/>
  <c r="L14" i="89"/>
  <c r="M12" i="89" s="1"/>
  <c r="Q73" i="96"/>
  <c r="F81" i="96"/>
  <c r="O79" i="96"/>
  <c r="Q79" i="96" s="1"/>
  <c r="Q96" i="96" s="1"/>
  <c r="O78" i="96"/>
  <c r="Q78" i="96" s="1"/>
  <c r="Q95" i="96" s="1"/>
  <c r="M81" i="96"/>
  <c r="J81" i="96"/>
  <c r="O80" i="96"/>
  <c r="Q80" i="96" s="1"/>
  <c r="Q97" i="96" s="1"/>
  <c r="K81" i="96"/>
  <c r="O76" i="96"/>
  <c r="Q76" i="96" s="1"/>
  <c r="Q93" i="96" s="1"/>
  <c r="L81" i="96"/>
  <c r="N81" i="96"/>
  <c r="H81" i="96"/>
  <c r="I81" i="96"/>
  <c r="G81" i="96"/>
  <c r="O75" i="96"/>
  <c r="Q75" i="96" s="1"/>
  <c r="Q92" i="96" s="1"/>
  <c r="E81" i="96"/>
  <c r="O77" i="96"/>
  <c r="Q77" i="96" s="1"/>
  <c r="Q94" i="96" s="1"/>
  <c r="F140" i="96" l="1"/>
  <c r="N140" i="96"/>
  <c r="J140" i="96"/>
  <c r="E140" i="96"/>
  <c r="L140" i="96"/>
  <c r="M140" i="96"/>
  <c r="O138" i="96"/>
  <c r="H140" i="96"/>
  <c r="O137" i="96"/>
  <c r="G140" i="96"/>
  <c r="I140" i="96"/>
  <c r="K140" i="96"/>
  <c r="O93" i="96"/>
  <c r="O95" i="96"/>
  <c r="O83" i="96"/>
  <c r="Q83" i="96" s="1"/>
  <c r="O96" i="96"/>
  <c r="O92" i="96"/>
  <c r="L12" i="90"/>
  <c r="K15" i="90"/>
  <c r="K12" i="92" s="1"/>
  <c r="K60" i="92" s="1"/>
  <c r="L14" i="90"/>
  <c r="M12" i="90" s="1"/>
  <c r="M15" i="90" s="1"/>
  <c r="M12" i="92" s="1"/>
  <c r="M60" i="92" s="1"/>
  <c r="M14" i="89"/>
  <c r="N12" i="89" s="1"/>
  <c r="N14" i="89" s="1"/>
  <c r="Q12" i="89" s="1"/>
  <c r="Q15" i="89" s="1"/>
  <c r="Q81" i="96"/>
  <c r="O81" i="96"/>
  <c r="AC36" i="95" s="1"/>
  <c r="O140" i="96" l="1"/>
  <c r="Q98" i="96"/>
  <c r="L15" i="90"/>
  <c r="L12" i="92" s="1"/>
  <c r="L60" i="92" s="1"/>
  <c r="C27" i="103" l="1"/>
  <c r="C75" i="103" s="1"/>
  <c r="C34" i="103" l="1"/>
  <c r="C37" i="103" l="1"/>
  <c r="C22" i="103" s="1"/>
  <c r="C21" i="104" s="1"/>
  <c r="D34" i="103"/>
  <c r="O21" i="103"/>
  <c r="E21" i="104"/>
  <c r="E22" i="104" s="1"/>
  <c r="E7" i="138" l="1"/>
  <c r="E34" i="103"/>
  <c r="F34" i="103" s="1"/>
  <c r="G34" i="103" s="1"/>
  <c r="H34" i="103" s="1"/>
  <c r="E27" i="104"/>
  <c r="E45" i="132"/>
  <c r="C22" i="104"/>
  <c r="C7" i="138" s="1"/>
  <c r="C23" i="103"/>
  <c r="C35" i="103"/>
  <c r="E23" i="103"/>
  <c r="G22" i="103"/>
  <c r="F22" i="103"/>
  <c r="F21" i="104" s="1"/>
  <c r="F22" i="104" s="1"/>
  <c r="F7" i="138" l="1"/>
  <c r="D22" i="103"/>
  <c r="D21" i="104" s="1"/>
  <c r="D22" i="104" s="1"/>
  <c r="D7" i="138" s="1"/>
  <c r="C10" i="132"/>
  <c r="E46" i="132"/>
  <c r="E10" i="132"/>
  <c r="C45" i="132"/>
  <c r="F27" i="104"/>
  <c r="F45" i="132"/>
  <c r="E28" i="103"/>
  <c r="C28" i="103"/>
  <c r="G23" i="103"/>
  <c r="G21" i="104"/>
  <c r="G22" i="104" s="1"/>
  <c r="C27" i="104"/>
  <c r="F23" i="103"/>
  <c r="I34" i="103"/>
  <c r="H22" i="103"/>
  <c r="D23" i="103" l="1"/>
  <c r="D26" i="103" s="1"/>
  <c r="G7" i="138"/>
  <c r="D45" i="132"/>
  <c r="D27" i="104"/>
  <c r="D35" i="103"/>
  <c r="E35" i="103" s="1"/>
  <c r="F35" i="103" s="1"/>
  <c r="G35" i="103" s="1"/>
  <c r="H35" i="103" s="1"/>
  <c r="E47" i="132"/>
  <c r="E12" i="132"/>
  <c r="E13" i="132" s="1"/>
  <c r="F46" i="132"/>
  <c r="C46" i="132"/>
  <c r="F10" i="132"/>
  <c r="G10" i="132"/>
  <c r="C12" i="132"/>
  <c r="C13" i="132" s="1"/>
  <c r="G27" i="104"/>
  <c r="G45" i="132"/>
  <c r="F28" i="103"/>
  <c r="G28" i="103"/>
  <c r="H23" i="103"/>
  <c r="H21" i="104"/>
  <c r="H22" i="104" s="1"/>
  <c r="J34" i="103"/>
  <c r="I22" i="103"/>
  <c r="D75" i="103"/>
  <c r="O26" i="103"/>
  <c r="E29" i="106" l="1"/>
  <c r="C15" i="140"/>
  <c r="C17" i="140" s="1"/>
  <c r="D11" i="132"/>
  <c r="D10" i="132"/>
  <c r="H7" i="138"/>
  <c r="D46" i="132"/>
  <c r="D47" i="132" s="1"/>
  <c r="C47" i="132"/>
  <c r="G46" i="132"/>
  <c r="H10" i="132"/>
  <c r="F12" i="132"/>
  <c r="F13" i="132" s="1"/>
  <c r="G12" i="132"/>
  <c r="G13" i="132" s="1"/>
  <c r="F47" i="132"/>
  <c r="H27" i="104"/>
  <c r="H45" i="132"/>
  <c r="H28" i="103"/>
  <c r="I35" i="103"/>
  <c r="I21" i="104"/>
  <c r="O27" i="103"/>
  <c r="K34" i="103"/>
  <c r="J22" i="103"/>
  <c r="I23" i="103"/>
  <c r="O11" i="132" l="1"/>
  <c r="D16" i="132"/>
  <c r="D35" i="132" s="1"/>
  <c r="E17" i="140"/>
  <c r="G47" i="132"/>
  <c r="H46" i="132"/>
  <c r="H12" i="132"/>
  <c r="H13" i="132" s="1"/>
  <c r="I10" i="132"/>
  <c r="D12" i="132"/>
  <c r="D13" i="132" s="1"/>
  <c r="I22" i="104"/>
  <c r="I7" i="138" s="1"/>
  <c r="J23" i="103"/>
  <c r="J21" i="104"/>
  <c r="J22" i="104" s="1"/>
  <c r="J35" i="103"/>
  <c r="I28" i="103"/>
  <c r="L34" i="103"/>
  <c r="K22" i="103"/>
  <c r="K21" i="104" s="1"/>
  <c r="K22" i="104" s="1"/>
  <c r="D82" i="96" l="1"/>
  <c r="D85" i="96"/>
  <c r="D88" i="96"/>
  <c r="J7" i="138"/>
  <c r="K7" i="138"/>
  <c r="H47" i="132"/>
  <c r="I45" i="132"/>
  <c r="J10" i="132"/>
  <c r="K27" i="104"/>
  <c r="K45" i="132"/>
  <c r="J27" i="104"/>
  <c r="J45" i="132"/>
  <c r="I12" i="132"/>
  <c r="I13" i="132" s="1"/>
  <c r="J28" i="103"/>
  <c r="E20" i="106"/>
  <c r="C23" i="106"/>
  <c r="I27" i="104"/>
  <c r="K35" i="103"/>
  <c r="K23" i="103"/>
  <c r="L22" i="103"/>
  <c r="M34" i="103"/>
  <c r="J12" i="132" l="1"/>
  <c r="J13" i="132" s="1"/>
  <c r="K10" i="132"/>
  <c r="I46" i="132"/>
  <c r="J46" i="132"/>
  <c r="K46" i="132"/>
  <c r="I15" i="132"/>
  <c r="H17" i="132"/>
  <c r="I16" i="132"/>
  <c r="D15" i="132"/>
  <c r="D18" i="132" s="1"/>
  <c r="I17" i="132"/>
  <c r="M16" i="132"/>
  <c r="F16" i="132"/>
  <c r="E17" i="132"/>
  <c r="J15" i="132"/>
  <c r="C15" i="132"/>
  <c r="H16" i="132"/>
  <c r="C17" i="132"/>
  <c r="K16" i="132"/>
  <c r="J16" i="132"/>
  <c r="D17" i="132"/>
  <c r="C16" i="132"/>
  <c r="G17" i="132"/>
  <c r="E15" i="132"/>
  <c r="G16" i="132"/>
  <c r="H15" i="132"/>
  <c r="G15" i="132"/>
  <c r="F15" i="132"/>
  <c r="N16" i="132"/>
  <c r="F17" i="132"/>
  <c r="E16" i="132"/>
  <c r="L16" i="132"/>
  <c r="I75" i="103"/>
  <c r="I77" i="103" s="1"/>
  <c r="I79" i="103" s="1"/>
  <c r="F75" i="103"/>
  <c r="F77" i="103" s="1"/>
  <c r="F79" i="103" s="1"/>
  <c r="K75" i="103"/>
  <c r="K77" i="103" s="1"/>
  <c r="K79" i="103" s="1"/>
  <c r="E75" i="103"/>
  <c r="E77" i="103" s="1"/>
  <c r="E79" i="103" s="1"/>
  <c r="G75" i="103"/>
  <c r="G77" i="103" s="1"/>
  <c r="G79" i="103" s="1"/>
  <c r="J75" i="103"/>
  <c r="J77" i="103" s="1"/>
  <c r="J79" i="103" s="1"/>
  <c r="L75" i="103"/>
  <c r="L77" i="103" s="1"/>
  <c r="L79" i="103" s="1"/>
  <c r="M75" i="103"/>
  <c r="M77" i="103" s="1"/>
  <c r="M79" i="103" s="1"/>
  <c r="H75" i="103"/>
  <c r="H77" i="103" s="1"/>
  <c r="H79" i="103" s="1"/>
  <c r="N75" i="103"/>
  <c r="N77" i="103" s="1"/>
  <c r="N79" i="103" s="1"/>
  <c r="C77" i="103"/>
  <c r="C79" i="103" s="1"/>
  <c r="D77" i="103"/>
  <c r="D79" i="103" s="1"/>
  <c r="L23" i="103"/>
  <c r="L21" i="104"/>
  <c r="L22" i="104" s="1"/>
  <c r="L7" i="138" s="1"/>
  <c r="L35" i="103"/>
  <c r="N34" i="103"/>
  <c r="N22" i="103" s="1"/>
  <c r="M22" i="103"/>
  <c r="M21" i="104" s="1"/>
  <c r="K28" i="103"/>
  <c r="K15" i="132" l="1"/>
  <c r="J17" i="132"/>
  <c r="J18" i="132" s="1"/>
  <c r="K47" i="132"/>
  <c r="I47" i="132"/>
  <c r="L45" i="132"/>
  <c r="L10" i="132"/>
  <c r="J47" i="132"/>
  <c r="K12" i="132"/>
  <c r="H36" i="132"/>
  <c r="H39" i="132" s="1"/>
  <c r="F36" i="132"/>
  <c r="F39" i="132" s="1"/>
  <c r="G36" i="132"/>
  <c r="G39" i="132" s="1"/>
  <c r="E36" i="132"/>
  <c r="E39" i="132" s="1"/>
  <c r="I36" i="132"/>
  <c r="I39" i="132" s="1"/>
  <c r="L28" i="103"/>
  <c r="O16" i="132"/>
  <c r="N35" i="132"/>
  <c r="F35" i="132"/>
  <c r="J34" i="132"/>
  <c r="M35" i="132"/>
  <c r="E18" i="132"/>
  <c r="E34" i="132"/>
  <c r="C35" i="132"/>
  <c r="H34" i="132"/>
  <c r="H18" i="132"/>
  <c r="I35" i="132"/>
  <c r="C18" i="132"/>
  <c r="L35" i="132"/>
  <c r="H35" i="132"/>
  <c r="E35" i="132"/>
  <c r="J35" i="132"/>
  <c r="I34" i="132"/>
  <c r="I18" i="132"/>
  <c r="G34" i="132"/>
  <c r="G18" i="132"/>
  <c r="G35" i="132"/>
  <c r="K35" i="132"/>
  <c r="F18" i="132"/>
  <c r="F34" i="132"/>
  <c r="N23" i="103"/>
  <c r="N21" i="104"/>
  <c r="N22" i="104" s="1"/>
  <c r="N7" i="138" s="1"/>
  <c r="M22" i="104"/>
  <c r="L27" i="104"/>
  <c r="M35" i="103"/>
  <c r="N35" i="103" s="1"/>
  <c r="M23" i="103"/>
  <c r="O22" i="103"/>
  <c r="K17" i="132" l="1"/>
  <c r="K13" i="132"/>
  <c r="K34" i="132"/>
  <c r="I85" i="96"/>
  <c r="I82" i="96"/>
  <c r="I88" i="96"/>
  <c r="C88" i="96"/>
  <c r="C82" i="96"/>
  <c r="C85" i="96"/>
  <c r="K82" i="96"/>
  <c r="K88" i="96"/>
  <c r="K85" i="96"/>
  <c r="K123" i="96" s="1"/>
  <c r="K143" i="96" s="1"/>
  <c r="G88" i="96"/>
  <c r="G85" i="96"/>
  <c r="G82" i="96"/>
  <c r="M85" i="96"/>
  <c r="M123" i="96" s="1"/>
  <c r="M143" i="96" s="1"/>
  <c r="M88" i="96"/>
  <c r="M82" i="96"/>
  <c r="F85" i="96"/>
  <c r="F82" i="96"/>
  <c r="F88" i="96"/>
  <c r="E88" i="96"/>
  <c r="E85" i="96"/>
  <c r="E82" i="96"/>
  <c r="H82" i="96"/>
  <c r="H88" i="96"/>
  <c r="H85" i="96"/>
  <c r="J82" i="96"/>
  <c r="J122" i="96" s="1"/>
  <c r="J142" i="96" s="1"/>
  <c r="J88" i="96"/>
  <c r="J85" i="96"/>
  <c r="N85" i="96"/>
  <c r="N123" i="96" s="1"/>
  <c r="N143" i="96" s="1"/>
  <c r="N82" i="96"/>
  <c r="N88" i="96"/>
  <c r="L82" i="96"/>
  <c r="L88" i="96"/>
  <c r="L85" i="96"/>
  <c r="J36" i="132"/>
  <c r="J39" i="132" s="1"/>
  <c r="D122" i="96"/>
  <c r="D142" i="96" s="1"/>
  <c r="M7" i="138"/>
  <c r="O7" i="138" s="1"/>
  <c r="N10" i="132"/>
  <c r="M10" i="132"/>
  <c r="L46" i="132"/>
  <c r="N27" i="104"/>
  <c r="N45" i="132"/>
  <c r="M27" i="104"/>
  <c r="M45" i="132"/>
  <c r="F38" i="132"/>
  <c r="J38" i="132"/>
  <c r="H38" i="132"/>
  <c r="G38" i="132"/>
  <c r="E38" i="132"/>
  <c r="I38" i="132"/>
  <c r="K18" i="132"/>
  <c r="K36" i="132"/>
  <c r="L12" i="132"/>
  <c r="N13" i="95"/>
  <c r="I37" i="132"/>
  <c r="I40" i="132" s="1"/>
  <c r="L15" i="132"/>
  <c r="O35" i="132"/>
  <c r="G37" i="132"/>
  <c r="G40" i="132" s="1"/>
  <c r="H37" i="132"/>
  <c r="H40" i="132" s="1"/>
  <c r="F37" i="132"/>
  <c r="F40" i="132" s="1"/>
  <c r="E37" i="132"/>
  <c r="E40" i="132" s="1"/>
  <c r="O21" i="104"/>
  <c r="C21" i="105" s="1"/>
  <c r="O22" i="104"/>
  <c r="C22" i="105" s="1"/>
  <c r="M28" i="103"/>
  <c r="O23" i="103"/>
  <c r="M15" i="132" l="1"/>
  <c r="M34" i="132" s="1"/>
  <c r="M38" i="132" s="1"/>
  <c r="L17" i="132"/>
  <c r="L36" i="132" s="1"/>
  <c r="L39" i="132" s="1"/>
  <c r="L13" i="132"/>
  <c r="J37" i="132"/>
  <c r="J40" i="132" s="1"/>
  <c r="I123" i="96"/>
  <c r="I143" i="96" s="1"/>
  <c r="C123" i="96"/>
  <c r="C143" i="96" s="1"/>
  <c r="E122" i="96"/>
  <c r="E142" i="96" s="1"/>
  <c r="K38" i="132"/>
  <c r="F122" i="96"/>
  <c r="F142" i="96" s="1"/>
  <c r="L123" i="96"/>
  <c r="L143" i="96" s="1"/>
  <c r="C14" i="140"/>
  <c r="O10" i="132"/>
  <c r="F94" i="96"/>
  <c r="F123" i="96"/>
  <c r="F143" i="96" s="1"/>
  <c r="F97" i="96"/>
  <c r="F124" i="96"/>
  <c r="F144" i="96" s="1"/>
  <c r="D94" i="96"/>
  <c r="D123" i="96"/>
  <c r="D143" i="96" s="1"/>
  <c r="D97" i="96"/>
  <c r="D124" i="96"/>
  <c r="D144" i="96" s="1"/>
  <c r="L122" i="96"/>
  <c r="L142" i="96" s="1"/>
  <c r="J123" i="96"/>
  <c r="J143" i="96" s="1"/>
  <c r="K122" i="96"/>
  <c r="K142" i="96" s="1"/>
  <c r="I94" i="96"/>
  <c r="M122" i="96"/>
  <c r="M142" i="96" s="1"/>
  <c r="N122" i="96"/>
  <c r="N142" i="96" s="1"/>
  <c r="C124" i="96"/>
  <c r="C144" i="96" s="1"/>
  <c r="I91" i="96"/>
  <c r="C26" i="106"/>
  <c r="N94" i="96"/>
  <c r="L47" i="132"/>
  <c r="E91" i="96"/>
  <c r="K94" i="96"/>
  <c r="C94" i="96"/>
  <c r="N46" i="132"/>
  <c r="L94" i="96"/>
  <c r="O27" i="104"/>
  <c r="M46" i="132"/>
  <c r="D91" i="96"/>
  <c r="M94" i="96"/>
  <c r="K37" i="132"/>
  <c r="K40" i="132" s="1"/>
  <c r="K39" i="132"/>
  <c r="F91" i="96"/>
  <c r="F89" i="96"/>
  <c r="J91" i="96"/>
  <c r="M12" i="132"/>
  <c r="M17" i="132" s="1"/>
  <c r="N12" i="132"/>
  <c r="N13" i="132" s="1"/>
  <c r="L34" i="132"/>
  <c r="L18" i="132"/>
  <c r="N15" i="132"/>
  <c r="C41" i="106"/>
  <c r="O28" i="103"/>
  <c r="M13" i="132" l="1"/>
  <c r="C18" i="140"/>
  <c r="C19" i="140"/>
  <c r="N17" i="132"/>
  <c r="N36" i="132" s="1"/>
  <c r="N39" i="132" s="1"/>
  <c r="O12" i="132"/>
  <c r="F145" i="96"/>
  <c r="N91" i="96"/>
  <c r="D145" i="96"/>
  <c r="N89" i="96"/>
  <c r="K89" i="96"/>
  <c r="K91" i="96"/>
  <c r="L91" i="96"/>
  <c r="H97" i="96"/>
  <c r="H124" i="96"/>
  <c r="H144" i="96" s="1"/>
  <c r="H89" i="96"/>
  <c r="H122" i="96"/>
  <c r="H142" i="96" s="1"/>
  <c r="H94" i="96"/>
  <c r="H123" i="96"/>
  <c r="H143" i="96" s="1"/>
  <c r="M91" i="96"/>
  <c r="G97" i="96"/>
  <c r="G124" i="96"/>
  <c r="G144" i="96" s="1"/>
  <c r="I97" i="96"/>
  <c r="I124" i="96"/>
  <c r="I144" i="96" s="1"/>
  <c r="J94" i="96"/>
  <c r="E94" i="96"/>
  <c r="E123" i="96"/>
  <c r="E143" i="96" s="1"/>
  <c r="I89" i="96"/>
  <c r="I122" i="96"/>
  <c r="I142" i="96" s="1"/>
  <c r="K97" i="96"/>
  <c r="K124" i="96"/>
  <c r="K144" i="96" s="1"/>
  <c r="K145" i="96" s="1"/>
  <c r="D125" i="96"/>
  <c r="G91" i="96"/>
  <c r="G122" i="96"/>
  <c r="G142" i="96" s="1"/>
  <c r="G94" i="96"/>
  <c r="G123" i="96"/>
  <c r="G143" i="96" s="1"/>
  <c r="L97" i="96"/>
  <c r="L124" i="96"/>
  <c r="L144" i="96" s="1"/>
  <c r="L145" i="96" s="1"/>
  <c r="J97" i="96"/>
  <c r="J124" i="96"/>
  <c r="J144" i="96" s="1"/>
  <c r="J145" i="96" s="1"/>
  <c r="N97" i="96"/>
  <c r="N124" i="96"/>
  <c r="N144" i="96" s="1"/>
  <c r="N145" i="96" s="1"/>
  <c r="C91" i="96"/>
  <c r="C122" i="96"/>
  <c r="C142" i="96" s="1"/>
  <c r="F125" i="96"/>
  <c r="E97" i="96"/>
  <c r="E124" i="96"/>
  <c r="E144" i="96" s="1"/>
  <c r="M97" i="96"/>
  <c r="M124" i="96"/>
  <c r="M144" i="96" s="1"/>
  <c r="M145" i="96" s="1"/>
  <c r="C97" i="96"/>
  <c r="O88" i="96"/>
  <c r="E89" i="96"/>
  <c r="C89" i="96"/>
  <c r="J89" i="96"/>
  <c r="D89" i="96"/>
  <c r="L89" i="96"/>
  <c r="O85" i="96"/>
  <c r="O82" i="96"/>
  <c r="N47" i="132"/>
  <c r="H91" i="96"/>
  <c r="M89" i="96"/>
  <c r="G89" i="96"/>
  <c r="M47" i="132"/>
  <c r="L37" i="132"/>
  <c r="L38" i="132"/>
  <c r="D98" i="96"/>
  <c r="F98" i="96"/>
  <c r="M36" i="132"/>
  <c r="M18" i="132"/>
  <c r="O15" i="132"/>
  <c r="N34" i="132"/>
  <c r="E31" i="106" l="1"/>
  <c r="N18" i="132"/>
  <c r="O17" i="132"/>
  <c r="E8" i="139"/>
  <c r="E33" i="139" s="1"/>
  <c r="C36" i="106" s="1"/>
  <c r="M98" i="96"/>
  <c r="L98" i="96"/>
  <c r="G145" i="96"/>
  <c r="K98" i="96"/>
  <c r="O94" i="96"/>
  <c r="K125" i="96"/>
  <c r="I98" i="96"/>
  <c r="E145" i="96"/>
  <c r="O144" i="96"/>
  <c r="O143" i="96"/>
  <c r="N125" i="96"/>
  <c r="E98" i="96"/>
  <c r="N98" i="96"/>
  <c r="O123" i="96"/>
  <c r="C98" i="96"/>
  <c r="G98" i="96"/>
  <c r="O124" i="96"/>
  <c r="O91" i="96"/>
  <c r="G125" i="96"/>
  <c r="L125" i="96"/>
  <c r="H125" i="96"/>
  <c r="H145" i="96"/>
  <c r="C125" i="96"/>
  <c r="O122" i="96"/>
  <c r="I125" i="96"/>
  <c r="I145" i="96"/>
  <c r="O142" i="96"/>
  <c r="M125" i="96"/>
  <c r="J98" i="96"/>
  <c r="E125" i="96"/>
  <c r="J125" i="96"/>
  <c r="Q88" i="96"/>
  <c r="Y13" i="95"/>
  <c r="Y14" i="95" s="1"/>
  <c r="Y38" i="95" s="1"/>
  <c r="O97" i="96"/>
  <c r="Q85" i="96"/>
  <c r="X13" i="95"/>
  <c r="X14" i="95" s="1"/>
  <c r="X38" i="95" s="1"/>
  <c r="Q82" i="96"/>
  <c r="W13" i="95"/>
  <c r="O13" i="132"/>
  <c r="L40" i="132"/>
  <c r="O89" i="96"/>
  <c r="H98" i="96"/>
  <c r="O47" i="132"/>
  <c r="M37" i="132"/>
  <c r="M40" i="132" s="1"/>
  <c r="M39" i="132"/>
  <c r="N38" i="132"/>
  <c r="N37" i="132"/>
  <c r="N40" i="132" s="1"/>
  <c r="O18" i="132" l="1"/>
  <c r="C38" i="106"/>
  <c r="C9" i="106" s="1"/>
  <c r="C37" i="106"/>
  <c r="O145" i="96"/>
  <c r="O98" i="96"/>
  <c r="O147" i="96" s="1"/>
  <c r="O125" i="96"/>
  <c r="C145" i="96"/>
  <c r="Q89" i="96"/>
  <c r="W14" i="95"/>
  <c r="W38" i="95" s="1"/>
  <c r="Z13" i="95"/>
  <c r="C10" i="106" l="1"/>
  <c r="C44" i="106"/>
  <c r="C46" i="106" s="1"/>
  <c r="C43" i="106"/>
  <c r="C8" i="139"/>
  <c r="C9" i="139"/>
  <c r="G9" i="139" s="1"/>
  <c r="AA13" i="95"/>
  <c r="Z14" i="95"/>
  <c r="C33" i="139" l="1"/>
  <c r="AA14" i="95"/>
  <c r="Z38" i="95"/>
  <c r="AA38" i="95" l="1"/>
  <c r="C27" i="89" l="1"/>
  <c r="D25" i="89"/>
  <c r="D27" i="89" s="1"/>
  <c r="E25" i="89" s="1"/>
  <c r="E27" i="89" s="1"/>
  <c r="F25" i="89" s="1"/>
  <c r="F27" i="89" s="1"/>
  <c r="G25" i="89" s="1"/>
  <c r="G27" i="89" s="1"/>
  <c r="H25" i="89" s="1"/>
  <c r="H27" i="89" s="1"/>
  <c r="I25" i="89" s="1"/>
  <c r="I27" i="89" s="1"/>
  <c r="J25" i="89" s="1"/>
  <c r="J27" i="89" s="1"/>
  <c r="K25" i="89" s="1"/>
  <c r="K27" i="89" s="1"/>
  <c r="L25" i="89" s="1"/>
  <c r="L27" i="89" s="1"/>
  <c r="M25" i="89" s="1"/>
  <c r="M27" i="89" s="1"/>
  <c r="N25" i="89" s="1"/>
  <c r="N27" i="89" s="1"/>
  <c r="Q25" i="89" s="1"/>
  <c r="Q28" i="89" s="1"/>
  <c r="C42" i="90"/>
  <c r="C33" i="92" s="1"/>
  <c r="C53" i="92"/>
  <c r="O53" i="92" s="1"/>
  <c r="C49" i="90"/>
  <c r="C51" i="90" s="1"/>
  <c r="C13" i="90"/>
  <c r="O13" i="90" s="1"/>
  <c r="C40" i="90"/>
  <c r="C32" i="92" s="1"/>
  <c r="C67" i="90"/>
  <c r="C69" i="90" s="1"/>
  <c r="C58" i="90"/>
  <c r="C46" i="92" s="1"/>
  <c r="C31" i="90"/>
  <c r="C33" i="90" s="1"/>
  <c r="C22" i="90"/>
  <c r="O22" i="90" s="1"/>
  <c r="C52" i="104"/>
  <c r="C31" i="104"/>
  <c r="C32" i="104" s="1"/>
  <c r="O31" i="104"/>
  <c r="O26" i="136"/>
  <c r="C28" i="136"/>
  <c r="O32" i="136"/>
  <c r="C26" i="136"/>
  <c r="C32" i="136"/>
  <c r="C43" i="136"/>
  <c r="O43" i="136" s="1"/>
  <c r="C27" i="136"/>
  <c r="C25" i="136"/>
  <c r="C31" i="136" s="1"/>
  <c r="O31" i="136" s="1"/>
  <c r="C22" i="136"/>
  <c r="C24" i="136" s="1"/>
  <c r="O22" i="136"/>
  <c r="O28" i="89"/>
  <c r="C18" i="138"/>
  <c r="O18" i="138" s="1"/>
  <c r="C41" i="103"/>
  <c r="C42" i="103" s="1"/>
  <c r="O42" i="103" l="1"/>
  <c r="O50" i="103" s="1"/>
  <c r="C50" i="103"/>
  <c r="C53" i="103"/>
  <c r="C64" i="103" s="1"/>
  <c r="D64" i="103" s="1"/>
  <c r="O31" i="90"/>
  <c r="C60" i="90"/>
  <c r="O58" i="90"/>
  <c r="O40" i="90"/>
  <c r="O49" i="90"/>
  <c r="C25" i="92"/>
  <c r="O25" i="92" s="1"/>
  <c r="C34" i="92"/>
  <c r="D31" i="92" s="1"/>
  <c r="D34" i="92" s="1"/>
  <c r="E31" i="92" s="1"/>
  <c r="E34" i="92" s="1"/>
  <c r="F31" i="92" s="1"/>
  <c r="F34" i="92" s="1"/>
  <c r="G31" i="92" s="1"/>
  <c r="G34" i="92" s="1"/>
  <c r="H31" i="92" s="1"/>
  <c r="H34" i="92" s="1"/>
  <c r="I31" i="92" s="1"/>
  <c r="I34" i="92" s="1"/>
  <c r="J31" i="92" s="1"/>
  <c r="J34" i="92" s="1"/>
  <c r="K31" i="92" s="1"/>
  <c r="K34" i="92" s="1"/>
  <c r="L31" i="92" s="1"/>
  <c r="L34" i="92" s="1"/>
  <c r="M31" i="92" s="1"/>
  <c r="M34" i="92" s="1"/>
  <c r="N31" i="92" s="1"/>
  <c r="C39" i="92"/>
  <c r="O39" i="92" s="1"/>
  <c r="Q13" i="90"/>
  <c r="N14" i="90" s="1"/>
  <c r="N15" i="90" s="1"/>
  <c r="N12" i="92" s="1"/>
  <c r="Q40" i="90"/>
  <c r="N41" i="90" s="1"/>
  <c r="N42" i="90" s="1"/>
  <c r="Q31" i="90"/>
  <c r="N32" i="90" s="1"/>
  <c r="N33" i="90" s="1"/>
  <c r="N26" i="92" s="1"/>
  <c r="Q22" i="90"/>
  <c r="N23" i="90" s="1"/>
  <c r="N24" i="90" s="1"/>
  <c r="N19" i="92" s="1"/>
  <c r="Q58" i="90"/>
  <c r="N59" i="90" s="1"/>
  <c r="N60" i="90" s="1"/>
  <c r="N47" i="92" s="1"/>
  <c r="Q67" i="90"/>
  <c r="N68" i="90" s="1"/>
  <c r="N69" i="90" s="1"/>
  <c r="N54" i="92" s="1"/>
  <c r="Q49" i="90"/>
  <c r="N50" i="90" s="1"/>
  <c r="N51" i="90" s="1"/>
  <c r="N40" i="92" s="1"/>
  <c r="C30" i="136"/>
  <c r="O24" i="136"/>
  <c r="C54" i="92"/>
  <c r="O28" i="136"/>
  <c r="C34" i="136"/>
  <c r="C40" i="92"/>
  <c r="O25" i="136"/>
  <c r="C18" i="92"/>
  <c r="C24" i="90"/>
  <c r="C26" i="92"/>
  <c r="C63" i="103"/>
  <c r="D63" i="103" s="1"/>
  <c r="E63" i="103" s="1"/>
  <c r="F63" i="103" s="1"/>
  <c r="G63" i="103" s="1"/>
  <c r="H63" i="103" s="1"/>
  <c r="I63" i="103" s="1"/>
  <c r="J63" i="103" s="1"/>
  <c r="K63" i="103" s="1"/>
  <c r="L63" i="103" s="1"/>
  <c r="M63" i="103" s="1"/>
  <c r="N63" i="103" s="1"/>
  <c r="O41" i="103"/>
  <c r="O27" i="136"/>
  <c r="C33" i="136"/>
  <c r="O32" i="92"/>
  <c r="C47" i="136"/>
  <c r="O47" i="136" s="1"/>
  <c r="O32" i="104"/>
  <c r="O41" i="104" s="1"/>
  <c r="C41" i="104"/>
  <c r="C48" i="92"/>
  <c r="D45" i="92" s="1"/>
  <c r="D48" i="92" s="1"/>
  <c r="E45" i="92" s="1"/>
  <c r="E48" i="92" s="1"/>
  <c r="F45" i="92" s="1"/>
  <c r="F48" i="92" s="1"/>
  <c r="G45" i="92" s="1"/>
  <c r="G48" i="92" s="1"/>
  <c r="H45" i="92" s="1"/>
  <c r="H48" i="92" s="1"/>
  <c r="I45" i="92" s="1"/>
  <c r="I48" i="92" s="1"/>
  <c r="J45" i="92" s="1"/>
  <c r="J48" i="92" s="1"/>
  <c r="K45" i="92" s="1"/>
  <c r="K48" i="92" s="1"/>
  <c r="L45" i="92" s="1"/>
  <c r="L48" i="92" s="1"/>
  <c r="M45" i="92" s="1"/>
  <c r="M48" i="92" s="1"/>
  <c r="N45" i="92" s="1"/>
  <c r="O46" i="92"/>
  <c r="C56" i="104"/>
  <c r="D52" i="104"/>
  <c r="O67" i="90"/>
  <c r="C11" i="92"/>
  <c r="C47" i="92"/>
  <c r="C15" i="90"/>
  <c r="N48" i="92" l="1"/>
  <c r="C67" i="103"/>
  <c r="C54" i="103" s="1"/>
  <c r="C65" i="103" s="1"/>
  <c r="O53" i="103"/>
  <c r="O26" i="92"/>
  <c r="O51" i="90"/>
  <c r="O40" i="92"/>
  <c r="O47" i="92"/>
  <c r="O60" i="90"/>
  <c r="C41" i="92"/>
  <c r="D38" i="92" s="1"/>
  <c r="D41" i="92" s="1"/>
  <c r="E38" i="92" s="1"/>
  <c r="E41" i="92" s="1"/>
  <c r="F38" i="92" s="1"/>
  <c r="F41" i="92" s="1"/>
  <c r="G38" i="92" s="1"/>
  <c r="G41" i="92" s="1"/>
  <c r="H38" i="92" s="1"/>
  <c r="H41" i="92" s="1"/>
  <c r="I38" i="92" s="1"/>
  <c r="I41" i="92" s="1"/>
  <c r="J38" i="92" s="1"/>
  <c r="J41" i="92" s="1"/>
  <c r="K38" i="92" s="1"/>
  <c r="K41" i="92" s="1"/>
  <c r="L38" i="92" s="1"/>
  <c r="L41" i="92" s="1"/>
  <c r="M38" i="92" s="1"/>
  <c r="M41" i="92" s="1"/>
  <c r="N38" i="92" s="1"/>
  <c r="N41" i="92" s="1"/>
  <c r="O33" i="90"/>
  <c r="E52" i="104"/>
  <c r="F52" i="104" s="1"/>
  <c r="G52" i="104" s="1"/>
  <c r="H52" i="104" s="1"/>
  <c r="I52" i="104" s="1"/>
  <c r="J52" i="104" s="1"/>
  <c r="K52" i="104" s="1"/>
  <c r="L52" i="104" s="1"/>
  <c r="M52" i="104" s="1"/>
  <c r="N52" i="104" s="1"/>
  <c r="D56" i="104"/>
  <c r="D67" i="103"/>
  <c r="D54" i="103" s="1"/>
  <c r="O54" i="103" s="1"/>
  <c r="D13" i="140" s="1"/>
  <c r="E13" i="140" s="1"/>
  <c r="E64" i="103"/>
  <c r="F64" i="103" s="1"/>
  <c r="G64" i="103" s="1"/>
  <c r="H64" i="103" s="1"/>
  <c r="I64" i="103" s="1"/>
  <c r="J64" i="103" s="1"/>
  <c r="K64" i="103" s="1"/>
  <c r="L64" i="103" s="1"/>
  <c r="M64" i="103" s="1"/>
  <c r="N64" i="103" s="1"/>
  <c r="O69" i="90"/>
  <c r="O54" i="92"/>
  <c r="C55" i="92"/>
  <c r="D52" i="92" s="1"/>
  <c r="D55" i="92" s="1"/>
  <c r="E52" i="92" s="1"/>
  <c r="E55" i="92" s="1"/>
  <c r="F52" i="92" s="1"/>
  <c r="F55" i="92" s="1"/>
  <c r="G52" i="92" s="1"/>
  <c r="G55" i="92" s="1"/>
  <c r="H52" i="92" s="1"/>
  <c r="H55" i="92" s="1"/>
  <c r="I52" i="92" s="1"/>
  <c r="I55" i="92" s="1"/>
  <c r="J52" i="92" s="1"/>
  <c r="J55" i="92" s="1"/>
  <c r="K52" i="92" s="1"/>
  <c r="K55" i="92" s="1"/>
  <c r="L52" i="92" s="1"/>
  <c r="L55" i="92" s="1"/>
  <c r="M52" i="92" s="1"/>
  <c r="M55" i="92" s="1"/>
  <c r="N52" i="92" s="1"/>
  <c r="N55" i="92" s="1"/>
  <c r="C35" i="136"/>
  <c r="C37" i="136" s="1"/>
  <c r="C48" i="136"/>
  <c r="O48" i="136" s="1"/>
  <c r="O30" i="136"/>
  <c r="O11" i="92"/>
  <c r="C13" i="92"/>
  <c r="D10" i="92" s="1"/>
  <c r="D13" i="92" s="1"/>
  <c r="E10" i="92" s="1"/>
  <c r="E13" i="92" s="1"/>
  <c r="F10" i="92" s="1"/>
  <c r="F13" i="92" s="1"/>
  <c r="G10" i="92" s="1"/>
  <c r="G13" i="92" s="1"/>
  <c r="H10" i="92" s="1"/>
  <c r="H13" i="92" s="1"/>
  <c r="I10" i="92" s="1"/>
  <c r="I13" i="92" s="1"/>
  <c r="J10" i="92" s="1"/>
  <c r="J13" i="92" s="1"/>
  <c r="K10" i="92" s="1"/>
  <c r="K13" i="92" s="1"/>
  <c r="L10" i="92" s="1"/>
  <c r="L13" i="92" s="1"/>
  <c r="M10" i="92" s="1"/>
  <c r="M13" i="92" s="1"/>
  <c r="N10" i="92" s="1"/>
  <c r="N13" i="92" s="1"/>
  <c r="C59" i="92"/>
  <c r="O24" i="90"/>
  <c r="C19" i="92"/>
  <c r="O19" i="92" s="1"/>
  <c r="O18" i="92"/>
  <c r="C27" i="92"/>
  <c r="D24" i="92" s="1"/>
  <c r="D27" i="92" s="1"/>
  <c r="E24" i="92" s="1"/>
  <c r="E27" i="92" s="1"/>
  <c r="F24" i="92" s="1"/>
  <c r="F27" i="92" s="1"/>
  <c r="G24" i="92" s="1"/>
  <c r="G27" i="92" s="1"/>
  <c r="H24" i="92" s="1"/>
  <c r="H27" i="92" s="1"/>
  <c r="I24" i="92" s="1"/>
  <c r="I27" i="92" s="1"/>
  <c r="J24" i="92" s="1"/>
  <c r="J27" i="92" s="1"/>
  <c r="K24" i="92" s="1"/>
  <c r="K27" i="92" s="1"/>
  <c r="L24" i="92" s="1"/>
  <c r="L27" i="92" s="1"/>
  <c r="M24" i="92" s="1"/>
  <c r="M27" i="92" s="1"/>
  <c r="N24" i="92" s="1"/>
  <c r="N27" i="92" s="1"/>
  <c r="C12" i="92"/>
  <c r="O15" i="90"/>
  <c r="C44" i="136"/>
  <c r="O33" i="136"/>
  <c r="O34" i="136"/>
  <c r="C46" i="136"/>
  <c r="O46" i="136" s="1"/>
  <c r="N33" i="92"/>
  <c r="N60" i="92" s="1"/>
  <c r="O42" i="90"/>
  <c r="C43" i="104" l="1"/>
  <c r="C55" i="103"/>
  <c r="C59" i="104"/>
  <c r="C54" i="104"/>
  <c r="C44" i="104"/>
  <c r="D25" i="106"/>
  <c r="C60" i="103"/>
  <c r="C22" i="132"/>
  <c r="O59" i="92"/>
  <c r="O33" i="92"/>
  <c r="N34" i="92"/>
  <c r="D55" i="103"/>
  <c r="D43" i="104"/>
  <c r="D65" i="103"/>
  <c r="E65" i="103" s="1"/>
  <c r="F65" i="103" s="1"/>
  <c r="G65" i="103" s="1"/>
  <c r="H65" i="103" s="1"/>
  <c r="I65" i="103" s="1"/>
  <c r="J65" i="103" s="1"/>
  <c r="K65" i="103" s="1"/>
  <c r="L65" i="103" s="1"/>
  <c r="M65" i="103" s="1"/>
  <c r="N65" i="103" s="1"/>
  <c r="C60" i="92"/>
  <c r="O12" i="92"/>
  <c r="C49" i="136"/>
  <c r="O44" i="136"/>
  <c r="O49" i="136" s="1"/>
  <c r="O35" i="136"/>
  <c r="O37" i="136" s="1"/>
  <c r="C20" i="92"/>
  <c r="D17" i="92" s="1"/>
  <c r="D20" i="92" s="1"/>
  <c r="E17" i="92" s="1"/>
  <c r="E20" i="92" s="1"/>
  <c r="F17" i="92" s="1"/>
  <c r="F20" i="92" s="1"/>
  <c r="G17" i="92" s="1"/>
  <c r="G20" i="92" s="1"/>
  <c r="H17" i="92" s="1"/>
  <c r="H20" i="92" s="1"/>
  <c r="I17" i="92" s="1"/>
  <c r="I20" i="92" s="1"/>
  <c r="J17" i="92" s="1"/>
  <c r="J20" i="92" s="1"/>
  <c r="K17" i="92" s="1"/>
  <c r="K20" i="92" s="1"/>
  <c r="L17" i="92" s="1"/>
  <c r="L20" i="92" s="1"/>
  <c r="M17" i="92" s="1"/>
  <c r="M20" i="92" s="1"/>
  <c r="N17" i="92" s="1"/>
  <c r="N20" i="92" s="1"/>
  <c r="C24" i="132" l="1"/>
  <c r="D60" i="103"/>
  <c r="O60" i="103" s="1"/>
  <c r="D22" i="132"/>
  <c r="O22" i="132" s="1"/>
  <c r="D40" i="106"/>
  <c r="E40" i="106" s="1"/>
  <c r="E25" i="106"/>
  <c r="C27" i="132"/>
  <c r="D59" i="104"/>
  <c r="D44" i="104"/>
  <c r="O44" i="104" s="1"/>
  <c r="D54" i="104"/>
  <c r="E54" i="104" s="1"/>
  <c r="F54" i="104" s="1"/>
  <c r="G54" i="104" s="1"/>
  <c r="H54" i="104" s="1"/>
  <c r="I54" i="104" s="1"/>
  <c r="J54" i="104" s="1"/>
  <c r="K54" i="104" s="1"/>
  <c r="L54" i="104" s="1"/>
  <c r="M54" i="104" s="1"/>
  <c r="N54" i="104" s="1"/>
  <c r="O60" i="92"/>
  <c r="C48" i="132"/>
  <c r="C19" i="138"/>
  <c r="C49" i="104"/>
  <c r="O43" i="104"/>
  <c r="D21" i="105" s="1"/>
  <c r="C61" i="92"/>
  <c r="O55" i="103"/>
  <c r="D14" i="140" s="1"/>
  <c r="D18" i="140" l="1"/>
  <c r="D19" i="140"/>
  <c r="E19" i="140" s="1"/>
  <c r="E14" i="140"/>
  <c r="C29" i="132"/>
  <c r="C25" i="132"/>
  <c r="D48" i="132"/>
  <c r="D49" i="104"/>
  <c r="O49" i="104" s="1"/>
  <c r="D19" i="138"/>
  <c r="C63" i="92"/>
  <c r="D58" i="92"/>
  <c r="D61" i="92" s="1"/>
  <c r="C30" i="132"/>
  <c r="C34" i="132"/>
  <c r="D27" i="132"/>
  <c r="D24" i="132"/>
  <c r="D29" i="132" s="1"/>
  <c r="D36" i="132" s="1"/>
  <c r="D39" i="132" s="1"/>
  <c r="D26" i="106"/>
  <c r="D30" i="106" s="1"/>
  <c r="C36" i="132"/>
  <c r="C49" i="132"/>
  <c r="D41" i="106"/>
  <c r="D22" i="105"/>
  <c r="E22" i="105" s="1"/>
  <c r="F8" i="139" l="1"/>
  <c r="E18" i="140"/>
  <c r="F19" i="140" s="1"/>
  <c r="H19" i="140" s="1"/>
  <c r="O24" i="132"/>
  <c r="C50" i="132"/>
  <c r="C37" i="132"/>
  <c r="C40" i="132" s="1"/>
  <c r="D25" i="132"/>
  <c r="O25" i="132" s="1"/>
  <c r="O29" i="132"/>
  <c r="C39" i="132"/>
  <c r="O36" i="132"/>
  <c r="O39" i="132" s="1"/>
  <c r="D34" i="132"/>
  <c r="D30" i="132"/>
  <c r="D49" i="132"/>
  <c r="O27" i="132"/>
  <c r="C38" i="132"/>
  <c r="C66" i="92"/>
  <c r="D24" i="105"/>
  <c r="C24" i="105"/>
  <c r="E25" i="105"/>
  <c r="E26" i="106"/>
  <c r="D31" i="106"/>
  <c r="E41" i="106"/>
  <c r="O19" i="138"/>
  <c r="E58" i="92"/>
  <c r="E61" i="92" s="1"/>
  <c r="D63" i="92"/>
  <c r="O34" i="132" l="1"/>
  <c r="D38" i="132"/>
  <c r="F33" i="139"/>
  <c r="D36" i="106" s="1"/>
  <c r="E36" i="106" s="1"/>
  <c r="G8" i="139"/>
  <c r="G33" i="139" s="1"/>
  <c r="O30" i="132"/>
  <c r="D37" i="132"/>
  <c r="E63" i="92"/>
  <c r="F58" i="92"/>
  <c r="F61" i="92" s="1"/>
  <c r="D66" i="92"/>
  <c r="D50" i="132"/>
  <c r="O50" i="132" s="1"/>
  <c r="E30" i="106"/>
  <c r="N8" i="138"/>
  <c r="N10" i="138" s="1"/>
  <c r="C8" i="138"/>
  <c r="C10" i="138" s="1"/>
  <c r="C20" i="138"/>
  <c r="C22" i="138" s="1"/>
  <c r="D25" i="105"/>
  <c r="C13" i="105" s="1"/>
  <c r="N20" i="138"/>
  <c r="N22" i="138" s="1"/>
  <c r="N24" i="138" s="1"/>
  <c r="C25" i="105"/>
  <c r="C9" i="105" s="1"/>
  <c r="G20" i="138"/>
  <c r="G22" i="138" s="1"/>
  <c r="G24" i="138" s="1"/>
  <c r="M20" i="138"/>
  <c r="M22" i="138" s="1"/>
  <c r="M24" i="138" s="1"/>
  <c r="H8" i="138"/>
  <c r="H10" i="138" s="1"/>
  <c r="F8" i="138"/>
  <c r="F10" i="138" s="1"/>
  <c r="G8" i="138"/>
  <c r="G10" i="138" s="1"/>
  <c r="L20" i="138"/>
  <c r="L22" i="138" s="1"/>
  <c r="L24" i="138" s="1"/>
  <c r="J8" i="138"/>
  <c r="J10" i="138" s="1"/>
  <c r="H20" i="138"/>
  <c r="H22" i="138" s="1"/>
  <c r="H24" i="138" s="1"/>
  <c r="K8" i="138"/>
  <c r="K10" i="138" s="1"/>
  <c r="E8" i="138"/>
  <c r="E10" i="138" s="1"/>
  <c r="K20" i="138"/>
  <c r="K22" i="138" s="1"/>
  <c r="K24" i="138" s="1"/>
  <c r="L8" i="138"/>
  <c r="L10" i="138" s="1"/>
  <c r="D20" i="138"/>
  <c r="D22" i="138" s="1"/>
  <c r="D24" i="138" s="1"/>
  <c r="D8" i="138"/>
  <c r="D10" i="138" s="1"/>
  <c r="J20" i="138"/>
  <c r="J22" i="138" s="1"/>
  <c r="J24" i="138" s="1"/>
  <c r="F20" i="138"/>
  <c r="F22" i="138" s="1"/>
  <c r="F24" i="138" s="1"/>
  <c r="M8" i="138"/>
  <c r="M10" i="138" s="1"/>
  <c r="E20" i="138"/>
  <c r="E22" i="138" s="1"/>
  <c r="E24" i="138" s="1"/>
  <c r="I8" i="138"/>
  <c r="I10" i="138" s="1"/>
  <c r="I20" i="138"/>
  <c r="I22" i="138" s="1"/>
  <c r="I24" i="138" s="1"/>
  <c r="D38" i="106" l="1"/>
  <c r="C13" i="106" s="1"/>
  <c r="D37" i="106"/>
  <c r="O38" i="132"/>
  <c r="O37" i="132"/>
  <c r="F31" i="106"/>
  <c r="E66" i="92"/>
  <c r="H29" i="138"/>
  <c r="H12" i="138"/>
  <c r="M12" i="138"/>
  <c r="M29" i="138"/>
  <c r="C10" i="105"/>
  <c r="D29" i="138"/>
  <c r="D12" i="138"/>
  <c r="C14" i="105"/>
  <c r="D40" i="132"/>
  <c r="O10" i="138"/>
  <c r="O12" i="138" s="1"/>
  <c r="C29" i="138"/>
  <c r="C12" i="138"/>
  <c r="I29" i="138"/>
  <c r="I12" i="138"/>
  <c r="O22" i="138"/>
  <c r="O24" i="138" s="1"/>
  <c r="C24" i="138"/>
  <c r="L12" i="138"/>
  <c r="L29" i="138"/>
  <c r="N29" i="138"/>
  <c r="N12" i="138"/>
  <c r="E29" i="138"/>
  <c r="E12" i="138"/>
  <c r="J12" i="138"/>
  <c r="J29" i="138"/>
  <c r="G58" i="92"/>
  <c r="G61" i="92" s="1"/>
  <c r="F63" i="92"/>
  <c r="K12" i="138"/>
  <c r="K29" i="138"/>
  <c r="G29" i="138"/>
  <c r="G12" i="138"/>
  <c r="F29" i="138"/>
  <c r="F12" i="138"/>
  <c r="C14" i="106" l="1"/>
  <c r="D43" i="106"/>
  <c r="E43" i="106" s="1"/>
  <c r="D53" i="132"/>
  <c r="D52" i="132"/>
  <c r="D44" i="106"/>
  <c r="C52" i="132"/>
  <c r="C53" i="132"/>
  <c r="E52" i="132"/>
  <c r="F52" i="132"/>
  <c r="N52" i="132"/>
  <c r="M52" i="132"/>
  <c r="E53" i="132"/>
  <c r="F53" i="132"/>
  <c r="G53" i="132"/>
  <c r="G52" i="132"/>
  <c r="H53" i="132"/>
  <c r="M53" i="132"/>
  <c r="K52" i="132"/>
  <c r="H52" i="132"/>
  <c r="I52" i="132"/>
  <c r="J53" i="132"/>
  <c r="I53" i="132"/>
  <c r="K53" i="132"/>
  <c r="J52" i="132"/>
  <c r="N53" i="132"/>
  <c r="L52" i="132"/>
  <c r="L53" i="132"/>
  <c r="Q37" i="132"/>
  <c r="O40" i="132"/>
  <c r="AC14" i="95"/>
  <c r="H31" i="106"/>
  <c r="O29" i="138"/>
  <c r="O32" i="138" s="1"/>
  <c r="H58" i="92"/>
  <c r="H61" i="92" s="1"/>
  <c r="G63" i="92"/>
  <c r="D54" i="132" l="1"/>
  <c r="D46" i="106"/>
  <c r="E44" i="106"/>
  <c r="O52" i="132"/>
  <c r="C54" i="132"/>
  <c r="E54" i="132"/>
  <c r="F54" i="132"/>
  <c r="N54" i="132"/>
  <c r="M54" i="132"/>
  <c r="G54" i="132"/>
  <c r="K54" i="132"/>
  <c r="H54" i="132"/>
  <c r="I54" i="132"/>
  <c r="J54" i="132"/>
  <c r="L54" i="132"/>
  <c r="O53" i="132"/>
  <c r="I58" i="92"/>
  <c r="I61" i="92" s="1"/>
  <c r="H63" i="92"/>
  <c r="F66" i="92"/>
  <c r="G66" i="92"/>
  <c r="E46" i="106" l="1"/>
  <c r="F44" i="106"/>
  <c r="H44" i="106" s="1"/>
  <c r="O54" i="132"/>
  <c r="Q54" i="132" s="1"/>
  <c r="I63" i="92"/>
  <c r="J58" i="92"/>
  <c r="J61" i="92" s="1"/>
  <c r="K58" i="92" l="1"/>
  <c r="K61" i="92" s="1"/>
  <c r="J63" i="92"/>
  <c r="I66" i="92"/>
  <c r="H66" i="92"/>
  <c r="K63" i="92" l="1"/>
  <c r="L58" i="92"/>
  <c r="L61" i="92" s="1"/>
  <c r="J66" i="92"/>
  <c r="L63" i="92" l="1"/>
  <c r="M58" i="92"/>
  <c r="M61" i="92" s="1"/>
  <c r="K66" i="92"/>
  <c r="L66" i="92" l="1"/>
  <c r="M63" i="92"/>
  <c r="N58" i="92"/>
  <c r="N61" i="92" s="1"/>
  <c r="N63" i="92" l="1"/>
  <c r="M66" i="92"/>
  <c r="O52" i="136" l="1"/>
  <c r="N66" i="92"/>
</calcChain>
</file>

<file path=xl/sharedStrings.xml><?xml version="1.0" encoding="utf-8"?>
<sst xmlns="http://schemas.openxmlformats.org/spreadsheetml/2006/main" count="2343" uniqueCount="828">
  <si>
    <t>qtà</t>
  </si>
  <si>
    <t>valore</t>
  </si>
  <si>
    <t>Totale I° sem</t>
  </si>
  <si>
    <t>Totale</t>
  </si>
  <si>
    <t>assenteismo</t>
  </si>
  <si>
    <t>inventario</t>
  </si>
  <si>
    <t>h/uomo disponibili</t>
  </si>
  <si>
    <t>uomini disponibili</t>
  </si>
  <si>
    <t>turni</t>
  </si>
  <si>
    <t>p</t>
  </si>
  <si>
    <t>TOT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</si>
  <si>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</si>
  <si>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</si>
  <si>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</si>
  <si>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</si>
  <si>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</si>
  <si>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</si>
  <si>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</si>
  <si>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</si>
  <si>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</si>
  <si>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</si>
  <si>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</si>
  <si>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</si>
  <si>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LUGLIO</t>
  </si>
  <si>
    <t>AGOSTO</t>
  </si>
  <si>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</si>
  <si>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</si>
  <si>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</si>
  <si>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</si>
  <si>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</si>
  <si>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</si>
  <si>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</si>
  <si>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</si>
  <si>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</si>
  <si>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</si>
  <si>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Quantità</t>
  </si>
  <si>
    <t>Prezzo unitario</t>
  </si>
  <si>
    <t>Fatturato</t>
  </si>
  <si>
    <t>TFR</t>
  </si>
  <si>
    <t>Contributi</t>
  </si>
  <si>
    <t xml:space="preserve">Prezzi di listino medi unitari </t>
  </si>
  <si>
    <t>check</t>
  </si>
  <si>
    <t>Consumo materie prime</t>
  </si>
  <si>
    <t>13ma</t>
  </si>
  <si>
    <t>14ma</t>
  </si>
  <si>
    <t>Matricola</t>
  </si>
  <si>
    <t>Piano Assunzioni</t>
  </si>
  <si>
    <t>Quota TFR</t>
  </si>
  <si>
    <t>Contributi a carico del datore di lavoro</t>
  </si>
  <si>
    <t>Contributi a carico del dipendente</t>
  </si>
  <si>
    <t>Ritenute fiscali</t>
  </si>
  <si>
    <t>Consulenze commerciali</t>
  </si>
  <si>
    <t>Canale</t>
  </si>
  <si>
    <t>Valore mercato di riferimento</t>
  </si>
  <si>
    <t>Punti vendita</t>
  </si>
  <si>
    <t>Quota di mercato</t>
  </si>
  <si>
    <t>Fatturato Mozart</t>
  </si>
  <si>
    <t>Punti vendita serviti</t>
  </si>
  <si>
    <t>Fatturato per punto vendita</t>
  </si>
  <si>
    <t>Penetrazione punti vendita</t>
  </si>
  <si>
    <t>Fatturato per agente</t>
  </si>
  <si>
    <t>Materassi in schiuma poliuretanica (B)</t>
  </si>
  <si>
    <t>Materassi a molle (A)</t>
  </si>
  <si>
    <t>Analisi del mercato di riferimento</t>
  </si>
  <si>
    <t>1- Evoluzione per canale</t>
  </si>
  <si>
    <t>anno (N+1)</t>
  </si>
  <si>
    <t>anno (N+2)</t>
  </si>
  <si>
    <t>anno (N+3)</t>
  </si>
  <si>
    <t>tradizionale</t>
  </si>
  <si>
    <t>televendite</t>
  </si>
  <si>
    <t>gdo</t>
  </si>
  <si>
    <t>2- Dati commerciali anno (N)</t>
  </si>
  <si>
    <t>Preconsuntivo (N)</t>
  </si>
  <si>
    <t>Distribuzione fatt. per canale</t>
  </si>
  <si>
    <t>Condizioni  di regolamento medie di mercato (in gg)</t>
  </si>
  <si>
    <t>Mix di vendita:</t>
  </si>
  <si>
    <t>Fatturato per prodotto:</t>
  </si>
  <si>
    <t>Agenti:</t>
  </si>
  <si>
    <t>nord</t>
  </si>
  <si>
    <t>centro</t>
  </si>
  <si>
    <t>sud e isole</t>
  </si>
  <si>
    <t>totale</t>
  </si>
  <si>
    <t>Premio trimestrale clientela</t>
  </si>
  <si>
    <t>Provvigione agenti</t>
  </si>
  <si>
    <t>altro</t>
  </si>
  <si>
    <t>Budget vendite totali (N+1)</t>
  </si>
  <si>
    <t>Prezzo medio</t>
  </si>
  <si>
    <t>Prezzo medio mix</t>
  </si>
  <si>
    <t>Scostamenti (N+1)/(N) %</t>
  </si>
  <si>
    <t>trad.</t>
  </si>
  <si>
    <t>tel.</t>
  </si>
  <si>
    <t>Molle</t>
  </si>
  <si>
    <t>Poliuretano</t>
  </si>
  <si>
    <t>Q</t>
  </si>
  <si>
    <t>Canale tradizionale</t>
  </si>
  <si>
    <t>Canale televendite</t>
  </si>
  <si>
    <t>Canale GDO</t>
  </si>
  <si>
    <t>MIX prodotto/canale</t>
  </si>
  <si>
    <t>Budget (N+1)</t>
  </si>
  <si>
    <t>Tabella A.3 - Budget vendite per prodotto/canale</t>
  </si>
  <si>
    <t>televendita</t>
  </si>
  <si>
    <t>Tradizionale</t>
  </si>
  <si>
    <t>Televendite</t>
  </si>
  <si>
    <t>GDO</t>
  </si>
  <si>
    <t>CHECK</t>
  </si>
  <si>
    <t>POLIURETANO - TUTTI I CANALI</t>
  </si>
  <si>
    <t>POLIURETANO - TRADIZIONALE</t>
  </si>
  <si>
    <t>POLIURETANO - TELEVENDITE</t>
  </si>
  <si>
    <t>POLIURETANO - GDO</t>
  </si>
  <si>
    <t>MOLLE - TUTTI I CANALI</t>
  </si>
  <si>
    <t>MOLLE- TRADIZIOONALE</t>
  </si>
  <si>
    <t>MOLLE - TELEVENDITE</t>
  </si>
  <si>
    <t>MOLLE - GDO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</si>
  <si>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</si>
  <si>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</si>
  <si>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</si>
  <si>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</si>
  <si>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</si>
  <si>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</si>
  <si>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</si>
  <si>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</si>
  <si>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</si>
  <si>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</si>
  <si>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</si>
  <si>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</si>
  <si>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Tabella 3 - Budget vendite per prodotto/canale mensilizzate</t>
  </si>
  <si>
    <t>Tabella 2 - Budget vendite per prodotto/canale</t>
  </si>
  <si>
    <t>Tabella 1 - Sviluppo del preconsuntivo e del budget delle vendite complessivo</t>
  </si>
  <si>
    <t>Tabella 0 - Dati necessari per sviluppo successivo</t>
  </si>
  <si>
    <t>Materassi a molle</t>
  </si>
  <si>
    <t>Giacenze iniziali</t>
  </si>
  <si>
    <t>Giacenze iniziali (q)</t>
  </si>
  <si>
    <t>Tasso di rotazione scorte</t>
  </si>
  <si>
    <t>Durata prodotti (gg)</t>
  </si>
  <si>
    <t>Budget N+2</t>
  </si>
  <si>
    <t>Giacenze finali</t>
  </si>
  <si>
    <t>Produzione necessaria</t>
  </si>
  <si>
    <t>Vendite</t>
  </si>
  <si>
    <t>Budget vendite totali (N+2)</t>
  </si>
  <si>
    <t>Budget (N+2)</t>
  </si>
  <si>
    <t>Materassi in schiuma poliuretanica</t>
  </si>
  <si>
    <t>Ferro</t>
  </si>
  <si>
    <t>Cotone</t>
  </si>
  <si>
    <t>Lana</t>
  </si>
  <si>
    <t>Materasso a molle</t>
  </si>
  <si>
    <t>u.m.</t>
  </si>
  <si>
    <t>q u.m.</t>
  </si>
  <si>
    <t>kg</t>
  </si>
  <si>
    <t>Materasso schiuma poliuretanica</t>
  </si>
  <si>
    <t>Teli di cotone</t>
  </si>
  <si>
    <t>Filo</t>
  </si>
  <si>
    <t>Cellophane</t>
  </si>
  <si>
    <t>metri</t>
  </si>
  <si>
    <t>n.ro</t>
  </si>
  <si>
    <t>€/u.m.</t>
  </si>
  <si>
    <t>costo</t>
  </si>
  <si>
    <t>All B.2 - Parametri per MRP</t>
  </si>
  <si>
    <t>Tempi di rapprovvigionamento</t>
  </si>
  <si>
    <t>Scorta minima</t>
  </si>
  <si>
    <t>All B.3 - Rimanenze iniziali materie espresse in quantità</t>
  </si>
  <si>
    <t>Tempo di riapprovvigionamento in gg</t>
  </si>
  <si>
    <t>scorta minima</t>
  </si>
  <si>
    <t>Fabbisogno di produzione</t>
  </si>
  <si>
    <t>Acquisti necessari</t>
  </si>
  <si>
    <t>scost. q</t>
  </si>
  <si>
    <t>scost. p</t>
  </si>
  <si>
    <t>Tab. 6 - Distinta Base materie prime</t>
  </si>
  <si>
    <t>valore unitario</t>
  </si>
  <si>
    <t>-Fabbisogno di produzione</t>
  </si>
  <si>
    <t>+Acquisti</t>
  </si>
  <si>
    <t>cu</t>
  </si>
  <si>
    <t>pcu</t>
  </si>
  <si>
    <t>Totale II° sem</t>
  </si>
  <si>
    <t>All 2 - Parametri per MRP</t>
  </si>
  <si>
    <t>All 1 - Scheda di costo standard</t>
  </si>
  <si>
    <t>All 3 - Rimanenze iniziali materie espresse in quantità</t>
  </si>
  <si>
    <t>Mansione</t>
  </si>
  <si>
    <t>RAL</t>
  </si>
  <si>
    <t>Contributi 13ma</t>
  </si>
  <si>
    <t>Contributi 14m</t>
  </si>
  <si>
    <t>Costo totale</t>
  </si>
  <si>
    <t>Dir. Controllo</t>
  </si>
  <si>
    <t>Resp. Acquisti</t>
  </si>
  <si>
    <t>Resp. Marketing</t>
  </si>
  <si>
    <t>Dir. Operations</t>
  </si>
  <si>
    <t>Resp. Produzione</t>
  </si>
  <si>
    <t>Addetto prod. 1</t>
  </si>
  <si>
    <t>Addetto prod. 2</t>
  </si>
  <si>
    <t>Addetto prod. 3</t>
  </si>
  <si>
    <t>Addetto prod. 4</t>
  </si>
  <si>
    <t>Addetto prod. 5</t>
  </si>
  <si>
    <t>Addetto prod. 6</t>
  </si>
  <si>
    <t>Addetto prod. 7</t>
  </si>
  <si>
    <t>Addetto prod. 8</t>
  </si>
  <si>
    <t>Addetto prod. 9</t>
  </si>
  <si>
    <t>Addetto prod. 10</t>
  </si>
  <si>
    <t>Addetto prod. 11</t>
  </si>
  <si>
    <t>Addetto prod. 12</t>
  </si>
  <si>
    <t>Addetto prod. 13</t>
  </si>
  <si>
    <t>Addetto prod. 14</t>
  </si>
  <si>
    <t>Addetto prod. 15</t>
  </si>
  <si>
    <t>Addetto prod. 16</t>
  </si>
  <si>
    <t>Addetto prod. 17</t>
  </si>
  <si>
    <t>Addetto prod. 18</t>
  </si>
  <si>
    <t>Addetto prod. 19</t>
  </si>
  <si>
    <t>Addetto prod. 20</t>
  </si>
  <si>
    <t>Addetto prod. 21</t>
  </si>
  <si>
    <t>Addetto prod. 22</t>
  </si>
  <si>
    <t>Addetto prod. 23</t>
  </si>
  <si>
    <t>Addetto prod. 24</t>
  </si>
  <si>
    <t>Addetto prod. 25</t>
  </si>
  <si>
    <t>Addetto prod. 26</t>
  </si>
  <si>
    <t>Addetto prod. 27</t>
  </si>
  <si>
    <t>Addetto prod. 28</t>
  </si>
  <si>
    <t>Addetto prod. 29</t>
  </si>
  <si>
    <t>Addetto prod. 30</t>
  </si>
  <si>
    <t>Addetto prod. 31</t>
  </si>
  <si>
    <t>Addetto prod. 32</t>
  </si>
  <si>
    <t>Addetto prod. 33</t>
  </si>
  <si>
    <t>Addetto prod. 34</t>
  </si>
  <si>
    <t>Addetto prod. 35</t>
  </si>
  <si>
    <t>Addetto prod. 36</t>
  </si>
  <si>
    <t>Addetto prod. 37</t>
  </si>
  <si>
    <t>Addetto prod. 38</t>
  </si>
  <si>
    <t>Addetto prod. 39</t>
  </si>
  <si>
    <t>Addetto prod. 40</t>
  </si>
  <si>
    <t>Addetto prod. 41</t>
  </si>
  <si>
    <t>Addetto prod. 42</t>
  </si>
  <si>
    <t>Addetto prod. 43</t>
  </si>
  <si>
    <t>Addetto prod. 44</t>
  </si>
  <si>
    <t>Addetto prod. 45</t>
  </si>
  <si>
    <t>Addetto prod. 46</t>
  </si>
  <si>
    <t>Addetto prod. 47</t>
  </si>
  <si>
    <t>Addetto prod. 48</t>
  </si>
  <si>
    <t>Addetto prod. 49</t>
  </si>
  <si>
    <t>Addetto prod. 50</t>
  </si>
  <si>
    <t>Addetto prod. 51</t>
  </si>
  <si>
    <t>Addetto prod. 52</t>
  </si>
  <si>
    <t>Addetto prod. 53</t>
  </si>
  <si>
    <t>Addetto prod. 54</t>
  </si>
  <si>
    <t>Addetto prod. 55</t>
  </si>
  <si>
    <t>Addetto prod. 56</t>
  </si>
  <si>
    <t>Addetto prod. 57</t>
  </si>
  <si>
    <t>Addetto prod. 58</t>
  </si>
  <si>
    <t>Addetto prod. 59</t>
  </si>
  <si>
    <t>Addetto prod. 60</t>
  </si>
  <si>
    <t>Addetto prod. 61</t>
  </si>
  <si>
    <t>Addetto prod. 62</t>
  </si>
  <si>
    <t>Addetto prod. 63</t>
  </si>
  <si>
    <t>Addetto prod. 64</t>
  </si>
  <si>
    <t>Addetto prod. 65</t>
  </si>
  <si>
    <t>Addetto prod. 66</t>
  </si>
  <si>
    <t>Addetto prod. 67</t>
  </si>
  <si>
    <t>Addetto prod. 68</t>
  </si>
  <si>
    <t>Addetto prod. 69</t>
  </si>
  <si>
    <t>Addetto prod. 70</t>
  </si>
  <si>
    <t>Addetto prod. 71</t>
  </si>
  <si>
    <t>Addetto prod. 72</t>
  </si>
  <si>
    <t>Addetto prod. 73</t>
  </si>
  <si>
    <t>Addetto prod. 74</t>
  </si>
  <si>
    <t>Addetto prod. 75</t>
  </si>
  <si>
    <t>Addetto prod. 76</t>
  </si>
  <si>
    <t>Addetto prod. 77</t>
  </si>
  <si>
    <t>Addetto prod. 78</t>
  </si>
  <si>
    <t>Addetto prod. 79</t>
  </si>
  <si>
    <t>Addetto prod. 80</t>
  </si>
  <si>
    <t>Addetto prod. 81</t>
  </si>
  <si>
    <t>Addetto prod. 82</t>
  </si>
  <si>
    <t>Addetto prod. 83</t>
  </si>
  <si>
    <t>Addetto prod. 84</t>
  </si>
  <si>
    <t>Addetto prod. 85</t>
  </si>
  <si>
    <t>Addetto prod. 86</t>
  </si>
  <si>
    <t>Addetto prod. 87</t>
  </si>
  <si>
    <t>Addetto prod. 88</t>
  </si>
  <si>
    <t>Addetto prod. 89</t>
  </si>
  <si>
    <t>Addetto prod. 90</t>
  </si>
  <si>
    <t>Addetto prod. 91</t>
  </si>
  <si>
    <t>Addetto prod. 92</t>
  </si>
  <si>
    <t>Addetto prod. 93</t>
  </si>
  <si>
    <t>Addetto prod. 94</t>
  </si>
  <si>
    <t>Addetto prod. 95</t>
  </si>
  <si>
    <t>Addetto prod. 96</t>
  </si>
  <si>
    <t>Addetto prod. 97</t>
  </si>
  <si>
    <t>Addetto prod. 98</t>
  </si>
  <si>
    <t>Addetto prod. 99</t>
  </si>
  <si>
    <t>Addetto prod. 100</t>
  </si>
  <si>
    <t>Addetto prod. 101</t>
  </si>
  <si>
    <t>Addetto prod. 102</t>
  </si>
  <si>
    <t>Addetto prod. 103</t>
  </si>
  <si>
    <t>Addetto prod. 104</t>
  </si>
  <si>
    <t>Addetto prod. 105</t>
  </si>
  <si>
    <t>Addetto prod. 106</t>
  </si>
  <si>
    <t>Addetto prod. 107</t>
  </si>
  <si>
    <t>Addetto prod. 108</t>
  </si>
  <si>
    <t>Addetto prod. 109</t>
  </si>
  <si>
    <t>Acquisti</t>
  </si>
  <si>
    <t>Marketing</t>
  </si>
  <si>
    <t>Operations</t>
  </si>
  <si>
    <t>Produzione</t>
  </si>
  <si>
    <t>Handling</t>
  </si>
  <si>
    <t>Resp. Handl</t>
  </si>
  <si>
    <t>Addetto Handling 1</t>
  </si>
  <si>
    <t>Addetto Handling 2</t>
  </si>
  <si>
    <t>Addetto Handling 3</t>
  </si>
  <si>
    <t>Addetto Handling 4</t>
  </si>
  <si>
    <t>Addetto Handling 5</t>
  </si>
  <si>
    <t>Addetto Handling 6</t>
  </si>
  <si>
    <t>Addetto Handling 7</t>
  </si>
  <si>
    <t>Addetto Handling 8</t>
  </si>
  <si>
    <t>Addetto Handling 9</t>
  </si>
  <si>
    <t>Addetto Handling 10</t>
  </si>
  <si>
    <t>Addetto Handling 11</t>
  </si>
  <si>
    <t>Addetto Handling 12</t>
  </si>
  <si>
    <t>Addetto Handling 13</t>
  </si>
  <si>
    <t>Addetto Handling 14</t>
  </si>
  <si>
    <t>Addetto Handling 15</t>
  </si>
  <si>
    <t>Controllo qualità</t>
  </si>
  <si>
    <t>Gestione magazzino</t>
  </si>
  <si>
    <t>Addetto gest. magazzino 1</t>
  </si>
  <si>
    <t>Addetto gest. magazzino 2</t>
  </si>
  <si>
    <t>Addetto trasporti 1</t>
  </si>
  <si>
    <t>Addetto trasporti 2</t>
  </si>
  <si>
    <t>Trasporti</t>
  </si>
  <si>
    <t>Commerciale</t>
  </si>
  <si>
    <t>Dir. Commerciale</t>
  </si>
  <si>
    <t>Resp. Canale tradizionale</t>
  </si>
  <si>
    <t>Resp. Canale televendite</t>
  </si>
  <si>
    <t>Resp. Canale gdo</t>
  </si>
  <si>
    <t>Addetto vendite 1</t>
  </si>
  <si>
    <t>Addetto vendite 2</t>
  </si>
  <si>
    <t>Addetto vendite 3</t>
  </si>
  <si>
    <t>Addetto vendite 4</t>
  </si>
  <si>
    <t>Addetto vendite 5</t>
  </si>
  <si>
    <t>Call center 1</t>
  </si>
  <si>
    <t>Call center 2</t>
  </si>
  <si>
    <t>Call center 3</t>
  </si>
  <si>
    <t>Call center 4</t>
  </si>
  <si>
    <t>Call center 5</t>
  </si>
  <si>
    <t>Call center 6</t>
  </si>
  <si>
    <t>Call center 7</t>
  </si>
  <si>
    <t>Call center 8</t>
  </si>
  <si>
    <t>Call center 9</t>
  </si>
  <si>
    <t>Call center 10</t>
  </si>
  <si>
    <t>Call center 11</t>
  </si>
  <si>
    <t>Call center 12</t>
  </si>
  <si>
    <t>Call center 13</t>
  </si>
  <si>
    <t>Call center 14</t>
  </si>
  <si>
    <t>Call center 15</t>
  </si>
  <si>
    <t>Call center 16</t>
  </si>
  <si>
    <t>Call center 17</t>
  </si>
  <si>
    <t>Call center 18</t>
  </si>
  <si>
    <t>Call center 19</t>
  </si>
  <si>
    <t>Call center 20</t>
  </si>
  <si>
    <t>Call center 21</t>
  </si>
  <si>
    <t>Call center 22</t>
  </si>
  <si>
    <t>Call center 23</t>
  </si>
  <si>
    <t>Call center 24</t>
  </si>
  <si>
    <t>Call center 25</t>
  </si>
  <si>
    <t>Call center 26</t>
  </si>
  <si>
    <t>Call center 27</t>
  </si>
  <si>
    <t>Call center 28</t>
  </si>
  <si>
    <t>Call center 29</t>
  </si>
  <si>
    <t>Call center 30</t>
  </si>
  <si>
    <t>Ass. clienti 1</t>
  </si>
  <si>
    <t>Ass. clienti 2</t>
  </si>
  <si>
    <t>Ass. clienti 3</t>
  </si>
  <si>
    <t>Dir. Amministrativo</t>
  </si>
  <si>
    <t>Fornitori</t>
  </si>
  <si>
    <t>Tesoreria</t>
  </si>
  <si>
    <t>Contabilità Generale</t>
  </si>
  <si>
    <t>Dir. Generale</t>
  </si>
  <si>
    <t>M001</t>
  </si>
  <si>
    <t>M002</t>
  </si>
  <si>
    <t>M003</t>
  </si>
  <si>
    <t>M004</t>
  </si>
  <si>
    <t>M005</t>
  </si>
  <si>
    <t>M006</t>
  </si>
  <si>
    <t>M007</t>
  </si>
  <si>
    <t>M008</t>
  </si>
  <si>
    <t>M009</t>
  </si>
  <si>
    <t>M010</t>
  </si>
  <si>
    <t>M011</t>
  </si>
  <si>
    <t>M012</t>
  </si>
  <si>
    <t>M013</t>
  </si>
  <si>
    <t>M014</t>
  </si>
  <si>
    <t>M015</t>
  </si>
  <si>
    <t>M016</t>
  </si>
  <si>
    <t>M017</t>
  </si>
  <si>
    <t>M018</t>
  </si>
  <si>
    <t>M019</t>
  </si>
  <si>
    <t>M020</t>
  </si>
  <si>
    <t>M021</t>
  </si>
  <si>
    <t>M022</t>
  </si>
  <si>
    <t>M023</t>
  </si>
  <si>
    <t>M024</t>
  </si>
  <si>
    <t>M025</t>
  </si>
  <si>
    <t>M026</t>
  </si>
  <si>
    <t>M027</t>
  </si>
  <si>
    <t>M028</t>
  </si>
  <si>
    <t>M029</t>
  </si>
  <si>
    <t>M030</t>
  </si>
  <si>
    <t>M031</t>
  </si>
  <si>
    <t>M032</t>
  </si>
  <si>
    <t>M033</t>
  </si>
  <si>
    <t>M034</t>
  </si>
  <si>
    <t>M035</t>
  </si>
  <si>
    <t>M036</t>
  </si>
  <si>
    <t>M037</t>
  </si>
  <si>
    <t>M038</t>
  </si>
  <si>
    <t>M039</t>
  </si>
  <si>
    <t>M040</t>
  </si>
  <si>
    <t>M041</t>
  </si>
  <si>
    <t>M042</t>
  </si>
  <si>
    <t>M043</t>
  </si>
  <si>
    <t>M044</t>
  </si>
  <si>
    <t>M045</t>
  </si>
  <si>
    <t>M046</t>
  </si>
  <si>
    <t>M047</t>
  </si>
  <si>
    <t>M048</t>
  </si>
  <si>
    <t>M049</t>
  </si>
  <si>
    <t>M050</t>
  </si>
  <si>
    <t>M051</t>
  </si>
  <si>
    <t>M052</t>
  </si>
  <si>
    <t>M053</t>
  </si>
  <si>
    <t>M054</t>
  </si>
  <si>
    <t>M055</t>
  </si>
  <si>
    <t>M056</t>
  </si>
  <si>
    <t>M057</t>
  </si>
  <si>
    <t>M058</t>
  </si>
  <si>
    <t>M059</t>
  </si>
  <si>
    <t>M060</t>
  </si>
  <si>
    <t>M061</t>
  </si>
  <si>
    <t>M062</t>
  </si>
  <si>
    <t>M063</t>
  </si>
  <si>
    <t>M064</t>
  </si>
  <si>
    <t>M065</t>
  </si>
  <si>
    <t>M066</t>
  </si>
  <si>
    <t>M067</t>
  </si>
  <si>
    <t>M068</t>
  </si>
  <si>
    <t>M069</t>
  </si>
  <si>
    <t>M070</t>
  </si>
  <si>
    <t>M071</t>
  </si>
  <si>
    <t>M072</t>
  </si>
  <si>
    <t>M073</t>
  </si>
  <si>
    <t>M074</t>
  </si>
  <si>
    <t>M075</t>
  </si>
  <si>
    <t>M076</t>
  </si>
  <si>
    <t>M077</t>
  </si>
  <si>
    <t>M078</t>
  </si>
  <si>
    <t>M079</t>
  </si>
  <si>
    <t>M080</t>
  </si>
  <si>
    <t>M081</t>
  </si>
  <si>
    <t>M082</t>
  </si>
  <si>
    <t>M083</t>
  </si>
  <si>
    <t>M084</t>
  </si>
  <si>
    <t>M085</t>
  </si>
  <si>
    <t>M086</t>
  </si>
  <si>
    <t>M087</t>
  </si>
  <si>
    <t>M088</t>
  </si>
  <si>
    <t>M089</t>
  </si>
  <si>
    <t>M090</t>
  </si>
  <si>
    <t>M091</t>
  </si>
  <si>
    <t>M092</t>
  </si>
  <si>
    <t>M093</t>
  </si>
  <si>
    <t>M094</t>
  </si>
  <si>
    <t>M095</t>
  </si>
  <si>
    <t>M096</t>
  </si>
  <si>
    <t>M097</t>
  </si>
  <si>
    <t>M098</t>
  </si>
  <si>
    <t>M099</t>
  </si>
  <si>
    <t>M100</t>
  </si>
  <si>
    <t>M101</t>
  </si>
  <si>
    <t>M102</t>
  </si>
  <si>
    <t>M103</t>
  </si>
  <si>
    <t>M104</t>
  </si>
  <si>
    <t>M105</t>
  </si>
  <si>
    <t>M106</t>
  </si>
  <si>
    <t>M107</t>
  </si>
  <si>
    <t>M108</t>
  </si>
  <si>
    <t>M109</t>
  </si>
  <si>
    <t>M110</t>
  </si>
  <si>
    <t>M111</t>
  </si>
  <si>
    <t>M112</t>
  </si>
  <si>
    <t>M113</t>
  </si>
  <si>
    <t>M114</t>
  </si>
  <si>
    <t>M115</t>
  </si>
  <si>
    <t>M116</t>
  </si>
  <si>
    <t>M117</t>
  </si>
  <si>
    <t>M118</t>
  </si>
  <si>
    <t>M119</t>
  </si>
  <si>
    <t>M120</t>
  </si>
  <si>
    <t>M121</t>
  </si>
  <si>
    <t>M122</t>
  </si>
  <si>
    <t>M123</t>
  </si>
  <si>
    <t>M124</t>
  </si>
  <si>
    <t>M125</t>
  </si>
  <si>
    <t>M126</t>
  </si>
  <si>
    <t>M127</t>
  </si>
  <si>
    <t>M128</t>
  </si>
  <si>
    <t>M129</t>
  </si>
  <si>
    <t>M130</t>
  </si>
  <si>
    <t>M131</t>
  </si>
  <si>
    <t>M132</t>
  </si>
  <si>
    <t>M133</t>
  </si>
  <si>
    <t>M134</t>
  </si>
  <si>
    <t>M135</t>
  </si>
  <si>
    <t>M136</t>
  </si>
  <si>
    <t>M137</t>
  </si>
  <si>
    <t>M138</t>
  </si>
  <si>
    <t>M139</t>
  </si>
  <si>
    <t>M140</t>
  </si>
  <si>
    <t>M141</t>
  </si>
  <si>
    <t>M142</t>
  </si>
  <si>
    <t>M143</t>
  </si>
  <si>
    <t>M144</t>
  </si>
  <si>
    <t>M145</t>
  </si>
  <si>
    <t>M146</t>
  </si>
  <si>
    <t>M147</t>
  </si>
  <si>
    <t>M148</t>
  </si>
  <si>
    <t>M149</t>
  </si>
  <si>
    <t>M150</t>
  </si>
  <si>
    <t>M151</t>
  </si>
  <si>
    <t>M152</t>
  </si>
  <si>
    <t>M153</t>
  </si>
  <si>
    <t>M154</t>
  </si>
  <si>
    <t>M155</t>
  </si>
  <si>
    <t>M156</t>
  </si>
  <si>
    <t>M157</t>
  </si>
  <si>
    <t>M158</t>
  </si>
  <si>
    <t>M159</t>
  </si>
  <si>
    <t>M160</t>
  </si>
  <si>
    <t>M161</t>
  </si>
  <si>
    <t>M162</t>
  </si>
  <si>
    <t>M163</t>
  </si>
  <si>
    <t>M164</t>
  </si>
  <si>
    <t>M165</t>
  </si>
  <si>
    <t>M166</t>
  </si>
  <si>
    <t>M167</t>
  </si>
  <si>
    <t>M168</t>
  </si>
  <si>
    <t>M169</t>
  </si>
  <si>
    <t>M170</t>
  </si>
  <si>
    <t>M171</t>
  </si>
  <si>
    <t>M172</t>
  </si>
  <si>
    <t>M173</t>
  </si>
  <si>
    <t>M174</t>
  </si>
  <si>
    <t>M175</t>
  </si>
  <si>
    <t>M176</t>
  </si>
  <si>
    <t>M177</t>
  </si>
  <si>
    <t>M178</t>
  </si>
  <si>
    <t>M179</t>
  </si>
  <si>
    <t>M180</t>
  </si>
  <si>
    <t>M181</t>
  </si>
  <si>
    <t>M182</t>
  </si>
  <si>
    <t>M183</t>
  </si>
  <si>
    <t>M184</t>
  </si>
  <si>
    <t>M185</t>
  </si>
  <si>
    <t>linea</t>
  </si>
  <si>
    <t>Staff</t>
  </si>
  <si>
    <t>Assistenza clienti</t>
  </si>
  <si>
    <t>Call center</t>
  </si>
  <si>
    <t>Logistica</t>
  </si>
  <si>
    <t>Co.Ge.</t>
  </si>
  <si>
    <t>Credito</t>
  </si>
  <si>
    <t>Credito 1</t>
  </si>
  <si>
    <t>Credito 2</t>
  </si>
  <si>
    <t>FTE</t>
  </si>
  <si>
    <t>Contributi RAL</t>
  </si>
  <si>
    <t>Contributi 14ma</t>
  </si>
  <si>
    <t>Funzioni</t>
  </si>
  <si>
    <t>Call Center</t>
  </si>
  <si>
    <t>Addetto logistica 1</t>
  </si>
  <si>
    <t>Amministrazione</t>
  </si>
  <si>
    <t>Totale Azienda</t>
  </si>
  <si>
    <t>Costo per FTE</t>
  </si>
  <si>
    <t>mese assunzione</t>
  </si>
  <si>
    <t>gg lavorabili</t>
  </si>
  <si>
    <t>Retribuzione</t>
  </si>
  <si>
    <t>Contributi su retribuzione</t>
  </si>
  <si>
    <t>Contributi su 13ma</t>
  </si>
  <si>
    <t>Contributi su 14ma</t>
  </si>
  <si>
    <t>totale pregressi</t>
  </si>
  <si>
    <t>totale assunti</t>
  </si>
  <si>
    <t>- gg ferie</t>
  </si>
  <si>
    <t>costo ferie</t>
  </si>
  <si>
    <t>Luce</t>
  </si>
  <si>
    <t>Riscaldamento</t>
  </si>
  <si>
    <t>Affitti</t>
  </si>
  <si>
    <t>Ammortamenti macchine</t>
  </si>
  <si>
    <t>Ammortamenti produzione</t>
  </si>
  <si>
    <t>Assicurazioni industriali</t>
  </si>
  <si>
    <t>Prestazioni da terzi</t>
  </si>
  <si>
    <t>Manutenzioni</t>
  </si>
  <si>
    <t>Costi industriali</t>
  </si>
  <si>
    <t>Dettaglio altri costi generali:</t>
  </si>
  <si>
    <t>Energia</t>
  </si>
  <si>
    <t>Affitto uffici</t>
  </si>
  <si>
    <t>Consulenze</t>
  </si>
  <si>
    <t>Collegio Sindacale</t>
  </si>
  <si>
    <t>Certificazione bilanio</t>
  </si>
  <si>
    <t>Legali</t>
  </si>
  <si>
    <t>Emolumenti aministratori</t>
  </si>
  <si>
    <t>IT</t>
  </si>
  <si>
    <t>Assicurazioni generali</t>
  </si>
  <si>
    <t>Postali/telefono</t>
  </si>
  <si>
    <t>Auto</t>
  </si>
  <si>
    <t>Altri costi</t>
  </si>
  <si>
    <t>Dettaglio altri costi fissi:</t>
  </si>
  <si>
    <t>Consulenza paghe</t>
  </si>
  <si>
    <t>Fiscalista</t>
  </si>
  <si>
    <t>Totale consulenze</t>
  </si>
  <si>
    <t>Macchinari</t>
  </si>
  <si>
    <t>4 macchine</t>
  </si>
  <si>
    <t>Rischi prodotti</t>
  </si>
  <si>
    <t>Amministratori</t>
  </si>
  <si>
    <t>Totale assicurazioni</t>
  </si>
  <si>
    <t>ind</t>
  </si>
  <si>
    <t>Costo storico (N-1)</t>
  </si>
  <si>
    <t>Acquisti (N)</t>
  </si>
  <si>
    <t>Dismissioni (N)</t>
  </si>
  <si>
    <t>Cespiti (N)</t>
  </si>
  <si>
    <t>Fondo (N-1)</t>
  </si>
  <si>
    <t>Amm.ti (N)</t>
  </si>
  <si>
    <t>Fondo (N)</t>
  </si>
  <si>
    <t>Prod.</t>
  </si>
  <si>
    <t>No prod.</t>
  </si>
  <si>
    <t>Impianti generici</t>
  </si>
  <si>
    <t>Macchinari specifici (linea poliuretano)</t>
  </si>
  <si>
    <t>Macchinari specifici (linea a molle)</t>
  </si>
  <si>
    <t>Arredi</t>
  </si>
  <si>
    <t>Macchine Elettroniche</t>
  </si>
  <si>
    <t>Mezzi interni di trasporto</t>
  </si>
  <si>
    <t>Beni inf.  a 516,46€</t>
  </si>
  <si>
    <t>Software in licenza</t>
  </si>
  <si>
    <t>Marchi e brevetti</t>
  </si>
  <si>
    <t>Spese lancio prodotto</t>
  </si>
  <si>
    <t>Spese di sviluppo</t>
  </si>
  <si>
    <t>di cui:</t>
  </si>
  <si>
    <t>materiali</t>
  </si>
  <si>
    <t>immateriali</t>
  </si>
  <si>
    <t>Aliquote amm.to</t>
  </si>
  <si>
    <t>Preconsutivo (N)</t>
  </si>
  <si>
    <t>Cespiti</t>
  </si>
  <si>
    <t>Amm.ti N</t>
  </si>
  <si>
    <t>Costo storico (N)</t>
  </si>
  <si>
    <t>Acquisti (N+1)</t>
  </si>
  <si>
    <t>Dismissioni (N+1)</t>
  </si>
  <si>
    <t>Cespiti (N+1)</t>
  </si>
  <si>
    <t>Amm.ti (N+1)</t>
  </si>
  <si>
    <t>Fondo (N+1)</t>
  </si>
  <si>
    <t>min/uomo</t>
  </si>
  <si>
    <t>min/macchina</t>
  </si>
  <si>
    <t>Fase 2</t>
  </si>
  <si>
    <t>Fase 1</t>
  </si>
  <si>
    <t>Fase 3</t>
  </si>
  <si>
    <t>Fase 4</t>
  </si>
  <si>
    <t>Fase 5</t>
  </si>
  <si>
    <t>Linea molle</t>
  </si>
  <si>
    <t>Linea poliuretano</t>
  </si>
  <si>
    <t>Tempo macchina a disposizione:</t>
  </si>
  <si>
    <t>N. macchine</t>
  </si>
  <si>
    <t>gg lavoro macchina</t>
  </si>
  <si>
    <t>gg manutenzione (esterna) macchina</t>
  </si>
  <si>
    <t>ore turno</t>
  </si>
  <si>
    <t>Uomini diretti a disposizione</t>
  </si>
  <si>
    <t>linea molle</t>
  </si>
  <si>
    <t>linea poliuretano</t>
  </si>
  <si>
    <t>gg lavorabili uomo</t>
  </si>
  <si>
    <t>gg inventario uomo</t>
  </si>
  <si>
    <t>assenteismo individuale</t>
  </si>
  <si>
    <t>ore turno uomo</t>
  </si>
  <si>
    <t>ore straordinario uomo</t>
  </si>
  <si>
    <t>Prodotto molle</t>
  </si>
  <si>
    <t>Q produzione necessaria</t>
  </si>
  <si>
    <t>H necessarie</t>
  </si>
  <si>
    <t>gg uomo</t>
  </si>
  <si>
    <t>h disponibili</t>
  </si>
  <si>
    <t>delta h disponibili/necessarie</t>
  </si>
  <si>
    <t>nuova produzione</t>
  </si>
  <si>
    <t>h disponibili standard</t>
  </si>
  <si>
    <t>h straordinari</t>
  </si>
  <si>
    <t>h disponibili totali</t>
  </si>
  <si>
    <t>q prod. massima</t>
  </si>
  <si>
    <t>q necessaria</t>
  </si>
  <si>
    <t>q nuova produzione</t>
  </si>
  <si>
    <t>H necessarie (nuovo)</t>
  </si>
  <si>
    <t>H macchine necessarie</t>
  </si>
  <si>
    <t>gg macchine</t>
  </si>
  <si>
    <t>manutenzione</t>
  </si>
  <si>
    <t>n.ro macchine</t>
  </si>
  <si>
    <t>h turno</t>
  </si>
  <si>
    <t>H macchine necessarie (nuovo)</t>
  </si>
  <si>
    <t>Altri costi variabili</t>
  </si>
  <si>
    <t>€/pezzo</t>
  </si>
  <si>
    <t>Costo standard minuto macchina variabile:</t>
  </si>
  <si>
    <t>ore disponibili</t>
  </si>
  <si>
    <t>quantità da produrre</t>
  </si>
  <si>
    <t>ore necessarie</t>
  </si>
  <si>
    <t xml:space="preserve"> </t>
  </si>
  <si>
    <t>Forza motrice</t>
  </si>
  <si>
    <t>Costo standard minuto</t>
  </si>
  <si>
    <t>Costo standard minuto uomini DIRETTI:</t>
  </si>
  <si>
    <t>Costo MOD</t>
  </si>
  <si>
    <t>Quantità da produrre</t>
  </si>
  <si>
    <t>Costo lavoro diretto assorbito</t>
  </si>
  <si>
    <t>Costo lavoro diretto non assorbito</t>
  </si>
  <si>
    <t>Costo standard minuto macchina DIRETTI:</t>
  </si>
  <si>
    <t>Costi diretti industriali</t>
  </si>
  <si>
    <t>Costo standard orario MOD</t>
  </si>
  <si>
    <t>Costo standard minuto MOD</t>
  </si>
  <si>
    <t>Costo standard minuto CDI</t>
  </si>
  <si>
    <t>Costo standard orario CDI</t>
  </si>
  <si>
    <t>Altri costi diretti industriali assorbiti</t>
  </si>
  <si>
    <t>Altri costi diretti industriali non assorbiti</t>
  </si>
  <si>
    <t>n. macchine</t>
  </si>
  <si>
    <t>Produzione diretti MOLLE</t>
  </si>
  <si>
    <t>Produzione diretti POLIURETANO</t>
  </si>
  <si>
    <t>Uffici</t>
  </si>
  <si>
    <t>comm</t>
  </si>
  <si>
    <t>Totale  costi diretti non assorbiti</t>
  </si>
  <si>
    <t>var. totale</t>
  </si>
  <si>
    <t>fatturato vecchi agenti</t>
  </si>
  <si>
    <t>fatturato nuovi agenti</t>
  </si>
  <si>
    <t>var. molle vecchi agenti</t>
  </si>
  <si>
    <t>var. poliuretano vecchi agenti</t>
  </si>
  <si>
    <t>g&amp;a</t>
  </si>
  <si>
    <t>Var. materie prime</t>
  </si>
  <si>
    <t>MOD</t>
  </si>
  <si>
    <t>H assorbite molle</t>
  </si>
  <si>
    <t>H straordinari molle</t>
  </si>
  <si>
    <t>H molle non utilizzate</t>
  </si>
  <si>
    <t>Costo MOD assorbito ordinario</t>
  </si>
  <si>
    <t>Costo MOD non assorbito</t>
  </si>
  <si>
    <t>Costo MOD molle assorbito ordinario</t>
  </si>
  <si>
    <t>Costo MOD molle assorbito straordinario</t>
  </si>
  <si>
    <t>Costo MOD molle non assorbito</t>
  </si>
  <si>
    <t>Costo MOD totale</t>
  </si>
  <si>
    <t>H assorbite pol.</t>
  </si>
  <si>
    <t>H non utilizzate pol.</t>
  </si>
  <si>
    <t>Costo MOD pol. assorbito ordinario</t>
  </si>
  <si>
    <t>Costo MOD pol. non assorbito</t>
  </si>
  <si>
    <t>H straordinari pol.</t>
  </si>
  <si>
    <t>Costo MOD straordinario</t>
  </si>
  <si>
    <t>Costo MOD pol. assorbito straordinario</t>
  </si>
  <si>
    <t>- assenteismo</t>
  </si>
  <si>
    <t>- inventario</t>
  </si>
  <si>
    <t>H necessarie (ord+str.)</t>
  </si>
  <si>
    <t>di cui: H straordinarie</t>
  </si>
  <si>
    <t>Straordinari</t>
  </si>
  <si>
    <t>Mensilizzazione costi diretti -UOMO</t>
  </si>
  <si>
    <t>Costo MOD assorbita</t>
  </si>
  <si>
    <t>Costo MOD non assorbita</t>
  </si>
  <si>
    <t>h macchine necessarie MOLLE</t>
  </si>
  <si>
    <t>h macchine non utilizzate MOLLE</t>
  </si>
  <si>
    <t>Costo diretto - MACCHINE assorbito</t>
  </si>
  <si>
    <t>Costo diretto - MACCHINE non assorbito</t>
  </si>
  <si>
    <t>Costo diretto MACCHINE totale</t>
  </si>
  <si>
    <t>h macchine necessarie POL.</t>
  </si>
  <si>
    <t>h macchine non utilizzate POL.</t>
  </si>
  <si>
    <t># Materassi a molle allestiti</t>
  </si>
  <si>
    <t>kg di ferro da consumare</t>
  </si>
  <si>
    <t>kg di cotone da consumare</t>
  </si>
  <si>
    <t>kg di lana da consumare</t>
  </si>
  <si>
    <t>costo consumo ferro</t>
  </si>
  <si>
    <t>costo consumo cotone</t>
  </si>
  <si>
    <t>costo consumo lana</t>
  </si>
  <si>
    <t>costo unitario di prodotto (a materie prime)</t>
  </si>
  <si>
    <t># Materassi in schiuma poliuretanica allestiti</t>
  </si>
  <si>
    <t>kg di poliuretano da consumare</t>
  </si>
  <si>
    <t>m di teli di cotone da consumare</t>
  </si>
  <si>
    <t>n. fili da consumare</t>
  </si>
  <si>
    <t>n. cellophane da consumare</t>
  </si>
  <si>
    <t>costo consumo poliuretano</t>
  </si>
  <si>
    <t>costo consumo teli di cotone</t>
  </si>
  <si>
    <t>costo consumo filo</t>
  </si>
  <si>
    <t>costo consumo cellophane</t>
  </si>
  <si>
    <t>costo consumo materie prime - totale</t>
  </si>
  <si>
    <t>costo consumo materie prime - materassi in schiuma</t>
  </si>
  <si>
    <t>costo consumo materie prime - materassi a molle</t>
  </si>
  <si>
    <t>H macchina necessarie</t>
  </si>
  <si>
    <t>€ Forza motrice per H macchina</t>
  </si>
  <si>
    <t>costo consumo forza motrice - materassi a molle</t>
  </si>
  <si>
    <t>costo consumo forza motrice - materassi in schiuma</t>
  </si>
  <si>
    <t>costo unitario di prodotto (solo forza motrice)</t>
  </si>
  <si>
    <t>costo consumo forza motrice - totale</t>
  </si>
  <si>
    <t>Costo lavoro straordinario</t>
  </si>
  <si>
    <t>= gg capacità pratica</t>
  </si>
  <si>
    <t>Tabella di sintesi</t>
  </si>
  <si>
    <t>gg lavorabili massimi</t>
  </si>
  <si>
    <t>= gg lavorabili effettivi</t>
  </si>
  <si>
    <t>Diretto/Indiretto</t>
  </si>
  <si>
    <t>Costo manodopera diretta</t>
  </si>
  <si>
    <t>Diretto</t>
  </si>
  <si>
    <t>Altro costo del lavoro</t>
  </si>
  <si>
    <t>Indiretto</t>
  </si>
  <si>
    <t>INDIRETTI</t>
  </si>
  <si>
    <t>Assicurazioni - macchinari</t>
  </si>
  <si>
    <t>Assicurazioni - 4 macchine</t>
  </si>
  <si>
    <t>Assicurazioni - rischi prodotti</t>
  </si>
  <si>
    <t>Assicurazioni - amministratori</t>
  </si>
  <si>
    <t>Altri ammortamenti</t>
  </si>
  <si>
    <t>Certificazione bilancio</t>
  </si>
  <si>
    <t>Costi diretti variabili (materie prime)</t>
  </si>
  <si>
    <t>Costi diretti fissi (manodopera+macchine)</t>
  </si>
  <si>
    <t>uffici</t>
  </si>
  <si>
    <t>corporate</t>
  </si>
  <si>
    <t>commerciale</t>
  </si>
  <si>
    <t>Consulenze amministrative</t>
  </si>
  <si>
    <t>Assicurazioni - uffici</t>
  </si>
  <si>
    <t>Mensilizzazione costi diretti - MACCHINE</t>
  </si>
  <si>
    <t>All. 1 - Cicli di lavorazione</t>
  </si>
  <si>
    <t>Tabella 4 (v2) - Budget quantità da produrre</t>
  </si>
  <si>
    <t>All. 2 - Dati per riparto costo del lavoro</t>
  </si>
  <si>
    <t>All. 3 - Dati per calcolo tempo macchina a disposizione</t>
  </si>
  <si>
    <t>Tab. 5 - Check capacità produttiva UOMO</t>
  </si>
  <si>
    <t>Tab. 6 - Check capacità produttiva MACCHINA</t>
  </si>
  <si>
    <t>Tabella 8 - Budget quantità di materie prime da acquistare</t>
  </si>
  <si>
    <t>Tabella 9 - Budget acquisti (a valore) di materie prime</t>
  </si>
  <si>
    <t>Tabella 10 - Budget costo del venduto per cruscotto/canale mensilizzato</t>
  </si>
  <si>
    <t>Tab.11n - Configurazione di costo: VARIABILE INDUSTRIALE</t>
  </si>
  <si>
    <t>Tab.12 - Budget del consumo della forza motrice</t>
  </si>
  <si>
    <t>All. 7 - Costo del lavoro preconsuntivo</t>
  </si>
  <si>
    <t>Tabella 13 - Informazioni necessarie per la predisposizione del budget del lavoro</t>
  </si>
  <si>
    <t>Tab. 14 - Il budget costo del lavoro</t>
  </si>
  <si>
    <t>Tab.15 - Costo standard minuto uomini DIRETTI</t>
  </si>
  <si>
    <t>All. 9 - Dettaglio costi fissi</t>
  </si>
  <si>
    <t>All. 10 - Costo ammortamenti</t>
  </si>
  <si>
    <t xml:space="preserve">Tab.16 - Individuazione dei costi diretti e indiretti </t>
  </si>
  <si>
    <t>Tab.17 - Configurazione di costo: DIRETTO INDUSTRIALE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</si>
</sst>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  <numFmt numFmtId="166" formatCode="_(* #,##0_);_(* \(#,##0\);_(* &quot;-&quot;_);_(@_)"/>
    <numFmt numFmtId="167" formatCode="_(&quot;$&quot;* #,##0_);_(&quot;$&quot;* \(#,##0\);_(&quot;$&quot;* &quot;-&quot;_);_(@_)"/>
    <numFmt numFmtId="168" formatCode="_-&quot;€&quot;\ * #,##0_-;\-&quot;€&quot;\ * #,##0_-;_-&quot;€&quot;\ * &quot;-&quot;??_-;_-@_-"/>
    <numFmt numFmtId="169" formatCode="_-* #,##0.00000_-;\-* #,##0.00000_-;_-* &quot;-&quot;??_-;_-@_-"/>
    <numFmt numFmtId="170" formatCode="_-&quot;€&quot;\ * #,##0.0_-;\-&quot;€&quot;\ * #,##0.0_-;_-&quot;€&quot;\ * &quot;-&quot;??_-;_-@_-"/>
    <numFmt numFmtId="171" formatCode="_-[$€-2]\ * #,##0.00_-;\-[$€-2]\ * #,##0.00_-;_-[$€-2]\ * &quot;-&quot;??_-;_-@_-"/>
  </numFmts>
  <fonts count="29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PT Sans Narrow"/>
      <family val="2"/>
      <charset val="204"/>
    </font>
    <font>
      <sz val="12"/>
      <name val="PT Sans Narrow"/>
      <family val="2"/>
      <charset val="204"/>
    </font>
    <font>
      <b/>
      <sz val="12"/>
      <name val="PT Sans Narrow"/>
      <family val="2"/>
      <charset val="204"/>
    </font>
    <font>
      <i/>
      <sz val="12"/>
      <name val="PT Sans Narrow"/>
      <family val="2"/>
      <charset val="204"/>
    </font>
    <font>
      <b/>
      <i/>
      <sz val="12"/>
      <name val="PT Sans Narrow"/>
      <family val="2"/>
      <charset val="204"/>
    </font>
    <font>
      <sz val="12"/>
      <color indexed="10"/>
      <name val="PT Sans Narrow"/>
      <family val="2"/>
      <charset val="204"/>
    </font>
    <font>
      <b/>
      <sz val="16"/>
      <color theme="4"/>
      <name val="PT Sans Narrow"/>
      <family val="2"/>
      <charset val="204"/>
    </font>
    <font>
      <b/>
      <sz val="12"/>
      <color theme="0"/>
      <name val="PT Sans Narrow"/>
      <family val="2"/>
      <charset val="204"/>
    </font>
    <font>
      <sz val="12"/>
      <color theme="0"/>
      <name val="PT Sans Narrow"/>
      <family val="2"/>
      <charset val="204"/>
    </font>
    <font>
      <b/>
      <sz val="12"/>
      <color theme="4"/>
      <name val="PT Sans Narrow"/>
      <family val="2"/>
      <charset val="204"/>
    </font>
    <font>
      <b/>
      <sz val="12"/>
      <color theme="4" tint="-0.249977111117893"/>
      <name val="PT Sans Narrow"/>
      <family val="2"/>
      <charset val="204"/>
    </font>
    <font>
      <sz val="14"/>
      <name val="PT Sans Narrow"/>
      <family val="2"/>
      <charset val="204"/>
    </font>
    <font>
      <b/>
      <sz val="14"/>
      <name val="PT Sans Narrow"/>
      <family val="2"/>
      <charset val="204"/>
    </font>
    <font>
      <sz val="14"/>
      <color theme="0"/>
      <name val="PT Sans Narrow"/>
      <family val="2"/>
      <charset val="204"/>
    </font>
    <font>
      <b/>
      <sz val="10"/>
      <name val="PT Sans Narrow"/>
      <family val="2"/>
      <charset val="204"/>
    </font>
    <font>
      <sz val="12"/>
      <color theme="0" tint="-0.34998626667073579"/>
      <name val="PT Sans Narrow"/>
      <family val="2"/>
      <charset val="204"/>
    </font>
    <font>
      <b/>
      <sz val="12"/>
      <color theme="0" tint="-0.34998626667073579"/>
      <name val="PT Sans Narrow"/>
      <family val="2"/>
      <charset val="204"/>
    </font>
    <font>
      <u/>
      <sz val="10"/>
      <name val="PT Sans Narrow"/>
      <family val="2"/>
      <charset val="204"/>
    </font>
    <font>
      <i/>
      <sz val="10"/>
      <name val="PT Sans Narrow"/>
      <family val="2"/>
      <charset val="204"/>
    </font>
    <font>
      <b/>
      <sz val="10"/>
      <color theme="0"/>
      <name val="PT Sans Narrow"/>
      <family val="2"/>
      <charset val="204"/>
    </font>
    <font>
      <b/>
      <sz val="10"/>
      <color theme="4"/>
      <name val="PT Sans Narrow"/>
      <family val="2"/>
      <charset val="204"/>
    </font>
    <font>
      <b/>
      <i/>
      <sz val="10"/>
      <name val="PT Sans Narrow"/>
      <family val="2"/>
      <charset val="204"/>
    </font>
    <font>
      <b/>
      <sz val="12"/>
      <color theme="8"/>
      <name val="PT Sans Narrow"/>
      <family val="2"/>
      <charset val="204"/>
    </font>
    <font>
      <sz val="12"/>
      <color theme="0" tint="-0.14999847407452621"/>
      <name val="PT Sans Narrow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4D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8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723">
    <xf numFmtId="0" fontId="0" fillId="0" borderId="0" xfId="0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10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6" fillId="0" borderId="0" xfId="0" applyFont="1" applyAlignment="1">
      <alignment horizontal="left"/>
    </xf>
    <xf numFmtId="3" fontId="7" fillId="0" borderId="0" xfId="2" applyNumberFormat="1" applyFont="1" applyFill="1" applyBorder="1" applyAlignment="1"/>
    <xf numFmtId="0" fontId="7" fillId="0" borderId="11" xfId="0" applyFont="1" applyBorder="1" applyAlignment="1">
      <alignment horizontal="left"/>
    </xf>
    <xf numFmtId="3" fontId="7" fillId="0" borderId="11" xfId="0" applyNumberFormat="1" applyFont="1" applyBorder="1"/>
    <xf numFmtId="0" fontId="7" fillId="0" borderId="12" xfId="0" applyFont="1" applyBorder="1" applyAlignment="1">
      <alignment horizontal="left"/>
    </xf>
    <xf numFmtId="3" fontId="6" fillId="0" borderId="12" xfId="0" applyNumberFormat="1" applyFont="1" applyBorder="1"/>
    <xf numFmtId="0" fontId="7" fillId="0" borderId="0" xfId="0" applyFont="1"/>
    <xf numFmtId="0" fontId="6" fillId="0" borderId="1" xfId="0" applyFont="1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2" borderId="2" xfId="0" applyFont="1" applyFill="1" applyBorder="1"/>
    <xf numFmtId="0" fontId="6" fillId="2" borderId="0" xfId="0" applyFont="1" applyFill="1"/>
    <xf numFmtId="0" fontId="6" fillId="2" borderId="16" xfId="0" applyFont="1" applyFill="1" applyBorder="1"/>
    <xf numFmtId="165" fontId="6" fillId="0" borderId="2" xfId="2" applyNumberFormat="1" applyFont="1" applyBorder="1"/>
    <xf numFmtId="165" fontId="6" fillId="0" borderId="0" xfId="2" applyNumberFormat="1" applyFont="1" applyBorder="1"/>
    <xf numFmtId="165" fontId="6" fillId="0" borderId="7" xfId="2" applyNumberFormat="1" applyFont="1" applyBorder="1"/>
    <xf numFmtId="165" fontId="6" fillId="2" borderId="2" xfId="0" applyNumberFormat="1" applyFont="1" applyFill="1" applyBorder="1"/>
    <xf numFmtId="165" fontId="6" fillId="0" borderId="0" xfId="0" applyNumberFormat="1" applyFont="1"/>
    <xf numFmtId="0" fontId="7" fillId="0" borderId="8" xfId="0" applyFont="1" applyBorder="1" applyAlignment="1">
      <alignment horizontal="left"/>
    </xf>
    <xf numFmtId="165" fontId="7" fillId="2" borderId="8" xfId="2" applyNumberFormat="1" applyFont="1" applyFill="1" applyBorder="1"/>
    <xf numFmtId="165" fontId="7" fillId="2" borderId="13" xfId="2" applyNumberFormat="1" applyFont="1" applyFill="1" applyBorder="1"/>
    <xf numFmtId="165" fontId="7" fillId="2" borderId="15" xfId="2" applyNumberFormat="1" applyFont="1" applyFill="1" applyBorder="1"/>
    <xf numFmtId="165" fontId="7" fillId="0" borderId="0" xfId="2" applyNumberFormat="1" applyFont="1" applyFill="1" applyBorder="1"/>
    <xf numFmtId="165" fontId="6" fillId="0" borderId="2" xfId="0" applyNumberFormat="1" applyFont="1" applyBorder="1"/>
    <xf numFmtId="9" fontId="6" fillId="0" borderId="0" xfId="4" applyFont="1"/>
    <xf numFmtId="43" fontId="6" fillId="0" borderId="0" xfId="0" applyNumberFormat="1" applyFont="1"/>
    <xf numFmtId="0" fontId="7" fillId="0" borderId="0" xfId="0" applyFont="1" applyAlignment="1">
      <alignment horizontal="left"/>
    </xf>
    <xf numFmtId="165" fontId="7" fillId="0" borderId="0" xfId="2" applyNumberFormat="1" applyFont="1" applyBorder="1"/>
    <xf numFmtId="0" fontId="6" fillId="2" borderId="2" xfId="0" applyFont="1" applyFill="1" applyBorder="1" applyAlignment="1">
      <alignment horizontal="center"/>
    </xf>
    <xf numFmtId="43" fontId="6" fillId="0" borderId="0" xfId="2" applyFont="1"/>
    <xf numFmtId="0" fontId="7" fillId="3" borderId="10" xfId="0" applyFont="1" applyFill="1" applyBorder="1" applyAlignment="1">
      <alignment horizontal="center"/>
    </xf>
    <xf numFmtId="3" fontId="6" fillId="0" borderId="0" xfId="0" applyNumberFormat="1" applyFont="1"/>
    <xf numFmtId="3" fontId="6" fillId="3" borderId="0" xfId="0" applyNumberFormat="1" applyFont="1" applyFill="1"/>
    <xf numFmtId="168" fontId="7" fillId="0" borderId="0" xfId="5" applyNumberFormat="1" applyFont="1"/>
    <xf numFmtId="168" fontId="7" fillId="3" borderId="0" xfId="5" applyNumberFormat="1" applyFont="1" applyFill="1"/>
    <xf numFmtId="168" fontId="6" fillId="0" borderId="0" xfId="5" applyNumberFormat="1" applyFont="1"/>
    <xf numFmtId="10" fontId="10" fillId="0" borderId="0" xfId="4" applyNumberFormat="1" applyFont="1" applyAlignment="1">
      <alignment horizontal="center"/>
    </xf>
    <xf numFmtId="0" fontId="11" fillId="0" borderId="0" xfId="0" applyFont="1"/>
    <xf numFmtId="164" fontId="6" fillId="0" borderId="0" xfId="5" applyFont="1" applyFill="1" applyBorder="1" applyAlignment="1"/>
    <xf numFmtId="164" fontId="6" fillId="0" borderId="13" xfId="5" applyFont="1" applyFill="1" applyBorder="1" applyAlignment="1"/>
    <xf numFmtId="164" fontId="6" fillId="0" borderId="0" xfId="5" applyFont="1" applyBorder="1"/>
    <xf numFmtId="164" fontId="9" fillId="2" borderId="13" xfId="5" applyFont="1" applyFill="1" applyBorder="1"/>
    <xf numFmtId="164" fontId="8" fillId="0" borderId="0" xfId="5" applyFont="1" applyBorder="1"/>
    <xf numFmtId="168" fontId="6" fillId="0" borderId="6" xfId="5" applyNumberFormat="1" applyFont="1" applyBorder="1"/>
    <xf numFmtId="168" fontId="7" fillId="2" borderId="14" xfId="5" applyNumberFormat="1" applyFont="1" applyFill="1" applyBorder="1"/>
    <xf numFmtId="164" fontId="8" fillId="2" borderId="0" xfId="5" applyFont="1" applyFill="1" applyBorder="1"/>
    <xf numFmtId="164" fontId="7" fillId="2" borderId="13" xfId="5" applyFont="1" applyFill="1" applyBorder="1"/>
    <xf numFmtId="164" fontId="6" fillId="2" borderId="0" xfId="5" applyFont="1" applyFill="1" applyBorder="1"/>
    <xf numFmtId="168" fontId="6" fillId="2" borderId="16" xfId="5" applyNumberFormat="1" applyFont="1" applyFill="1" applyBorder="1"/>
    <xf numFmtId="168" fontId="7" fillId="2" borderId="17" xfId="5" applyNumberFormat="1" applyFont="1" applyFill="1" applyBorder="1"/>
    <xf numFmtId="164" fontId="6" fillId="0" borderId="0" xfId="5" applyFont="1"/>
    <xf numFmtId="164" fontId="6" fillId="3" borderId="0" xfId="5" applyFont="1" applyFill="1"/>
    <xf numFmtId="0" fontId="6" fillId="0" borderId="33" xfId="0" applyFont="1" applyBorder="1"/>
    <xf numFmtId="0" fontId="6" fillId="0" borderId="33" xfId="0" applyFont="1" applyBorder="1" applyAlignment="1">
      <alignment horizontal="left"/>
    </xf>
    <xf numFmtId="168" fontId="6" fillId="0" borderId="0" xfId="0" applyNumberFormat="1" applyFont="1"/>
    <xf numFmtId="164" fontId="6" fillId="0" borderId="0" xfId="0" applyNumberFormat="1" applyFont="1"/>
    <xf numFmtId="0" fontId="7" fillId="0" borderId="24" xfId="0" applyFont="1" applyBorder="1" applyAlignment="1">
      <alignment horizontal="center"/>
    </xf>
    <xf numFmtId="0" fontId="6" fillId="0" borderId="24" xfId="0" applyFont="1" applyBorder="1"/>
    <xf numFmtId="0" fontId="6" fillId="0" borderId="0" xfId="0" applyFont="1" applyAlignment="1">
      <alignment vertical="center"/>
    </xf>
    <xf numFmtId="168" fontId="7" fillId="0" borderId="24" xfId="5" applyNumberFormat="1" applyFont="1" applyBorder="1"/>
    <xf numFmtId="0" fontId="6" fillId="0" borderId="21" xfId="0" applyFont="1" applyBorder="1"/>
    <xf numFmtId="0" fontId="6" fillId="0" borderId="12" xfId="0" applyFont="1" applyBorder="1"/>
    <xf numFmtId="168" fontId="6" fillId="0" borderId="0" xfId="5" applyNumberFormat="1" applyFont="1" applyBorder="1"/>
    <xf numFmtId="168" fontId="6" fillId="6" borderId="0" xfId="0" applyNumberFormat="1" applyFont="1" applyFill="1"/>
    <xf numFmtId="10" fontId="6" fillId="0" borderId="0" xfId="4" applyNumberFormat="1" applyFont="1"/>
    <xf numFmtId="0" fontId="6" fillId="0" borderId="44" xfId="0" applyFont="1" applyBorder="1"/>
    <xf numFmtId="0" fontId="6" fillId="0" borderId="2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45" xfId="0" applyFont="1" applyBorder="1"/>
    <xf numFmtId="0" fontId="6" fillId="0" borderId="36" xfId="0" applyFont="1" applyBorder="1"/>
    <xf numFmtId="0" fontId="6" fillId="0" borderId="7" xfId="0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56" xfId="0" applyFont="1" applyBorder="1" applyAlignment="1">
      <alignment vertical="center"/>
    </xf>
    <xf numFmtId="0" fontId="6" fillId="4" borderId="19" xfId="0" applyFont="1" applyFill="1" applyBorder="1" applyAlignment="1">
      <alignment vertical="center"/>
    </xf>
    <xf numFmtId="168" fontId="6" fillId="0" borderId="19" xfId="5" applyNumberFormat="1" applyFont="1" applyBorder="1" applyAlignment="1">
      <alignment vertical="center"/>
    </xf>
    <xf numFmtId="9" fontId="6" fillId="4" borderId="19" xfId="0" applyNumberFormat="1" applyFont="1" applyFill="1" applyBorder="1" applyAlignment="1">
      <alignment vertical="center"/>
    </xf>
    <xf numFmtId="9" fontId="6" fillId="4" borderId="19" xfId="0" applyNumberFormat="1" applyFont="1" applyFill="1" applyBorder="1" applyAlignment="1">
      <alignment horizontal="center" vertical="center"/>
    </xf>
    <xf numFmtId="168" fontId="6" fillId="0" borderId="19" xfId="0" applyNumberFormat="1" applyFont="1" applyBorder="1" applyAlignment="1">
      <alignment vertical="center"/>
    </xf>
    <xf numFmtId="168" fontId="6" fillId="4" borderId="19" xfId="0" applyNumberFormat="1" applyFont="1" applyFill="1" applyBorder="1" applyAlignment="1">
      <alignment vertical="center"/>
    </xf>
    <xf numFmtId="9" fontId="6" fillId="0" borderId="19" xfId="0" applyNumberFormat="1" applyFont="1" applyBorder="1" applyAlignment="1">
      <alignment horizontal="center" vertical="center"/>
    </xf>
    <xf numFmtId="168" fontId="6" fillId="4" borderId="19" xfId="5" applyNumberFormat="1" applyFont="1" applyFill="1" applyBorder="1" applyAlignment="1">
      <alignment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9" fontId="6" fillId="0" borderId="0" xfId="4" applyFont="1" applyAlignment="1">
      <alignment horizontal="center" vertical="center"/>
    </xf>
    <xf numFmtId="9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4" borderId="30" xfId="0" applyNumberFormat="1" applyFont="1" applyFill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9" fontId="6" fillId="4" borderId="6" xfId="0" applyNumberFormat="1" applyFont="1" applyFill="1" applyBorder="1" applyAlignment="1">
      <alignment horizontal="center" vertical="center"/>
    </xf>
    <xf numFmtId="9" fontId="6" fillId="4" borderId="5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9" fontId="6" fillId="4" borderId="53" xfId="0" applyNumberFormat="1" applyFont="1" applyFill="1" applyBorder="1" applyAlignment="1">
      <alignment horizontal="center" vertical="center"/>
    </xf>
    <xf numFmtId="168" fontId="6" fillId="0" borderId="56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165" fontId="6" fillId="0" borderId="19" xfId="2" applyNumberFormat="1" applyFont="1" applyFill="1" applyBorder="1" applyAlignment="1">
      <alignment horizontal="center" vertical="center"/>
    </xf>
    <xf numFmtId="9" fontId="6" fillId="0" borderId="19" xfId="4" applyFont="1" applyBorder="1" applyAlignment="1">
      <alignment horizontal="center" vertical="center"/>
    </xf>
    <xf numFmtId="168" fontId="6" fillId="0" borderId="19" xfId="5" applyNumberFormat="1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165" fontId="6" fillId="4" borderId="19" xfId="2" applyNumberFormat="1" applyFont="1" applyFill="1" applyBorder="1" applyAlignment="1">
      <alignment vertical="center"/>
    </xf>
    <xf numFmtId="165" fontId="6" fillId="4" borderId="19" xfId="2" applyNumberFormat="1" applyFont="1" applyFill="1" applyBorder="1" applyAlignment="1">
      <alignment horizontal="center" vertical="center"/>
    </xf>
    <xf numFmtId="164" fontId="6" fillId="0" borderId="19" xfId="5" applyFont="1" applyBorder="1" applyAlignment="1">
      <alignment horizontal="center" vertical="center"/>
    </xf>
    <xf numFmtId="0" fontId="7" fillId="0" borderId="56" xfId="0" applyFont="1" applyBorder="1" applyAlignment="1">
      <alignment vertical="center"/>
    </xf>
    <xf numFmtId="165" fontId="6" fillId="0" borderId="19" xfId="2" applyNumberFormat="1" applyFont="1" applyBorder="1" applyAlignment="1">
      <alignment vertical="center"/>
    </xf>
    <xf numFmtId="165" fontId="6" fillId="0" borderId="19" xfId="2" applyNumberFormat="1" applyFont="1" applyBorder="1" applyAlignment="1">
      <alignment horizontal="center" vertical="center"/>
    </xf>
    <xf numFmtId="9" fontId="6" fillId="4" borderId="19" xfId="4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8" fontId="6" fillId="4" borderId="19" xfId="5" applyNumberFormat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9" xfId="0" applyFont="1" applyBorder="1" applyAlignment="1">
      <alignment vertical="center"/>
    </xf>
    <xf numFmtId="0" fontId="6" fillId="9" borderId="58" xfId="0" applyFont="1" applyFill="1" applyBorder="1" applyAlignment="1">
      <alignment vertical="center"/>
    </xf>
    <xf numFmtId="168" fontId="6" fillId="0" borderId="60" xfId="0" applyNumberFormat="1" applyFont="1" applyBorder="1" applyAlignment="1">
      <alignment vertical="center"/>
    </xf>
    <xf numFmtId="168" fontId="6" fillId="9" borderId="20" xfId="0" applyNumberFormat="1" applyFont="1" applyFill="1" applyBorder="1" applyAlignment="1">
      <alignment vertical="center"/>
    </xf>
    <xf numFmtId="165" fontId="6" fillId="0" borderId="60" xfId="2" applyNumberFormat="1" applyFont="1" applyFill="1" applyBorder="1" applyAlignment="1">
      <alignment horizontal="center" vertical="center"/>
    </xf>
    <xf numFmtId="165" fontId="6" fillId="9" borderId="20" xfId="2" applyNumberFormat="1" applyFont="1" applyFill="1" applyBorder="1" applyAlignment="1">
      <alignment horizontal="center" vertical="center"/>
    </xf>
    <xf numFmtId="168" fontId="6" fillId="0" borderId="60" xfId="5" applyNumberFormat="1" applyFont="1" applyBorder="1" applyAlignment="1">
      <alignment vertical="center"/>
    </xf>
    <xf numFmtId="168" fontId="6" fillId="9" borderId="20" xfId="5" applyNumberFormat="1" applyFont="1" applyFill="1" applyBorder="1" applyAlignment="1">
      <alignment vertical="center"/>
    </xf>
    <xf numFmtId="9" fontId="6" fillId="0" borderId="60" xfId="4" applyFont="1" applyBorder="1" applyAlignment="1">
      <alignment horizontal="center" vertical="center"/>
    </xf>
    <xf numFmtId="9" fontId="6" fillId="9" borderId="20" xfId="4" applyFont="1" applyFill="1" applyBorder="1" applyAlignment="1">
      <alignment horizontal="center" vertical="center"/>
    </xf>
    <xf numFmtId="168" fontId="6" fillId="0" borderId="60" xfId="5" applyNumberFormat="1" applyFont="1" applyBorder="1" applyAlignment="1">
      <alignment horizontal="center" vertical="center"/>
    </xf>
    <xf numFmtId="168" fontId="6" fillId="9" borderId="20" xfId="5" applyNumberFormat="1" applyFont="1" applyFill="1" applyBorder="1" applyAlignment="1">
      <alignment horizontal="center" vertical="center"/>
    </xf>
    <xf numFmtId="0" fontId="6" fillId="0" borderId="60" xfId="0" applyFont="1" applyBorder="1" applyAlignment="1">
      <alignment vertical="center"/>
    </xf>
    <xf numFmtId="0" fontId="6" fillId="9" borderId="20" xfId="0" applyFont="1" applyFill="1" applyBorder="1" applyAlignment="1">
      <alignment vertical="center"/>
    </xf>
    <xf numFmtId="0" fontId="7" fillId="0" borderId="60" xfId="0" applyFont="1" applyBorder="1" applyAlignment="1">
      <alignment vertical="center"/>
    </xf>
    <xf numFmtId="0" fontId="7" fillId="9" borderId="20" xfId="0" applyFont="1" applyFill="1" applyBorder="1" applyAlignment="1">
      <alignment vertical="center"/>
    </xf>
    <xf numFmtId="168" fontId="7" fillId="0" borderId="61" xfId="0" applyNumberFormat="1" applyFont="1" applyBorder="1" applyAlignment="1">
      <alignment vertical="center"/>
    </xf>
    <xf numFmtId="168" fontId="7" fillId="0" borderId="62" xfId="0" applyNumberFormat="1" applyFont="1" applyBorder="1" applyAlignment="1">
      <alignment vertical="center"/>
    </xf>
    <xf numFmtId="168" fontId="7" fillId="9" borderId="63" xfId="0" applyNumberFormat="1" applyFont="1" applyFill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47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168" fontId="7" fillId="0" borderId="64" xfId="0" applyNumberFormat="1" applyFont="1" applyBorder="1" applyAlignment="1">
      <alignment vertical="center"/>
    </xf>
    <xf numFmtId="168" fontId="7" fillId="0" borderId="51" xfId="0" applyNumberFormat="1" applyFont="1" applyBorder="1" applyAlignment="1">
      <alignment vertical="center"/>
    </xf>
    <xf numFmtId="168" fontId="7" fillId="9" borderId="65" xfId="0" applyNumberFormat="1" applyFont="1" applyFill="1" applyBorder="1" applyAlignment="1">
      <alignment vertical="center"/>
    </xf>
    <xf numFmtId="0" fontId="6" fillId="10" borderId="58" xfId="0" applyFont="1" applyFill="1" applyBorder="1" applyAlignment="1">
      <alignment vertical="center"/>
    </xf>
    <xf numFmtId="168" fontId="6" fillId="10" borderId="20" xfId="0" applyNumberFormat="1" applyFont="1" applyFill="1" applyBorder="1" applyAlignment="1">
      <alignment vertical="center"/>
    </xf>
    <xf numFmtId="165" fontId="6" fillId="10" borderId="20" xfId="2" applyNumberFormat="1" applyFont="1" applyFill="1" applyBorder="1" applyAlignment="1">
      <alignment horizontal="center" vertical="center"/>
    </xf>
    <xf numFmtId="168" fontId="6" fillId="10" borderId="20" xfId="5" applyNumberFormat="1" applyFont="1" applyFill="1" applyBorder="1" applyAlignment="1">
      <alignment vertical="center"/>
    </xf>
    <xf numFmtId="168" fontId="7" fillId="10" borderId="65" xfId="0" applyNumberFormat="1" applyFont="1" applyFill="1" applyBorder="1" applyAlignment="1">
      <alignment vertical="center"/>
    </xf>
    <xf numFmtId="9" fontId="6" fillId="10" borderId="20" xfId="4" applyFont="1" applyFill="1" applyBorder="1" applyAlignment="1">
      <alignment horizontal="center" vertical="center"/>
    </xf>
    <xf numFmtId="168" fontId="6" fillId="10" borderId="20" xfId="5" applyNumberFormat="1" applyFont="1" applyFill="1" applyBorder="1" applyAlignment="1">
      <alignment horizontal="center" vertical="center"/>
    </xf>
    <xf numFmtId="0" fontId="6" fillId="10" borderId="20" xfId="0" applyFont="1" applyFill="1" applyBorder="1" applyAlignment="1">
      <alignment vertical="center"/>
    </xf>
    <xf numFmtId="0" fontId="7" fillId="10" borderId="20" xfId="0" applyFont="1" applyFill="1" applyBorder="1" applyAlignment="1">
      <alignment vertical="center"/>
    </xf>
    <xf numFmtId="168" fontId="7" fillId="10" borderId="63" xfId="0" applyNumberFormat="1" applyFont="1" applyFill="1" applyBorder="1" applyAlignment="1">
      <alignment vertical="center"/>
    </xf>
    <xf numFmtId="165" fontId="6" fillId="4" borderId="60" xfId="2" applyNumberFormat="1" applyFont="1" applyFill="1" applyBorder="1" applyAlignment="1">
      <alignment horizontal="center" vertical="center"/>
    </xf>
    <xf numFmtId="164" fontId="6" fillId="4" borderId="19" xfId="5" applyFont="1" applyFill="1" applyBorder="1" applyAlignment="1">
      <alignment horizontal="center" vertical="center"/>
    </xf>
    <xf numFmtId="9" fontId="7" fillId="0" borderId="60" xfId="0" applyNumberFormat="1" applyFont="1" applyBorder="1" applyAlignment="1">
      <alignment horizontal="center" vertical="center"/>
    </xf>
    <xf numFmtId="9" fontId="7" fillId="0" borderId="19" xfId="0" applyNumberFormat="1" applyFont="1" applyBorder="1" applyAlignment="1">
      <alignment horizontal="center" vertical="center"/>
    </xf>
    <xf numFmtId="9" fontId="7" fillId="9" borderId="20" xfId="0" applyNumberFormat="1" applyFont="1" applyFill="1" applyBorder="1" applyAlignment="1">
      <alignment horizontal="center" vertical="center"/>
    </xf>
    <xf numFmtId="9" fontId="7" fillId="4" borderId="19" xfId="0" applyNumberFormat="1" applyFont="1" applyFill="1" applyBorder="1" applyAlignment="1">
      <alignment horizontal="center" vertical="center"/>
    </xf>
    <xf numFmtId="9" fontId="7" fillId="10" borderId="20" xfId="0" applyNumberFormat="1" applyFont="1" applyFill="1" applyBorder="1" applyAlignment="1">
      <alignment horizontal="center" vertical="center"/>
    </xf>
    <xf numFmtId="9" fontId="7" fillId="0" borderId="60" xfId="4" applyFont="1" applyBorder="1" applyAlignment="1">
      <alignment horizontal="center" vertical="center"/>
    </xf>
    <xf numFmtId="9" fontId="7" fillId="0" borderId="19" xfId="4" applyFont="1" applyBorder="1" applyAlignment="1">
      <alignment horizontal="center" vertical="center"/>
    </xf>
    <xf numFmtId="9" fontId="7" fillId="9" borderId="20" xfId="4" applyFont="1" applyFill="1" applyBorder="1" applyAlignment="1">
      <alignment horizontal="center" vertical="center"/>
    </xf>
    <xf numFmtId="9" fontId="7" fillId="4" borderId="60" xfId="4" applyFont="1" applyFill="1" applyBorder="1" applyAlignment="1">
      <alignment horizontal="center" vertical="center"/>
    </xf>
    <xf numFmtId="9" fontId="7" fillId="10" borderId="20" xfId="4" applyFont="1" applyFill="1" applyBorder="1" applyAlignment="1">
      <alignment horizontal="center" vertical="center"/>
    </xf>
    <xf numFmtId="0" fontId="6" fillId="4" borderId="60" xfId="0" applyFont="1" applyFill="1" applyBorder="1" applyAlignment="1">
      <alignment vertical="center"/>
    </xf>
    <xf numFmtId="10" fontId="6" fillId="0" borderId="19" xfId="4" applyNumberFormat="1" applyFont="1" applyFill="1" applyBorder="1" applyAlignment="1">
      <alignment horizontal="center" vertical="center"/>
    </xf>
    <xf numFmtId="10" fontId="6" fillId="10" borderId="20" xfId="4" applyNumberFormat="1" applyFont="1" applyFill="1" applyBorder="1" applyAlignment="1">
      <alignment horizontal="center" vertical="center"/>
    </xf>
    <xf numFmtId="10" fontId="6" fillId="0" borderId="60" xfId="4" applyNumberFormat="1" applyFont="1" applyFill="1" applyBorder="1" applyAlignment="1">
      <alignment horizontal="center" vertical="center"/>
    </xf>
    <xf numFmtId="10" fontId="6" fillId="0" borderId="19" xfId="4" applyNumberFormat="1" applyFont="1" applyBorder="1" applyAlignment="1">
      <alignment horizontal="center" vertical="center"/>
    </xf>
    <xf numFmtId="10" fontId="7" fillId="0" borderId="60" xfId="4" applyNumberFormat="1" applyFont="1" applyFill="1" applyBorder="1" applyAlignment="1">
      <alignment horizontal="center" vertical="center"/>
    </xf>
    <xf numFmtId="10" fontId="7" fillId="0" borderId="19" xfId="4" applyNumberFormat="1" applyFont="1" applyBorder="1" applyAlignment="1">
      <alignment horizontal="center" vertical="center"/>
    </xf>
    <xf numFmtId="10" fontId="7" fillId="10" borderId="20" xfId="4" applyNumberFormat="1" applyFont="1" applyFill="1" applyBorder="1" applyAlignment="1">
      <alignment horizontal="center" vertical="center"/>
    </xf>
    <xf numFmtId="10" fontId="7" fillId="0" borderId="61" xfId="4" applyNumberFormat="1" applyFont="1" applyBorder="1" applyAlignment="1">
      <alignment vertical="center"/>
    </xf>
    <xf numFmtId="10" fontId="7" fillId="0" borderId="62" xfId="4" applyNumberFormat="1" applyFont="1" applyBorder="1" applyAlignment="1">
      <alignment vertical="center"/>
    </xf>
    <xf numFmtId="10" fontId="7" fillId="10" borderId="63" xfId="4" applyNumberFormat="1" applyFont="1" applyFill="1" applyBorder="1" applyAlignment="1">
      <alignment vertical="center"/>
    </xf>
    <xf numFmtId="0" fontId="6" fillId="0" borderId="53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165" fontId="6" fillId="0" borderId="3" xfId="2" applyNumberFormat="1" applyFont="1" applyBorder="1"/>
    <xf numFmtId="168" fontId="6" fillId="0" borderId="5" xfId="5" applyNumberFormat="1" applyFont="1" applyBorder="1"/>
    <xf numFmtId="168" fontId="6" fillId="0" borderId="4" xfId="5" applyNumberFormat="1" applyFont="1" applyBorder="1"/>
    <xf numFmtId="0" fontId="6" fillId="0" borderId="31" xfId="0" applyFont="1" applyBorder="1" applyAlignment="1">
      <alignment horizontal="center"/>
    </xf>
    <xf numFmtId="0" fontId="6" fillId="0" borderId="59" xfId="0" applyFont="1" applyBorder="1"/>
    <xf numFmtId="168" fontId="6" fillId="0" borderId="9" xfId="5" applyNumberFormat="1" applyFont="1" applyBorder="1"/>
    <xf numFmtId="168" fontId="6" fillId="0" borderId="46" xfId="5" applyNumberFormat="1" applyFont="1" applyBorder="1"/>
    <xf numFmtId="0" fontId="7" fillId="0" borderId="67" xfId="0" applyFont="1" applyBorder="1"/>
    <xf numFmtId="0" fontId="7" fillId="0" borderId="15" xfId="0" applyFont="1" applyBorder="1"/>
    <xf numFmtId="0" fontId="7" fillId="0" borderId="13" xfId="0" applyFont="1" applyBorder="1"/>
    <xf numFmtId="168" fontId="7" fillId="0" borderId="14" xfId="5" applyNumberFormat="1" applyFont="1" applyBorder="1"/>
    <xf numFmtId="168" fontId="7" fillId="0" borderId="17" xfId="5" applyNumberFormat="1" applyFont="1" applyBorder="1"/>
    <xf numFmtId="0" fontId="6" fillId="0" borderId="26" xfId="0" applyFont="1" applyBorder="1" applyAlignment="1">
      <alignment horizontal="center"/>
    </xf>
    <xf numFmtId="9" fontId="6" fillId="0" borderId="46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4" borderId="6" xfId="0" applyNumberFormat="1" applyFont="1" applyFill="1" applyBorder="1" applyAlignment="1">
      <alignment horizontal="center"/>
    </xf>
    <xf numFmtId="0" fontId="6" fillId="0" borderId="67" xfId="0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9" fontId="6" fillId="4" borderId="21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3" fontId="6" fillId="0" borderId="0" xfId="2" applyNumberFormat="1" applyFont="1" applyFill="1" applyBorder="1" applyAlignment="1"/>
    <xf numFmtId="0" fontId="7" fillId="0" borderId="34" xfId="0" applyFont="1" applyBorder="1" applyAlignment="1">
      <alignment horizontal="left"/>
    </xf>
    <xf numFmtId="0" fontId="7" fillId="0" borderId="50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6" fillId="0" borderId="45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64" fontId="6" fillId="0" borderId="46" xfId="5" applyFont="1" applyFill="1" applyBorder="1" applyAlignment="1"/>
    <xf numFmtId="164" fontId="6" fillId="0" borderId="17" xfId="5" applyFont="1" applyFill="1" applyBorder="1" applyAlignment="1"/>
    <xf numFmtId="0" fontId="7" fillId="3" borderId="35" xfId="0" applyFont="1" applyFill="1" applyBorder="1" applyAlignment="1">
      <alignment horizontal="center"/>
    </xf>
    <xf numFmtId="3" fontId="6" fillId="3" borderId="46" xfId="0" applyNumberFormat="1" applyFont="1" applyFill="1" applyBorder="1"/>
    <xf numFmtId="164" fontId="6" fillId="3" borderId="46" xfId="5" applyFont="1" applyFill="1" applyBorder="1"/>
    <xf numFmtId="168" fontId="7" fillId="0" borderId="13" xfId="5" applyNumberFormat="1" applyFont="1" applyBorder="1"/>
    <xf numFmtId="168" fontId="7" fillId="3" borderId="17" xfId="5" applyNumberFormat="1" applyFont="1" applyFill="1" applyBorder="1"/>
    <xf numFmtId="0" fontId="7" fillId="0" borderId="61" xfId="0" applyFont="1" applyBorder="1"/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165" fontId="6" fillId="0" borderId="0" xfId="2" applyNumberFormat="1" applyFont="1" applyBorder="1" applyAlignment="1">
      <alignment horizontal="center" vertical="center"/>
    </xf>
    <xf numFmtId="0" fontId="13" fillId="8" borderId="40" xfId="0" applyFont="1" applyFill="1" applyBorder="1" applyAlignment="1">
      <alignment vertical="center"/>
    </xf>
    <xf numFmtId="165" fontId="6" fillId="4" borderId="0" xfId="2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165" fontId="7" fillId="0" borderId="48" xfId="2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10" borderId="20" xfId="0" applyFont="1" applyFill="1" applyBorder="1" applyAlignment="1">
      <alignment horizontal="center" vertical="center"/>
    </xf>
    <xf numFmtId="0" fontId="6" fillId="0" borderId="69" xfId="0" applyFont="1" applyBorder="1" applyAlignment="1">
      <alignment vertical="center"/>
    </xf>
    <xf numFmtId="0" fontId="6" fillId="0" borderId="60" xfId="0" quotePrefix="1" applyFont="1" applyBorder="1" applyAlignment="1">
      <alignment vertical="center"/>
    </xf>
    <xf numFmtId="0" fontId="7" fillId="0" borderId="64" xfId="0" quotePrefix="1" applyFont="1" applyBorder="1" applyAlignment="1">
      <alignment vertical="center"/>
    </xf>
    <xf numFmtId="0" fontId="6" fillId="10" borderId="38" xfId="0" applyFont="1" applyFill="1" applyBorder="1" applyAlignment="1">
      <alignment horizontal="center" vertical="center"/>
    </xf>
    <xf numFmtId="0" fontId="6" fillId="0" borderId="46" xfId="0" applyFont="1" applyBorder="1" applyAlignment="1">
      <alignment vertical="center"/>
    </xf>
    <xf numFmtId="3" fontId="6" fillId="0" borderId="45" xfId="0" applyNumberFormat="1" applyFont="1" applyBorder="1" applyAlignment="1">
      <alignment vertical="center"/>
    </xf>
    <xf numFmtId="3" fontId="6" fillId="0" borderId="46" xfId="0" applyNumberFormat="1" applyFont="1" applyBorder="1" applyAlignment="1">
      <alignment vertical="center"/>
    </xf>
    <xf numFmtId="165" fontId="7" fillId="10" borderId="65" xfId="2" applyNumberFormat="1" applyFont="1" applyFill="1" applyBorder="1" applyAlignment="1">
      <alignment horizontal="center" vertical="center"/>
    </xf>
    <xf numFmtId="165" fontId="6" fillId="0" borderId="0" xfId="2" applyNumberFormat="1" applyFont="1" applyFill="1" applyBorder="1" applyAlignment="1">
      <alignment horizontal="center" vertical="center"/>
    </xf>
    <xf numFmtId="2" fontId="6" fillId="4" borderId="0" xfId="0" applyNumberFormat="1" applyFont="1" applyFill="1" applyAlignment="1">
      <alignment horizontal="right" vertical="center"/>
    </xf>
    <xf numFmtId="9" fontId="7" fillId="0" borderId="67" xfId="0" applyNumberFormat="1" applyFont="1" applyBorder="1" applyAlignment="1">
      <alignment horizontal="center" vertical="center"/>
    </xf>
    <xf numFmtId="9" fontId="7" fillId="0" borderId="70" xfId="0" applyNumberFormat="1" applyFont="1" applyBorder="1" applyAlignment="1">
      <alignment horizontal="center" vertical="center"/>
    </xf>
    <xf numFmtId="0" fontId="6" fillId="7" borderId="58" xfId="0" applyFont="1" applyFill="1" applyBorder="1" applyAlignment="1">
      <alignment vertical="center"/>
    </xf>
    <xf numFmtId="168" fontId="6" fillId="7" borderId="20" xfId="0" applyNumberFormat="1" applyFont="1" applyFill="1" applyBorder="1" applyAlignment="1">
      <alignment vertical="center"/>
    </xf>
    <xf numFmtId="165" fontId="6" fillId="7" borderId="20" xfId="2" applyNumberFormat="1" applyFont="1" applyFill="1" applyBorder="1" applyAlignment="1">
      <alignment horizontal="center" vertical="center"/>
    </xf>
    <xf numFmtId="168" fontId="6" fillId="7" borderId="20" xfId="5" applyNumberFormat="1" applyFont="1" applyFill="1" applyBorder="1" applyAlignment="1">
      <alignment vertical="center"/>
    </xf>
    <xf numFmtId="168" fontId="7" fillId="7" borderId="65" xfId="0" applyNumberFormat="1" applyFont="1" applyFill="1" applyBorder="1" applyAlignment="1">
      <alignment vertical="center"/>
    </xf>
    <xf numFmtId="9" fontId="7" fillId="7" borderId="41" xfId="0" applyNumberFormat="1" applyFont="1" applyFill="1" applyBorder="1" applyAlignment="1">
      <alignment horizontal="center" vertical="center"/>
    </xf>
    <xf numFmtId="168" fontId="6" fillId="0" borderId="60" xfId="5" applyNumberFormat="1" applyFont="1" applyFill="1" applyBorder="1" applyAlignment="1">
      <alignment vertical="center"/>
    </xf>
    <xf numFmtId="168" fontId="6" fillId="0" borderId="19" xfId="5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2" fontId="16" fillId="0" borderId="0" xfId="0" applyNumberFormat="1" applyFont="1" applyAlignment="1">
      <alignment horizontal="center" vertical="center"/>
    </xf>
    <xf numFmtId="0" fontId="16" fillId="0" borderId="45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53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164" fontId="17" fillId="0" borderId="0" xfId="5" applyFont="1" applyBorder="1" applyAlignment="1">
      <alignment vertical="center"/>
    </xf>
    <xf numFmtId="164" fontId="16" fillId="0" borderId="46" xfId="5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64" fontId="17" fillId="0" borderId="17" xfId="5" applyFont="1" applyBorder="1" applyAlignment="1">
      <alignment horizontal="center" vertical="center"/>
    </xf>
    <xf numFmtId="164" fontId="16" fillId="0" borderId="0" xfId="5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 wrapText="1"/>
    </xf>
    <xf numFmtId="0" fontId="18" fillId="0" borderId="68" xfId="0" applyFont="1" applyBorder="1" applyAlignment="1">
      <alignment vertical="center"/>
    </xf>
    <xf numFmtId="0" fontId="18" fillId="0" borderId="69" xfId="0" applyFont="1" applyBorder="1" applyAlignment="1">
      <alignment vertical="center"/>
    </xf>
    <xf numFmtId="0" fontId="16" fillId="14" borderId="72" xfId="0" applyFont="1" applyFill="1" applyBorder="1" applyAlignment="1">
      <alignment horizontal="center" vertical="center"/>
    </xf>
    <xf numFmtId="0" fontId="7" fillId="0" borderId="60" xfId="0" applyFont="1" applyBorder="1" applyAlignment="1">
      <alignment horizontal="right" vertical="center"/>
    </xf>
    <xf numFmtId="165" fontId="8" fillId="0" borderId="0" xfId="2" applyNumberFormat="1" applyFont="1" applyFill="1" applyBorder="1" applyAlignment="1">
      <alignment horizontal="right" vertical="center"/>
    </xf>
    <xf numFmtId="0" fontId="8" fillId="0" borderId="60" xfId="0" applyFont="1" applyBorder="1" applyAlignment="1">
      <alignment horizontal="right" vertical="center"/>
    </xf>
    <xf numFmtId="165" fontId="6" fillId="0" borderId="45" xfId="0" applyNumberFormat="1" applyFont="1" applyBorder="1" applyAlignment="1">
      <alignment vertical="center"/>
    </xf>
    <xf numFmtId="165" fontId="7" fillId="0" borderId="32" xfId="2" applyNumberFormat="1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5" fontId="6" fillId="0" borderId="46" xfId="2" applyNumberFormat="1" applyFont="1" applyBorder="1" applyAlignment="1">
      <alignment vertical="center"/>
    </xf>
    <xf numFmtId="0" fontId="7" fillId="12" borderId="73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65" fontId="6" fillId="0" borderId="44" xfId="0" applyNumberFormat="1" applyFont="1" applyBorder="1" applyAlignment="1">
      <alignment vertical="center"/>
    </xf>
    <xf numFmtId="3" fontId="6" fillId="0" borderId="74" xfId="0" applyNumberFormat="1" applyFont="1" applyBorder="1" applyAlignment="1">
      <alignment vertical="center"/>
    </xf>
    <xf numFmtId="165" fontId="16" fillId="0" borderId="46" xfId="2" applyNumberFormat="1" applyFont="1" applyBorder="1" applyAlignment="1">
      <alignment horizontal="center" vertical="center"/>
    </xf>
    <xf numFmtId="165" fontId="16" fillId="0" borderId="17" xfId="2" applyNumberFormat="1" applyFont="1" applyBorder="1" applyAlignment="1">
      <alignment horizontal="center" vertical="center"/>
    </xf>
    <xf numFmtId="9" fontId="16" fillId="4" borderId="0" xfId="0" applyNumberFormat="1" applyFont="1" applyFill="1" applyAlignment="1">
      <alignment horizontal="center" vertical="center"/>
    </xf>
    <xf numFmtId="164" fontId="16" fillId="14" borderId="0" xfId="5" applyFont="1" applyFill="1" applyBorder="1" applyAlignment="1">
      <alignment horizontal="center" vertical="center"/>
    </xf>
    <xf numFmtId="164" fontId="16" fillId="4" borderId="0" xfId="5" applyFont="1" applyFill="1" applyAlignment="1">
      <alignment horizontal="center" vertical="center"/>
    </xf>
    <xf numFmtId="2" fontId="16" fillId="14" borderId="0" xfId="2" applyNumberFormat="1" applyFont="1" applyFill="1" applyBorder="1" applyAlignment="1">
      <alignment horizontal="center" vertical="center"/>
    </xf>
    <xf numFmtId="0" fontId="16" fillId="10" borderId="72" xfId="0" applyFont="1" applyFill="1" applyBorder="1" applyAlignment="1">
      <alignment horizontal="center" vertical="center"/>
    </xf>
    <xf numFmtId="43" fontId="16" fillId="0" borderId="46" xfId="2" applyFont="1" applyBorder="1" applyAlignment="1">
      <alignment horizontal="center" vertical="center"/>
    </xf>
    <xf numFmtId="43" fontId="16" fillId="0" borderId="17" xfId="2" applyFont="1" applyBorder="1" applyAlignment="1">
      <alignment horizontal="center" vertical="center"/>
    </xf>
    <xf numFmtId="165" fontId="16" fillId="14" borderId="46" xfId="2" applyNumberFormat="1" applyFont="1" applyFill="1" applyBorder="1" applyAlignment="1">
      <alignment horizontal="center" vertical="center"/>
    </xf>
    <xf numFmtId="169" fontId="0" fillId="0" borderId="0" xfId="0" applyNumberFormat="1" applyAlignment="1">
      <alignment vertical="center"/>
    </xf>
    <xf numFmtId="164" fontId="8" fillId="0" borderId="0" xfId="5" applyFont="1" applyFill="1" applyBorder="1" applyAlignment="1">
      <alignment horizontal="right" vertical="center"/>
    </xf>
    <xf numFmtId="168" fontId="6" fillId="0" borderId="0" xfId="5" applyNumberFormat="1" applyFont="1" applyFill="1" applyBorder="1" applyAlignment="1">
      <alignment horizontal="center" vertical="center"/>
    </xf>
    <xf numFmtId="168" fontId="6" fillId="0" borderId="0" xfId="5" applyNumberFormat="1" applyFont="1" applyBorder="1" applyAlignment="1">
      <alignment horizontal="center" vertical="center"/>
    </xf>
    <xf numFmtId="168" fontId="7" fillId="0" borderId="48" xfId="5" applyNumberFormat="1" applyFont="1" applyBorder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10" borderId="60" xfId="0" applyFont="1" applyFill="1" applyBorder="1" applyAlignment="1">
      <alignment horizontal="right" vertical="center"/>
    </xf>
    <xf numFmtId="0" fontId="6" fillId="10" borderId="0" xfId="0" applyFont="1" applyFill="1" applyAlignment="1">
      <alignment horizontal="center" vertical="center"/>
    </xf>
    <xf numFmtId="0" fontId="6" fillId="10" borderId="60" xfId="0" applyFont="1" applyFill="1" applyBorder="1" applyAlignment="1">
      <alignment vertical="center"/>
    </xf>
    <xf numFmtId="168" fontId="6" fillId="10" borderId="0" xfId="5" applyNumberFormat="1" applyFont="1" applyFill="1" applyBorder="1" applyAlignment="1">
      <alignment horizontal="center" vertical="center"/>
    </xf>
    <xf numFmtId="0" fontId="6" fillId="10" borderId="60" xfId="0" quotePrefix="1" applyFont="1" applyFill="1" applyBorder="1" applyAlignment="1">
      <alignment vertical="center"/>
    </xf>
    <xf numFmtId="0" fontId="7" fillId="10" borderId="64" xfId="0" quotePrefix="1" applyFont="1" applyFill="1" applyBorder="1" applyAlignment="1">
      <alignment vertical="center"/>
    </xf>
    <xf numFmtId="168" fontId="7" fillId="10" borderId="48" xfId="5" applyNumberFormat="1" applyFont="1" applyFill="1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right"/>
    </xf>
    <xf numFmtId="0" fontId="7" fillId="0" borderId="74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4" fontId="5" fillId="0" borderId="0" xfId="5" applyFont="1"/>
    <xf numFmtId="0" fontId="19" fillId="0" borderId="30" xfId="0" applyFont="1" applyBorder="1" applyAlignment="1">
      <alignment horizontal="center"/>
    </xf>
    <xf numFmtId="164" fontId="19" fillId="0" borderId="30" xfId="5" applyFont="1" applyBorder="1" applyAlignment="1">
      <alignment horizontal="center"/>
    </xf>
    <xf numFmtId="164" fontId="5" fillId="9" borderId="0" xfId="5" applyFont="1" applyFill="1"/>
    <xf numFmtId="164" fontId="19" fillId="9" borderId="30" xfId="5" applyFont="1" applyFill="1" applyBorder="1" applyAlignment="1">
      <alignment horizontal="center"/>
    </xf>
    <xf numFmtId="10" fontId="5" fillId="4" borderId="0" xfId="0" applyNumberFormat="1" applyFont="1" applyFill="1"/>
    <xf numFmtId="0" fontId="19" fillId="0" borderId="0" xfId="0" applyFont="1"/>
    <xf numFmtId="0" fontId="19" fillId="9" borderId="32" xfId="0" applyFont="1" applyFill="1" applyBorder="1"/>
    <xf numFmtId="0" fontId="19" fillId="9" borderId="48" xfId="0" applyFont="1" applyFill="1" applyBorder="1"/>
    <xf numFmtId="164" fontId="19" fillId="9" borderId="48" xfId="0" applyNumberFormat="1" applyFont="1" applyFill="1" applyBorder="1"/>
    <xf numFmtId="164" fontId="19" fillId="9" borderId="49" xfId="0" applyNumberFormat="1" applyFont="1" applyFill="1" applyBorder="1"/>
    <xf numFmtId="0" fontId="2" fillId="0" borderId="0" xfId="0" applyFont="1"/>
    <xf numFmtId="0" fontId="6" fillId="9" borderId="18" xfId="0" applyFont="1" applyFill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7" fillId="0" borderId="27" xfId="0" applyFont="1" applyBorder="1"/>
    <xf numFmtId="168" fontId="7" fillId="9" borderId="18" xfId="0" applyNumberFormat="1" applyFont="1" applyFill="1" applyBorder="1"/>
    <xf numFmtId="168" fontId="7" fillId="0" borderId="38" xfId="0" applyNumberFormat="1" applyFont="1" applyBorder="1"/>
    <xf numFmtId="0" fontId="6" fillId="0" borderId="60" xfId="0" applyFont="1" applyBorder="1"/>
    <xf numFmtId="168" fontId="6" fillId="9" borderId="19" xfId="0" applyNumberFormat="1" applyFont="1" applyFill="1" applyBorder="1"/>
    <xf numFmtId="168" fontId="6" fillId="0" borderId="20" xfId="0" applyNumberFormat="1" applyFont="1" applyBorder="1"/>
    <xf numFmtId="0" fontId="6" fillId="9" borderId="19" xfId="0" applyFont="1" applyFill="1" applyBorder="1"/>
    <xf numFmtId="0" fontId="6" fillId="0" borderId="20" xfId="0" applyFont="1" applyBorder="1"/>
    <xf numFmtId="0" fontId="6" fillId="0" borderId="26" xfId="0" applyFont="1" applyBorder="1"/>
    <xf numFmtId="0" fontId="7" fillId="9" borderId="11" xfId="0" applyFont="1" applyFill="1" applyBorder="1" applyAlignment="1">
      <alignment horizontal="center"/>
    </xf>
    <xf numFmtId="168" fontId="7" fillId="9" borderId="11" xfId="5" applyNumberFormat="1" applyFont="1" applyFill="1" applyBorder="1"/>
    <xf numFmtId="168" fontId="7" fillId="9" borderId="62" xfId="0" applyNumberFormat="1" applyFont="1" applyFill="1" applyBorder="1"/>
    <xf numFmtId="168" fontId="7" fillId="0" borderId="63" xfId="0" applyNumberFormat="1" applyFont="1" applyBorder="1"/>
    <xf numFmtId="0" fontId="7" fillId="0" borderId="1" xfId="0" applyFont="1" applyBorder="1"/>
    <xf numFmtId="0" fontId="7" fillId="0" borderId="60" xfId="0" applyFont="1" applyBorder="1" applyAlignment="1">
      <alignment horizontal="right"/>
    </xf>
    <xf numFmtId="168" fontId="7" fillId="0" borderId="64" xfId="5" applyNumberFormat="1" applyFont="1" applyBorder="1" applyAlignment="1">
      <alignment horizontal="left" vertical="center"/>
    </xf>
    <xf numFmtId="0" fontId="20" fillId="0" borderId="60" xfId="0" applyFont="1" applyBorder="1"/>
    <xf numFmtId="0" fontId="20" fillId="0" borderId="0" xfId="0" applyFont="1"/>
    <xf numFmtId="168" fontId="21" fillId="0" borderId="64" xfId="5" applyNumberFormat="1" applyFont="1" applyBorder="1" applyAlignment="1">
      <alignment horizontal="left" vertical="center"/>
    </xf>
    <xf numFmtId="168" fontId="21" fillId="0" borderId="48" xfId="5" applyNumberFormat="1" applyFont="1" applyBorder="1" applyAlignment="1">
      <alignment horizontal="center" vertical="center"/>
    </xf>
    <xf numFmtId="0" fontId="7" fillId="10" borderId="60" xfId="0" applyFont="1" applyFill="1" applyBorder="1" applyAlignment="1">
      <alignment horizontal="right"/>
    </xf>
    <xf numFmtId="0" fontId="6" fillId="10" borderId="60" xfId="0" applyFont="1" applyFill="1" applyBorder="1"/>
    <xf numFmtId="168" fontId="7" fillId="10" borderId="64" xfId="5" applyNumberFormat="1" applyFont="1" applyFill="1" applyBorder="1" applyAlignment="1">
      <alignment horizontal="left" vertical="center"/>
    </xf>
    <xf numFmtId="168" fontId="0" fillId="6" borderId="0" xfId="0" applyNumberFormat="1" applyFill="1"/>
    <xf numFmtId="0" fontId="6" fillId="10" borderId="20" xfId="0" applyFont="1" applyFill="1" applyBorder="1"/>
    <xf numFmtId="168" fontId="6" fillId="10" borderId="20" xfId="5" applyNumberFormat="1" applyFont="1" applyFill="1" applyBorder="1"/>
    <xf numFmtId="168" fontId="7" fillId="10" borderId="65" xfId="5" applyNumberFormat="1" applyFont="1" applyFill="1" applyBorder="1" applyAlignment="1">
      <alignment horizontal="center" vertical="center"/>
    </xf>
    <xf numFmtId="168" fontId="20" fillId="10" borderId="20" xfId="5" applyNumberFormat="1" applyFont="1" applyFill="1" applyBorder="1"/>
    <xf numFmtId="168" fontId="21" fillId="10" borderId="65" xfId="5" applyNumberFormat="1" applyFont="1" applyFill="1" applyBorder="1" applyAlignment="1">
      <alignment horizontal="center" vertical="center"/>
    </xf>
    <xf numFmtId="0" fontId="6" fillId="0" borderId="60" xfId="0" quotePrefix="1" applyFont="1" applyBorder="1"/>
    <xf numFmtId="0" fontId="7" fillId="0" borderId="64" xfId="0" quotePrefix="1" applyFont="1" applyBorder="1"/>
    <xf numFmtId="168" fontId="6" fillId="0" borderId="0" xfId="5" applyNumberFormat="1" applyFont="1" applyBorder="1" applyAlignment="1">
      <alignment horizontal="center"/>
    </xf>
    <xf numFmtId="168" fontId="20" fillId="0" borderId="0" xfId="5" applyNumberFormat="1" applyFont="1" applyBorder="1" applyAlignment="1">
      <alignment horizontal="center"/>
    </xf>
    <xf numFmtId="168" fontId="6" fillId="10" borderId="0" xfId="5" applyNumberFormat="1" applyFont="1" applyFill="1" applyBorder="1" applyAlignment="1">
      <alignment horizontal="center"/>
    </xf>
    <xf numFmtId="168" fontId="6" fillId="10" borderId="0" xfId="5" applyNumberFormat="1" applyFont="1" applyFill="1" applyBorder="1"/>
    <xf numFmtId="168" fontId="5" fillId="0" borderId="0" xfId="5" applyNumberFormat="1" applyFont="1"/>
    <xf numFmtId="0" fontId="5" fillId="0" borderId="1" xfId="0" applyFont="1" applyBorder="1"/>
    <xf numFmtId="168" fontId="5" fillId="14" borderId="22" xfId="5" applyNumberFormat="1" applyFont="1" applyFill="1" applyBorder="1" applyAlignment="1">
      <alignment horizontal="center"/>
    </xf>
    <xf numFmtId="0" fontId="5" fillId="0" borderId="45" xfId="0" applyFont="1" applyBorder="1"/>
    <xf numFmtId="168" fontId="5" fillId="0" borderId="46" xfId="5" applyNumberFormat="1" applyFont="1" applyBorder="1"/>
    <xf numFmtId="0" fontId="19" fillId="0" borderId="32" xfId="0" applyFont="1" applyBorder="1"/>
    <xf numFmtId="168" fontId="19" fillId="0" borderId="49" xfId="5" applyNumberFormat="1" applyFont="1" applyBorder="1"/>
    <xf numFmtId="168" fontId="5" fillId="0" borderId="22" xfId="5" applyNumberFormat="1" applyFont="1" applyBorder="1"/>
    <xf numFmtId="0" fontId="22" fillId="0" borderId="45" xfId="0" applyFont="1" applyBorder="1"/>
    <xf numFmtId="168" fontId="5" fillId="0" borderId="0" xfId="5" applyNumberFormat="1" applyFont="1" applyBorder="1"/>
    <xf numFmtId="0" fontId="22" fillId="0" borderId="0" xfId="0" applyFont="1"/>
    <xf numFmtId="168" fontId="19" fillId="0" borderId="0" xfId="5" applyNumberFormat="1" applyFont="1" applyBorder="1"/>
    <xf numFmtId="0" fontId="5" fillId="0" borderId="0" xfId="0" applyFont="1" applyAlignment="1">
      <alignment horizontal="center"/>
    </xf>
    <xf numFmtId="168" fontId="5" fillId="0" borderId="28" xfId="5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68" fontId="5" fillId="0" borderId="7" xfId="5" applyNumberFormat="1" applyFont="1" applyBorder="1"/>
    <xf numFmtId="168" fontId="5" fillId="0" borderId="6" xfId="0" applyNumberFormat="1" applyFont="1" applyBorder="1"/>
    <xf numFmtId="0" fontId="5" fillId="0" borderId="6" xfId="0" applyFont="1" applyBorder="1"/>
    <xf numFmtId="168" fontId="5" fillId="0" borderId="6" xfId="5" applyNumberFormat="1" applyFont="1" applyBorder="1"/>
    <xf numFmtId="0" fontId="5" fillId="0" borderId="18" xfId="0" applyFont="1" applyBorder="1" applyAlignment="1">
      <alignment horizontal="center"/>
    </xf>
    <xf numFmtId="9" fontId="5" fillId="0" borderId="19" xfId="0" applyNumberFormat="1" applyFont="1" applyBorder="1" applyAlignment="1">
      <alignment horizontal="center"/>
    </xf>
    <xf numFmtId="0" fontId="5" fillId="0" borderId="19" xfId="0" applyFont="1" applyBorder="1"/>
    <xf numFmtId="0" fontId="5" fillId="0" borderId="28" xfId="0" applyFont="1" applyBorder="1" applyAlignment="1">
      <alignment horizontal="center"/>
    </xf>
    <xf numFmtId="168" fontId="5" fillId="0" borderId="0" xfId="0" applyNumberFormat="1" applyFont="1"/>
    <xf numFmtId="0" fontId="5" fillId="0" borderId="26" xfId="0" applyFont="1" applyBorder="1" applyAlignment="1">
      <alignment horizontal="center"/>
    </xf>
    <xf numFmtId="0" fontId="5" fillId="0" borderId="59" xfId="0" applyFont="1" applyBorder="1"/>
    <xf numFmtId="168" fontId="5" fillId="0" borderId="46" xfId="0" applyNumberFormat="1" applyFont="1" applyBorder="1"/>
    <xf numFmtId="0" fontId="5" fillId="0" borderId="60" xfId="0" applyFont="1" applyBorder="1"/>
    <xf numFmtId="0" fontId="19" fillId="0" borderId="60" xfId="0" applyFont="1" applyBorder="1"/>
    <xf numFmtId="0" fontId="23" fillId="0" borderId="60" xfId="0" applyFont="1" applyBorder="1" applyAlignment="1">
      <alignment horizontal="left" indent="1"/>
    </xf>
    <xf numFmtId="0" fontId="5" fillId="0" borderId="46" xfId="0" applyFont="1" applyBorder="1"/>
    <xf numFmtId="0" fontId="5" fillId="0" borderId="60" xfId="0" applyFont="1" applyBorder="1" applyAlignment="1">
      <alignment horizontal="left" indent="1"/>
    </xf>
    <xf numFmtId="0" fontId="5" fillId="0" borderId="67" xfId="0" applyFont="1" applyBorder="1" applyAlignment="1">
      <alignment horizontal="left" indent="1"/>
    </xf>
    <xf numFmtId="168" fontId="5" fillId="0" borderId="15" xfId="5" applyNumberFormat="1" applyFont="1" applyBorder="1"/>
    <xf numFmtId="168" fontId="5" fillId="0" borderId="13" xfId="5" applyNumberFormat="1" applyFont="1" applyBorder="1"/>
    <xf numFmtId="168" fontId="5" fillId="0" borderId="14" xfId="5" applyNumberFormat="1" applyFont="1" applyBorder="1"/>
    <xf numFmtId="0" fontId="5" fillId="0" borderId="70" xfId="0" applyFont="1" applyBorder="1"/>
    <xf numFmtId="168" fontId="5" fillId="0" borderId="17" xfId="5" applyNumberFormat="1" applyFont="1" applyBorder="1"/>
    <xf numFmtId="0" fontId="19" fillId="0" borderId="64" xfId="0" applyFont="1" applyBorder="1"/>
    <xf numFmtId="168" fontId="19" fillId="0" borderId="39" xfId="5" applyNumberFormat="1" applyFont="1" applyBorder="1"/>
    <xf numFmtId="168" fontId="19" fillId="0" borderId="48" xfId="5" applyNumberFormat="1" applyFont="1" applyBorder="1"/>
    <xf numFmtId="168" fontId="19" fillId="0" borderId="32" xfId="5" applyNumberFormat="1" applyFont="1" applyBorder="1"/>
    <xf numFmtId="168" fontId="5" fillId="0" borderId="7" xfId="0" applyNumberFormat="1" applyFont="1" applyBorder="1"/>
    <xf numFmtId="0" fontId="5" fillId="0" borderId="7" xfId="0" applyFont="1" applyBorder="1"/>
    <xf numFmtId="168" fontId="19" fillId="0" borderId="28" xfId="5" applyNumberFormat="1" applyFont="1" applyBorder="1"/>
    <xf numFmtId="168" fontId="19" fillId="0" borderId="25" xfId="5" applyNumberFormat="1" applyFont="1" applyBorder="1"/>
    <xf numFmtId="168" fontId="24" fillId="5" borderId="0" xfId="5" applyNumberFormat="1" applyFont="1" applyFill="1" applyBorder="1"/>
    <xf numFmtId="0" fontId="19" fillId="0" borderId="68" xfId="0" applyFont="1" applyBorder="1" applyAlignment="1">
      <alignment horizontal="left" vertical="center"/>
    </xf>
    <xf numFmtId="0" fontId="19" fillId="0" borderId="59" xfId="0" applyFont="1" applyBorder="1" applyAlignment="1">
      <alignment horizontal="right"/>
    </xf>
    <xf numFmtId="2" fontId="5" fillId="0" borderId="7" xfId="5" applyNumberFormat="1" applyFont="1" applyBorder="1" applyAlignment="1">
      <alignment horizontal="center"/>
    </xf>
    <xf numFmtId="2" fontId="5" fillId="0" borderId="46" xfId="5" applyNumberFormat="1" applyFont="1" applyBorder="1" applyAlignment="1">
      <alignment horizontal="center" vertical="center"/>
    </xf>
    <xf numFmtId="0" fontId="19" fillId="0" borderId="67" xfId="0" applyFont="1" applyBorder="1"/>
    <xf numFmtId="2" fontId="19" fillId="0" borderId="15" xfId="5" applyNumberFormat="1" applyFont="1" applyBorder="1" applyAlignment="1">
      <alignment horizontal="center"/>
    </xf>
    <xf numFmtId="2" fontId="19" fillId="0" borderId="17" xfId="5" applyNumberFormat="1" applyFont="1" applyBorder="1" applyAlignment="1">
      <alignment horizontal="center" vertical="center"/>
    </xf>
    <xf numFmtId="0" fontId="19" fillId="0" borderId="59" xfId="0" applyFont="1" applyBorder="1" applyAlignment="1">
      <alignment horizontal="left"/>
    </xf>
    <xf numFmtId="165" fontId="5" fillId="0" borderId="46" xfId="2" applyNumberFormat="1" applyFont="1" applyBorder="1" applyAlignment="1">
      <alignment horizontal="center" vertical="center"/>
    </xf>
    <xf numFmtId="0" fontId="5" fillId="0" borderId="67" xfId="0" applyFont="1" applyBorder="1"/>
    <xf numFmtId="0" fontId="19" fillId="0" borderId="66" xfId="0" applyFont="1" applyBorder="1" applyAlignment="1">
      <alignment horizontal="center" vertical="center"/>
    </xf>
    <xf numFmtId="168" fontId="19" fillId="0" borderId="35" xfId="5" applyNumberFormat="1" applyFont="1" applyFill="1" applyBorder="1" applyAlignment="1">
      <alignment horizontal="center"/>
    </xf>
    <xf numFmtId="0" fontId="18" fillId="0" borderId="1" xfId="0" applyFont="1" applyBorder="1" applyAlignment="1">
      <alignment vertical="center"/>
    </xf>
    <xf numFmtId="165" fontId="16" fillId="0" borderId="20" xfId="2" applyNumberFormat="1" applyFont="1" applyBorder="1" applyAlignment="1">
      <alignment horizontal="center" vertical="center"/>
    </xf>
    <xf numFmtId="165" fontId="16" fillId="0" borderId="41" xfId="2" applyNumberFormat="1" applyFont="1" applyBorder="1" applyAlignment="1">
      <alignment horizontal="center" vertical="center"/>
    </xf>
    <xf numFmtId="0" fontId="18" fillId="0" borderId="29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46" xfId="0" applyFont="1" applyBorder="1" applyAlignment="1">
      <alignment horizontal="center"/>
    </xf>
    <xf numFmtId="1" fontId="5" fillId="0" borderId="46" xfId="2" applyNumberFormat="1" applyFont="1" applyBorder="1" applyAlignment="1">
      <alignment horizontal="center" vertical="center"/>
    </xf>
    <xf numFmtId="1" fontId="5" fillId="0" borderId="17" xfId="2" applyNumberFormat="1" applyFont="1" applyBorder="1" applyAlignment="1">
      <alignment horizontal="center" vertical="center"/>
    </xf>
    <xf numFmtId="9" fontId="5" fillId="4" borderId="0" xfId="0" applyNumberFormat="1" applyFont="1" applyFill="1"/>
    <xf numFmtId="0" fontId="5" fillId="0" borderId="13" xfId="0" applyFont="1" applyBorder="1" applyAlignment="1">
      <alignment horizontal="center"/>
    </xf>
    <xf numFmtId="0" fontId="7" fillId="0" borderId="60" xfId="0" quotePrefix="1" applyFont="1" applyBorder="1" applyAlignment="1">
      <alignment horizontal="right"/>
    </xf>
    <xf numFmtId="165" fontId="6" fillId="10" borderId="2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65" fontId="6" fillId="10" borderId="20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6" fillId="10" borderId="20" xfId="0" applyFont="1" applyFill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43" fontId="6" fillId="10" borderId="20" xfId="0" applyNumberFormat="1" applyFont="1" applyFill="1" applyBorder="1" applyAlignment="1">
      <alignment horizontal="right" vertical="center"/>
    </xf>
    <xf numFmtId="0" fontId="14" fillId="0" borderId="60" xfId="0" quotePrefix="1" applyFont="1" applyBorder="1"/>
    <xf numFmtId="165" fontId="14" fillId="0" borderId="0" xfId="2" applyNumberFormat="1" applyFont="1" applyBorder="1" applyAlignment="1">
      <alignment horizontal="center" vertical="center"/>
    </xf>
    <xf numFmtId="165" fontId="14" fillId="10" borderId="20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2" xfId="0" applyBorder="1"/>
    <xf numFmtId="0" fontId="0" fillId="0" borderId="22" xfId="0" applyBorder="1"/>
    <xf numFmtId="0" fontId="0" fillId="0" borderId="45" xfId="0" applyBorder="1"/>
    <xf numFmtId="0" fontId="0" fillId="0" borderId="46" xfId="0" applyBorder="1"/>
    <xf numFmtId="0" fontId="2" fillId="0" borderId="45" xfId="0" applyFont="1" applyBorder="1"/>
    <xf numFmtId="0" fontId="0" fillId="0" borderId="8" xfId="0" applyBorder="1"/>
    <xf numFmtId="43" fontId="0" fillId="0" borderId="13" xfId="2" applyFont="1" applyBorder="1"/>
    <xf numFmtId="0" fontId="0" fillId="0" borderId="13" xfId="0" applyBorder="1"/>
    <xf numFmtId="0" fontId="0" fillId="0" borderId="17" xfId="0" applyBorder="1"/>
    <xf numFmtId="1" fontId="6" fillId="0" borderId="0" xfId="0" applyNumberFormat="1" applyFont="1" applyAlignment="1">
      <alignment horizontal="right" vertical="center"/>
    </xf>
    <xf numFmtId="165" fontId="7" fillId="9" borderId="48" xfId="2" applyNumberFormat="1" applyFont="1" applyFill="1" applyBorder="1" applyAlignment="1">
      <alignment horizontal="center" vertical="center"/>
    </xf>
    <xf numFmtId="0" fontId="5" fillId="0" borderId="3" xfId="0" applyFont="1" applyBorder="1"/>
    <xf numFmtId="0" fontId="19" fillId="0" borderId="7" xfId="0" applyFont="1" applyBorder="1" applyAlignment="1">
      <alignment horizontal="right"/>
    </xf>
    <xf numFmtId="0" fontId="5" fillId="10" borderId="55" xfId="0" applyFont="1" applyFill="1" applyBorder="1" applyAlignment="1">
      <alignment horizontal="center"/>
    </xf>
    <xf numFmtId="164" fontId="5" fillId="0" borderId="19" xfId="5" applyFont="1" applyBorder="1"/>
    <xf numFmtId="0" fontId="19" fillId="0" borderId="28" xfId="0" applyFont="1" applyBorder="1"/>
    <xf numFmtId="164" fontId="19" fillId="0" borderId="18" xfId="0" applyNumberFormat="1" applyFont="1" applyBorder="1"/>
    <xf numFmtId="165" fontId="5" fillId="0" borderId="0" xfId="2" applyNumberFormat="1" applyFont="1" applyBorder="1"/>
    <xf numFmtId="165" fontId="5" fillId="0" borderId="46" xfId="2" applyNumberFormat="1" applyFont="1" applyBorder="1"/>
    <xf numFmtId="168" fontId="5" fillId="4" borderId="46" xfId="5" applyNumberFormat="1" applyFont="1" applyFill="1" applyBorder="1"/>
    <xf numFmtId="0" fontId="5" fillId="0" borderId="8" xfId="0" applyFont="1" applyBorder="1"/>
    <xf numFmtId="164" fontId="5" fillId="0" borderId="13" xfId="0" applyNumberFormat="1" applyFont="1" applyBorder="1"/>
    <xf numFmtId="164" fontId="5" fillId="0" borderId="17" xfId="5" applyFont="1" applyBorder="1"/>
    <xf numFmtId="164" fontId="5" fillId="0" borderId="0" xfId="0" applyNumberFormat="1" applyFont="1"/>
    <xf numFmtId="164" fontId="5" fillId="0" borderId="0" xfId="5" applyFont="1" applyBorder="1"/>
    <xf numFmtId="164" fontId="5" fillId="0" borderId="46" xfId="5" applyFont="1" applyBorder="1"/>
    <xf numFmtId="164" fontId="5" fillId="0" borderId="46" xfId="0" applyNumberFormat="1" applyFont="1" applyBorder="1"/>
    <xf numFmtId="0" fontId="25" fillId="0" borderId="32" xfId="0" applyFont="1" applyBorder="1"/>
    <xf numFmtId="0" fontId="5" fillId="0" borderId="48" xfId="0" applyFont="1" applyBorder="1"/>
    <xf numFmtId="0" fontId="5" fillId="0" borderId="49" xfId="0" applyFont="1" applyBorder="1"/>
    <xf numFmtId="0" fontId="5" fillId="0" borderId="34" xfId="0" applyFont="1" applyBorder="1"/>
    <xf numFmtId="0" fontId="19" fillId="0" borderId="50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168" fontId="5" fillId="0" borderId="19" xfId="5" applyNumberFormat="1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68" fontId="5" fillId="0" borderId="7" xfId="5" applyNumberFormat="1" applyFont="1" applyBorder="1" applyAlignment="1">
      <alignment vertical="center"/>
    </xf>
    <xf numFmtId="168" fontId="5" fillId="0" borderId="0" xfId="5" applyNumberFormat="1" applyFont="1" applyBorder="1" applyAlignment="1">
      <alignment vertical="center"/>
    </xf>
    <xf numFmtId="0" fontId="5" fillId="0" borderId="68" xfId="0" applyFont="1" applyBorder="1" applyAlignment="1">
      <alignment vertical="center"/>
    </xf>
    <xf numFmtId="0" fontId="5" fillId="0" borderId="52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60" xfId="0" applyFont="1" applyBorder="1" applyAlignment="1">
      <alignment vertical="center"/>
    </xf>
    <xf numFmtId="0" fontId="19" fillId="0" borderId="61" xfId="0" applyFont="1" applyBorder="1" applyAlignment="1">
      <alignment vertical="center"/>
    </xf>
    <xf numFmtId="168" fontId="19" fillId="0" borderId="62" xfId="5" applyNumberFormat="1" applyFont="1" applyBorder="1" applyAlignment="1">
      <alignment vertical="center"/>
    </xf>
    <xf numFmtId="0" fontId="5" fillId="0" borderId="70" xfId="0" applyFont="1" applyBorder="1" applyAlignment="1">
      <alignment horizontal="center" vertical="center"/>
    </xf>
    <xf numFmtId="0" fontId="5" fillId="10" borderId="52" xfId="0" applyFont="1" applyFill="1" applyBorder="1" applyAlignment="1">
      <alignment horizontal="center" vertical="center"/>
    </xf>
    <xf numFmtId="168" fontId="19" fillId="15" borderId="75" xfId="5" applyNumberFormat="1" applyFont="1" applyFill="1" applyBorder="1" applyAlignment="1">
      <alignment vertical="center"/>
    </xf>
    <xf numFmtId="168" fontId="5" fillId="0" borderId="46" xfId="5" applyNumberFormat="1" applyFont="1" applyFill="1" applyBorder="1"/>
    <xf numFmtId="168" fontId="5" fillId="0" borderId="0" xfId="5" applyNumberFormat="1" applyFont="1" applyFill="1" applyBorder="1"/>
    <xf numFmtId="0" fontId="5" fillId="11" borderId="32" xfId="0" applyFont="1" applyFill="1" applyBorder="1"/>
    <xf numFmtId="168" fontId="5" fillId="11" borderId="48" xfId="0" applyNumberFormat="1" applyFont="1" applyFill="1" applyBorder="1"/>
    <xf numFmtId="168" fontId="5" fillId="11" borderId="49" xfId="0" applyNumberFormat="1" applyFont="1" applyFill="1" applyBorder="1"/>
    <xf numFmtId="10" fontId="7" fillId="0" borderId="0" xfId="4" applyNumberFormat="1" applyFont="1"/>
    <xf numFmtId="0" fontId="7" fillId="10" borderId="61" xfId="0" applyFont="1" applyFill="1" applyBorder="1"/>
    <xf numFmtId="168" fontId="0" fillId="0" borderId="0" xfId="0" applyNumberFormat="1"/>
    <xf numFmtId="0" fontId="0" fillId="0" borderId="7" xfId="0" applyBorder="1"/>
    <xf numFmtId="0" fontId="0" fillId="0" borderId="6" xfId="0" applyBorder="1"/>
    <xf numFmtId="168" fontId="6" fillId="0" borderId="0" xfId="0" applyNumberFormat="1" applyFont="1" applyAlignment="1">
      <alignment vertical="center"/>
    </xf>
    <xf numFmtId="168" fontId="7" fillId="0" borderId="48" xfId="5" applyNumberFormat="1" applyFont="1" applyFill="1" applyBorder="1" applyAlignment="1">
      <alignment horizontal="center" vertical="center"/>
    </xf>
    <xf numFmtId="44" fontId="5" fillId="0" borderId="0" xfId="0" applyNumberFormat="1" applyFont="1"/>
    <xf numFmtId="43" fontId="5" fillId="0" borderId="0" xfId="2" applyFont="1"/>
    <xf numFmtId="0" fontId="6" fillId="10" borderId="44" xfId="0" applyFont="1" applyFill="1" applyBorder="1"/>
    <xf numFmtId="0" fontId="6" fillId="10" borderId="73" xfId="0" applyFont="1" applyFill="1" applyBorder="1" applyAlignment="1">
      <alignment horizontal="center" vertical="center"/>
    </xf>
    <xf numFmtId="0" fontId="6" fillId="10" borderId="44" xfId="0" applyFont="1" applyFill="1" applyBorder="1" applyAlignment="1">
      <alignment horizontal="center" vertical="center"/>
    </xf>
    <xf numFmtId="0" fontId="7" fillId="10" borderId="40" xfId="0" applyFont="1" applyFill="1" applyBorder="1" applyAlignment="1">
      <alignment horizontal="center" vertical="center"/>
    </xf>
    <xf numFmtId="168" fontId="6" fillId="10" borderId="44" xfId="5" applyNumberFormat="1" applyFont="1" applyFill="1" applyBorder="1"/>
    <xf numFmtId="168" fontId="7" fillId="10" borderId="40" xfId="5" applyNumberFormat="1" applyFont="1" applyFill="1" applyBorder="1" applyAlignment="1">
      <alignment horizontal="center" vertical="center"/>
    </xf>
    <xf numFmtId="168" fontId="20" fillId="10" borderId="44" xfId="5" applyNumberFormat="1" applyFont="1" applyFill="1" applyBorder="1"/>
    <xf numFmtId="168" fontId="21" fillId="10" borderId="40" xfId="5" applyNumberFormat="1" applyFont="1" applyFill="1" applyBorder="1" applyAlignment="1">
      <alignment horizontal="center" vertical="center"/>
    </xf>
    <xf numFmtId="168" fontId="6" fillId="10" borderId="44" xfId="5" applyNumberFormat="1" applyFont="1" applyFill="1" applyBorder="1" applyAlignment="1">
      <alignment horizontal="center"/>
    </xf>
    <xf numFmtId="170" fontId="0" fillId="0" borderId="0" xfId="5" applyNumberFormat="1" applyFont="1"/>
    <xf numFmtId="170" fontId="0" fillId="0" borderId="0" xfId="0" applyNumberFormat="1"/>
    <xf numFmtId="168" fontId="19" fillId="0" borderId="0" xfId="0" applyNumberFormat="1" applyFont="1"/>
    <xf numFmtId="2" fontId="6" fillId="0" borderId="0" xfId="0" applyNumberFormat="1" applyFont="1" applyAlignment="1">
      <alignment horizontal="center" vertical="center"/>
    </xf>
    <xf numFmtId="1" fontId="7" fillId="0" borderId="48" xfId="0" applyNumberFormat="1" applyFont="1" applyBorder="1" applyAlignment="1">
      <alignment horizontal="center" vertical="center"/>
    </xf>
    <xf numFmtId="1" fontId="7" fillId="10" borderId="65" xfId="0" applyNumberFormat="1" applyFont="1" applyFill="1" applyBorder="1" applyAlignment="1">
      <alignment horizontal="center" vertical="center"/>
    </xf>
    <xf numFmtId="1" fontId="6" fillId="10" borderId="20" xfId="0" applyNumberFormat="1" applyFont="1" applyFill="1" applyBorder="1" applyAlignment="1">
      <alignment horizontal="right" vertical="center"/>
    </xf>
    <xf numFmtId="165" fontId="19" fillId="0" borderId="0" xfId="0" applyNumberFormat="1" applyFont="1"/>
    <xf numFmtId="165" fontId="19" fillId="0" borderId="0" xfId="2" applyNumberFormat="1" applyFont="1" applyBorder="1"/>
    <xf numFmtId="0" fontId="6" fillId="0" borderId="68" xfId="0" applyFont="1" applyBorder="1" applyAlignment="1">
      <alignment vertical="center"/>
    </xf>
    <xf numFmtId="0" fontId="27" fillId="0" borderId="60" xfId="0" applyFont="1" applyBorder="1"/>
    <xf numFmtId="0" fontId="26" fillId="0" borderId="60" xfId="0" applyFont="1" applyBorder="1" applyAlignment="1">
      <alignment horizontal="right"/>
    </xf>
    <xf numFmtId="0" fontId="26" fillId="0" borderId="59" xfId="0" applyFont="1" applyBorder="1" applyAlignment="1">
      <alignment horizontal="right"/>
    </xf>
    <xf numFmtId="0" fontId="5" fillId="0" borderId="5" xfId="0" applyFont="1" applyBorder="1"/>
    <xf numFmtId="0" fontId="19" fillId="0" borderId="61" xfId="0" applyFont="1" applyBorder="1"/>
    <xf numFmtId="168" fontId="19" fillId="0" borderId="11" xfId="0" applyNumberFormat="1" applyFont="1" applyBorder="1"/>
    <xf numFmtId="168" fontId="19" fillId="10" borderId="12" xfId="0" applyNumberFormat="1" applyFont="1" applyFill="1" applyBorder="1"/>
    <xf numFmtId="168" fontId="19" fillId="10" borderId="13" xfId="0" applyNumberFormat="1" applyFont="1" applyFill="1" applyBorder="1"/>
    <xf numFmtId="168" fontId="19" fillId="10" borderId="77" xfId="0" applyNumberFormat="1" applyFont="1" applyFill="1" applyBorder="1"/>
    <xf numFmtId="168" fontId="19" fillId="10" borderId="14" xfId="0" applyNumberFormat="1" applyFont="1" applyFill="1" applyBorder="1"/>
    <xf numFmtId="168" fontId="5" fillId="0" borderId="40" xfId="0" applyNumberFormat="1" applyFont="1" applyBorder="1"/>
    <xf numFmtId="168" fontId="5" fillId="10" borderId="0" xfId="5" applyNumberFormat="1" applyFont="1" applyFill="1" applyBorder="1"/>
    <xf numFmtId="168" fontId="19" fillId="10" borderId="11" xfId="0" applyNumberFormat="1" applyFont="1" applyFill="1" applyBorder="1"/>
    <xf numFmtId="0" fontId="8" fillId="0" borderId="60" xfId="0" applyFont="1" applyBorder="1" applyAlignment="1">
      <alignment horizontal="left" vertical="center"/>
    </xf>
    <xf numFmtId="168" fontId="6" fillId="10" borderId="19" xfId="5" applyNumberFormat="1" applyFont="1" applyFill="1" applyBorder="1" applyAlignment="1">
      <alignment horizontal="center" vertical="center"/>
    </xf>
    <xf numFmtId="0" fontId="7" fillId="0" borderId="61" xfId="0" quotePrefix="1" applyFont="1" applyBorder="1" applyAlignment="1">
      <alignment vertical="center"/>
    </xf>
    <xf numFmtId="168" fontId="7" fillId="0" borderId="11" xfId="5" applyNumberFormat="1" applyFont="1" applyFill="1" applyBorder="1" applyAlignment="1">
      <alignment horizontal="center" vertical="center"/>
    </xf>
    <xf numFmtId="168" fontId="7" fillId="10" borderId="63" xfId="5" applyNumberFormat="1" applyFont="1" applyFill="1" applyBorder="1" applyAlignment="1">
      <alignment horizontal="center" vertical="center"/>
    </xf>
    <xf numFmtId="0" fontId="6" fillId="0" borderId="64" xfId="0" quotePrefix="1" applyFont="1" applyBorder="1" applyAlignment="1">
      <alignment vertical="center"/>
    </xf>
    <xf numFmtId="164" fontId="6" fillId="0" borderId="48" xfId="5" applyFont="1" applyFill="1" applyBorder="1" applyAlignment="1">
      <alignment horizontal="center" vertical="center"/>
    </xf>
    <xf numFmtId="164" fontId="6" fillId="10" borderId="65" xfId="5" applyFont="1" applyFill="1" applyBorder="1" applyAlignment="1">
      <alignment horizontal="center" vertical="center"/>
    </xf>
    <xf numFmtId="0" fontId="6" fillId="0" borderId="68" xfId="0" quotePrefix="1" applyFont="1" applyBorder="1" applyAlignment="1">
      <alignment vertical="center"/>
    </xf>
    <xf numFmtId="168" fontId="6" fillId="0" borderId="12" xfId="5" applyNumberFormat="1" applyFont="1" applyFill="1" applyBorder="1" applyAlignment="1">
      <alignment horizontal="center" vertical="center"/>
    </xf>
    <xf numFmtId="168" fontId="0" fillId="16" borderId="0" xfId="0" applyNumberFormat="1" applyFill="1"/>
    <xf numFmtId="0" fontId="6" fillId="0" borderId="2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5" fontId="8" fillId="0" borderId="6" xfId="2" applyNumberFormat="1" applyFont="1" applyFill="1" applyBorder="1" applyAlignment="1">
      <alignment horizontal="right" vertical="center"/>
    </xf>
    <xf numFmtId="165" fontId="6" fillId="0" borderId="6" xfId="2" applyNumberFormat="1" applyFont="1" applyBorder="1" applyAlignment="1">
      <alignment horizontal="center" vertical="center"/>
    </xf>
    <xf numFmtId="168" fontId="6" fillId="0" borderId="6" xfId="5" applyNumberFormat="1" applyFont="1" applyFill="1" applyBorder="1" applyAlignment="1">
      <alignment horizontal="center" vertical="center"/>
    </xf>
    <xf numFmtId="168" fontId="7" fillId="0" borderId="76" xfId="5" applyNumberFormat="1" applyFont="1" applyFill="1" applyBorder="1" applyAlignment="1">
      <alignment horizontal="center" vertical="center"/>
    </xf>
    <xf numFmtId="164" fontId="6" fillId="0" borderId="78" xfId="5" applyFont="1" applyFill="1" applyBorder="1" applyAlignment="1">
      <alignment horizontal="center" vertical="center"/>
    </xf>
    <xf numFmtId="0" fontId="6" fillId="10" borderId="18" xfId="0" applyFont="1" applyFill="1" applyBorder="1" applyAlignment="1">
      <alignment horizontal="center" vertical="center"/>
    </xf>
    <xf numFmtId="168" fontId="6" fillId="10" borderId="79" xfId="5" applyNumberFormat="1" applyFont="1" applyFill="1" applyBorder="1" applyAlignment="1">
      <alignment horizontal="center" vertical="center"/>
    </xf>
    <xf numFmtId="168" fontId="7" fillId="10" borderId="62" xfId="5" applyNumberFormat="1" applyFont="1" applyFill="1" applyBorder="1" applyAlignment="1">
      <alignment horizontal="center" vertical="center"/>
    </xf>
    <xf numFmtId="168" fontId="6" fillId="0" borderId="77" xfId="5" applyNumberFormat="1" applyFont="1" applyFill="1" applyBorder="1" applyAlignment="1">
      <alignment horizontal="center" vertical="center"/>
    </xf>
    <xf numFmtId="44" fontId="6" fillId="0" borderId="0" xfId="0" applyNumberFormat="1" applyFont="1"/>
    <xf numFmtId="0" fontId="6" fillId="9" borderId="56" xfId="0" applyFont="1" applyFill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9" borderId="42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168" fontId="7" fillId="4" borderId="11" xfId="5" applyNumberFormat="1" applyFont="1" applyFill="1" applyBorder="1"/>
    <xf numFmtId="168" fontId="14" fillId="0" borderId="11" xfId="5" applyNumberFormat="1" applyFont="1" applyBorder="1"/>
    <xf numFmtId="168" fontId="14" fillId="9" borderId="62" xfId="0" applyNumberFormat="1" applyFont="1" applyFill="1" applyBorder="1"/>
    <xf numFmtId="168" fontId="14" fillId="0" borderId="63" xfId="0" applyNumberFormat="1" applyFont="1" applyBorder="1"/>
    <xf numFmtId="0" fontId="6" fillId="0" borderId="13" xfId="0" applyFont="1" applyBorder="1"/>
    <xf numFmtId="168" fontId="14" fillId="9" borderId="63" xfId="0" applyNumberFormat="1" applyFont="1" applyFill="1" applyBorder="1"/>
    <xf numFmtId="165" fontId="5" fillId="0" borderId="0" xfId="0" applyNumberFormat="1" applyFont="1"/>
    <xf numFmtId="168" fontId="6" fillId="0" borderId="26" xfId="0" applyNumberFormat="1" applyFont="1" applyBorder="1"/>
    <xf numFmtId="168" fontId="6" fillId="6" borderId="13" xfId="0" applyNumberFormat="1" applyFont="1" applyFill="1" applyBorder="1"/>
    <xf numFmtId="0" fontId="6" fillId="10" borderId="18" xfId="0" applyFont="1" applyFill="1" applyBorder="1" applyAlignment="1">
      <alignment horizontal="center"/>
    </xf>
    <xf numFmtId="168" fontId="7" fillId="10" borderId="18" xfId="0" applyNumberFormat="1" applyFont="1" applyFill="1" applyBorder="1"/>
    <xf numFmtId="168" fontId="6" fillId="10" borderId="19" xfId="0" applyNumberFormat="1" applyFont="1" applyFill="1" applyBorder="1"/>
    <xf numFmtId="0" fontId="6" fillId="10" borderId="19" xfId="0" applyFont="1" applyFill="1" applyBorder="1"/>
    <xf numFmtId="0" fontId="7" fillId="10" borderId="11" xfId="0" applyFont="1" applyFill="1" applyBorder="1" applyAlignment="1">
      <alignment horizontal="center"/>
    </xf>
    <xf numFmtId="168" fontId="7" fillId="10" borderId="11" xfId="5" applyNumberFormat="1" applyFont="1" applyFill="1" applyBorder="1"/>
    <xf numFmtId="168" fontId="7" fillId="10" borderId="62" xfId="0" applyNumberFormat="1" applyFont="1" applyFill="1" applyBorder="1"/>
    <xf numFmtId="171" fontId="6" fillId="0" borderId="0" xfId="2" applyNumberFormat="1" applyFont="1" applyBorder="1" applyAlignment="1">
      <alignment horizontal="center" vertical="center"/>
    </xf>
    <xf numFmtId="171" fontId="6" fillId="0" borderId="6" xfId="2" applyNumberFormat="1" applyFont="1" applyBorder="1" applyAlignment="1">
      <alignment horizontal="center" vertical="center"/>
    </xf>
    <xf numFmtId="0" fontId="12" fillId="17" borderId="61" xfId="0" quotePrefix="1" applyFont="1" applyFill="1" applyBorder="1" applyAlignment="1">
      <alignment vertical="center"/>
    </xf>
    <xf numFmtId="168" fontId="12" fillId="17" borderId="11" xfId="5" applyNumberFormat="1" applyFont="1" applyFill="1" applyBorder="1" applyAlignment="1">
      <alignment horizontal="center" vertical="center"/>
    </xf>
    <xf numFmtId="168" fontId="12" fillId="17" borderId="76" xfId="5" applyNumberFormat="1" applyFont="1" applyFill="1" applyBorder="1" applyAlignment="1">
      <alignment horizontal="center" vertical="center"/>
    </xf>
    <xf numFmtId="168" fontId="12" fillId="17" borderId="63" xfId="5" applyNumberFormat="1" applyFont="1" applyFill="1" applyBorder="1" applyAlignment="1">
      <alignment horizontal="center" vertical="center"/>
    </xf>
    <xf numFmtId="168" fontId="28" fillId="0" borderId="0" xfId="5" applyNumberFormat="1" applyFont="1" applyBorder="1" applyAlignment="1">
      <alignment horizontal="center"/>
    </xf>
    <xf numFmtId="164" fontId="0" fillId="0" borderId="0" xfId="5" applyFont="1"/>
    <xf numFmtId="164" fontId="5" fillId="0" borderId="17" xfId="0" applyNumberFormat="1" applyFont="1" applyBorder="1"/>
    <xf numFmtId="168" fontId="5" fillId="0" borderId="19" xfId="0" applyNumberFormat="1" applyFont="1" applyBorder="1" applyAlignment="1">
      <alignment vertical="center"/>
    </xf>
    <xf numFmtId="168" fontId="19" fillId="15" borderId="11" xfId="5" applyNumberFormat="1" applyFont="1" applyFill="1" applyBorder="1" applyAlignment="1">
      <alignment vertical="center"/>
    </xf>
    <xf numFmtId="0" fontId="5" fillId="0" borderId="73" xfId="0" applyFont="1" applyBorder="1" applyAlignment="1">
      <alignment horizontal="center" vertical="center" wrapText="1"/>
    </xf>
    <xf numFmtId="0" fontId="5" fillId="0" borderId="44" xfId="0" applyFont="1" applyBorder="1" applyAlignment="1">
      <alignment vertical="center"/>
    </xf>
    <xf numFmtId="168" fontId="5" fillId="0" borderId="44" xfId="0" applyNumberFormat="1" applyFont="1" applyBorder="1" applyAlignment="1">
      <alignment vertical="center"/>
    </xf>
    <xf numFmtId="168" fontId="19" fillId="0" borderId="47" xfId="5" applyNumberFormat="1" applyFont="1" applyBorder="1" applyAlignment="1">
      <alignment vertical="center"/>
    </xf>
    <xf numFmtId="0" fontId="5" fillId="0" borderId="56" xfId="0" applyFont="1" applyBorder="1" applyAlignment="1">
      <alignment horizontal="center" vertical="center"/>
    </xf>
    <xf numFmtId="9" fontId="6" fillId="0" borderId="0" xfId="0" applyNumberFormat="1" applyFont="1" applyAlignment="1">
      <alignment vertical="center"/>
    </xf>
    <xf numFmtId="0" fontId="6" fillId="10" borderId="58" xfId="0" applyFont="1" applyFill="1" applyBorder="1" applyAlignment="1">
      <alignment horizontal="center" vertical="center"/>
    </xf>
    <xf numFmtId="0" fontId="5" fillId="10" borderId="20" xfId="0" applyFont="1" applyFill="1" applyBorder="1"/>
    <xf numFmtId="165" fontId="19" fillId="10" borderId="20" xfId="0" applyNumberFormat="1" applyFont="1" applyFill="1" applyBorder="1"/>
    <xf numFmtId="168" fontId="5" fillId="10" borderId="20" xfId="0" applyNumberFormat="1" applyFont="1" applyFill="1" applyBorder="1"/>
    <xf numFmtId="168" fontId="19" fillId="10" borderId="20" xfId="0" applyNumberFormat="1" applyFont="1" applyFill="1" applyBorder="1"/>
    <xf numFmtId="0" fontId="5" fillId="10" borderId="58" xfId="0" applyFont="1" applyFill="1" applyBorder="1"/>
    <xf numFmtId="168" fontId="19" fillId="10" borderId="63" xfId="0" applyNumberFormat="1" applyFont="1" applyFill="1" applyBorder="1"/>
    <xf numFmtId="168" fontId="19" fillId="10" borderId="80" xfId="0" applyNumberFormat="1" applyFont="1" applyFill="1" applyBorder="1"/>
    <xf numFmtId="168" fontId="19" fillId="10" borderId="41" xfId="0" applyNumberFormat="1" applyFont="1" applyFill="1" applyBorder="1"/>
    <xf numFmtId="165" fontId="5" fillId="10" borderId="20" xfId="0" applyNumberFormat="1" applyFont="1" applyFill="1" applyBorder="1"/>
    <xf numFmtId="165" fontId="5" fillId="0" borderId="6" xfId="2" applyNumberFormat="1" applyFont="1" applyBorder="1"/>
    <xf numFmtId="165" fontId="19" fillId="0" borderId="6" xfId="2" applyNumberFormat="1" applyFont="1" applyBorder="1"/>
    <xf numFmtId="168" fontId="19" fillId="0" borderId="6" xfId="0" applyNumberFormat="1" applyFont="1" applyBorder="1"/>
    <xf numFmtId="0" fontId="5" fillId="0" borderId="4" xfId="0" applyFont="1" applyBorder="1"/>
    <xf numFmtId="168" fontId="19" fillId="0" borderId="76" xfId="0" applyNumberFormat="1" applyFont="1" applyBorder="1"/>
    <xf numFmtId="0" fontId="19" fillId="10" borderId="68" xfId="0" applyFont="1" applyFill="1" applyBorder="1"/>
    <xf numFmtId="0" fontId="19" fillId="10" borderId="67" xfId="0" applyFont="1" applyFill="1" applyBorder="1"/>
    <xf numFmtId="0" fontId="5" fillId="10" borderId="60" xfId="0" applyFont="1" applyFill="1" applyBorder="1"/>
    <xf numFmtId="0" fontId="19" fillId="10" borderId="61" xfId="0" applyFont="1" applyFill="1" applyBorder="1"/>
    <xf numFmtId="168" fontId="5" fillId="10" borderId="6" xfId="5" applyNumberFormat="1" applyFont="1" applyFill="1" applyBorder="1"/>
    <xf numFmtId="168" fontId="19" fillId="10" borderId="76" xfId="0" applyNumberFormat="1" applyFont="1" applyFill="1" applyBorder="1"/>
    <xf numFmtId="0" fontId="19" fillId="10" borderId="20" xfId="0" applyFont="1" applyFill="1" applyBorder="1"/>
    <xf numFmtId="0" fontId="27" fillId="0" borderId="68" xfId="0" applyFont="1" applyBorder="1"/>
    <xf numFmtId="0" fontId="6" fillId="0" borderId="12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10" borderId="80" xfId="0" applyFont="1" applyFill="1" applyBorder="1" applyAlignment="1">
      <alignment horizontal="center" vertical="center"/>
    </xf>
    <xf numFmtId="165" fontId="5" fillId="0" borderId="0" xfId="2" applyNumberFormat="1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9" borderId="34" xfId="0" applyFont="1" applyFill="1" applyBorder="1" applyAlignment="1">
      <alignment horizontal="center" vertical="center"/>
    </xf>
    <xf numFmtId="0" fontId="7" fillId="9" borderId="50" xfId="0" applyFont="1" applyFill="1" applyBorder="1" applyAlignment="1">
      <alignment horizontal="center" vertical="center"/>
    </xf>
    <xf numFmtId="0" fontId="7" fillId="9" borderId="35" xfId="0" applyFont="1" applyFill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9" borderId="58" xfId="0" applyFont="1" applyFill="1" applyBorder="1" applyAlignment="1">
      <alignment horizontal="center" vertical="center"/>
    </xf>
    <xf numFmtId="0" fontId="7" fillId="9" borderId="42" xfId="0" applyFont="1" applyFill="1" applyBorder="1" applyAlignment="1">
      <alignment horizontal="center" vertical="center"/>
    </xf>
    <xf numFmtId="0" fontId="7" fillId="10" borderId="34" xfId="0" applyFont="1" applyFill="1" applyBorder="1" applyAlignment="1">
      <alignment horizontal="center" vertical="center"/>
    </xf>
    <xf numFmtId="0" fontId="7" fillId="10" borderId="50" xfId="0" applyFont="1" applyFill="1" applyBorder="1" applyAlignment="1">
      <alignment horizontal="center" vertical="center"/>
    </xf>
    <xf numFmtId="0" fontId="7" fillId="10" borderId="35" xfId="0" applyFont="1" applyFill="1" applyBorder="1" applyAlignment="1">
      <alignment horizontal="center" vertical="center"/>
    </xf>
    <xf numFmtId="0" fontId="7" fillId="10" borderId="58" xfId="0" applyFont="1" applyFill="1" applyBorder="1" applyAlignment="1">
      <alignment horizontal="center" vertical="center"/>
    </xf>
    <xf numFmtId="0" fontId="7" fillId="10" borderId="42" xfId="0" applyFont="1" applyFill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/>
    </xf>
    <xf numFmtId="0" fontId="7" fillId="7" borderId="50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center" vertical="center"/>
    </xf>
    <xf numFmtId="0" fontId="7" fillId="7" borderId="58" xfId="0" applyFont="1" applyFill="1" applyBorder="1" applyAlignment="1">
      <alignment horizontal="center" vertical="center"/>
    </xf>
    <xf numFmtId="0" fontId="7" fillId="7" borderId="42" xfId="0" applyFont="1" applyFill="1" applyBorder="1" applyAlignment="1">
      <alignment horizontal="center" vertical="center"/>
    </xf>
    <xf numFmtId="0" fontId="7" fillId="10" borderId="34" xfId="0" applyFont="1" applyFill="1" applyBorder="1" applyAlignment="1">
      <alignment horizontal="center"/>
    </xf>
    <xf numFmtId="0" fontId="7" fillId="10" borderId="50" xfId="0" applyFont="1" applyFill="1" applyBorder="1" applyAlignment="1">
      <alignment horizontal="center"/>
    </xf>
    <xf numFmtId="0" fontId="7" fillId="10" borderId="35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9" borderId="34" xfId="0" applyFont="1" applyFill="1" applyBorder="1" applyAlignment="1">
      <alignment horizontal="center"/>
    </xf>
    <xf numFmtId="0" fontId="7" fillId="9" borderId="50" xfId="0" applyFont="1" applyFill="1" applyBorder="1" applyAlignment="1">
      <alignment horizontal="center"/>
    </xf>
    <xf numFmtId="0" fontId="7" fillId="9" borderId="35" xfId="0" applyFont="1" applyFill="1" applyBorder="1" applyAlignment="1">
      <alignment horizontal="center"/>
    </xf>
    <xf numFmtId="0" fontId="6" fillId="0" borderId="68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69" xfId="0" applyFont="1" applyBorder="1" applyAlignment="1">
      <alignment horizontal="center"/>
    </xf>
    <xf numFmtId="0" fontId="7" fillId="10" borderId="66" xfId="0" applyFont="1" applyFill="1" applyBorder="1" applyAlignment="1">
      <alignment horizontal="center"/>
    </xf>
    <xf numFmtId="0" fontId="7" fillId="9" borderId="6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7" fillId="10" borderId="66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center" vertical="center"/>
    </xf>
    <xf numFmtId="0" fontId="7" fillId="12" borderId="50" xfId="0" applyFont="1" applyFill="1" applyBorder="1" applyAlignment="1">
      <alignment horizontal="center" vertical="center"/>
    </xf>
    <xf numFmtId="0" fontId="7" fillId="12" borderId="35" xfId="0" applyFont="1" applyFill="1" applyBorder="1" applyAlignment="1">
      <alignment horizontal="center" vertical="center"/>
    </xf>
    <xf numFmtId="0" fontId="19" fillId="0" borderId="68" xfId="0" applyFont="1" applyBorder="1" applyAlignment="1">
      <alignment horizontal="left" vertical="center"/>
    </xf>
    <xf numFmtId="0" fontId="19" fillId="0" borderId="69" xfId="0" applyFont="1" applyBorder="1" applyAlignment="1">
      <alignment horizontal="left" vertical="center"/>
    </xf>
    <xf numFmtId="168" fontId="19" fillId="14" borderId="66" xfId="5" applyNumberFormat="1" applyFont="1" applyFill="1" applyBorder="1" applyAlignment="1">
      <alignment horizontal="center"/>
    </xf>
    <xf numFmtId="168" fontId="19" fillId="14" borderId="35" xfId="5" applyNumberFormat="1" applyFont="1" applyFill="1" applyBorder="1" applyAlignment="1">
      <alignment horizontal="center"/>
    </xf>
    <xf numFmtId="0" fontId="16" fillId="9" borderId="66" xfId="0" applyFont="1" applyFill="1" applyBorder="1" applyAlignment="1">
      <alignment horizontal="center" vertical="center"/>
    </xf>
    <xf numFmtId="0" fontId="16" fillId="9" borderId="35" xfId="0" applyFont="1" applyFill="1" applyBorder="1" applyAlignment="1">
      <alignment horizontal="center" vertical="center"/>
    </xf>
    <xf numFmtId="0" fontId="18" fillId="13" borderId="68" xfId="0" applyFont="1" applyFill="1" applyBorder="1" applyAlignment="1">
      <alignment horizontal="left" vertical="center"/>
    </xf>
    <xf numFmtId="0" fontId="18" fillId="13" borderId="69" xfId="0" applyFont="1" applyFill="1" applyBorder="1" applyAlignment="1">
      <alignment horizontal="left" vertical="center"/>
    </xf>
    <xf numFmtId="0" fontId="16" fillId="9" borderId="71" xfId="0" applyFont="1" applyFill="1" applyBorder="1" applyAlignment="1">
      <alignment horizontal="center" vertical="center"/>
    </xf>
    <xf numFmtId="0" fontId="16" fillId="9" borderId="12" xfId="0" applyFont="1" applyFill="1" applyBorder="1" applyAlignment="1">
      <alignment horizontal="center" vertical="center"/>
    </xf>
    <xf numFmtId="0" fontId="16" fillId="9" borderId="22" xfId="0" applyFont="1" applyFill="1" applyBorder="1" applyAlignment="1">
      <alignment horizontal="center" vertical="center"/>
    </xf>
    <xf numFmtId="0" fontId="16" fillId="10" borderId="71" xfId="0" applyFont="1" applyFill="1" applyBorder="1" applyAlignment="1">
      <alignment horizontal="center" vertical="center"/>
    </xf>
    <xf numFmtId="0" fontId="16" fillId="10" borderId="12" xfId="0" applyFont="1" applyFill="1" applyBorder="1" applyAlignment="1">
      <alignment horizontal="center" vertical="center"/>
    </xf>
    <xf numFmtId="0" fontId="16" fillId="10" borderId="22" xfId="0" applyFont="1" applyFill="1" applyBorder="1" applyAlignment="1">
      <alignment horizontal="center" vertical="center"/>
    </xf>
    <xf numFmtId="0" fontId="7" fillId="10" borderId="43" xfId="0" applyFont="1" applyFill="1" applyBorder="1" applyAlignment="1">
      <alignment horizontal="center" vertical="center"/>
    </xf>
    <xf numFmtId="0" fontId="19" fillId="9" borderId="0" xfId="0" applyFont="1" applyFill="1" applyAlignment="1">
      <alignment horizontal="center"/>
    </xf>
    <xf numFmtId="168" fontId="19" fillId="9" borderId="71" xfId="5" applyNumberFormat="1" applyFont="1" applyFill="1" applyBorder="1" applyAlignment="1">
      <alignment horizontal="center"/>
    </xf>
    <xf numFmtId="168" fontId="19" fillId="9" borderId="12" xfId="5" applyNumberFormat="1" applyFont="1" applyFill="1" applyBorder="1" applyAlignment="1">
      <alignment horizontal="center"/>
    </xf>
    <xf numFmtId="168" fontId="19" fillId="9" borderId="22" xfId="5" applyNumberFormat="1" applyFont="1" applyFill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68" fontId="19" fillId="14" borderId="71" xfId="5" applyNumberFormat="1" applyFont="1" applyFill="1" applyBorder="1" applyAlignment="1">
      <alignment horizontal="center"/>
    </xf>
    <xf numFmtId="168" fontId="19" fillId="14" borderId="12" xfId="5" applyNumberFormat="1" applyFont="1" applyFill="1" applyBorder="1" applyAlignment="1">
      <alignment horizontal="center"/>
    </xf>
    <xf numFmtId="168" fontId="19" fillId="14" borderId="22" xfId="5" applyNumberFormat="1" applyFont="1" applyFill="1" applyBorder="1" applyAlignment="1">
      <alignment horizontal="center"/>
    </xf>
  </cellXfs>
  <cellStyles count="8">
    <cellStyle name="Euro" xfId="1" xr:uid="{00000000-0005-0000-0000-000000000000}"/>
    <cellStyle name="Migliaia" xfId="2" builtinId="3"/>
    <cellStyle name="Migliaia (0)_01.2001" xfId="3" xr:uid="{00000000-0005-0000-0000-000001000000}"/>
    <cellStyle name="Normale" xfId="0" builtinId="0"/>
    <cellStyle name="Normale 5" xfId="7" xr:uid="{939FCEDB-6FBD-9D44-9B50-4D5B8889D210}"/>
    <cellStyle name="Percentuale" xfId="4" builtinId="5"/>
    <cellStyle name="Valuta" xfId="5" builtinId="4"/>
    <cellStyle name="Valuta (0)_01.2001" xfId="6" xr:uid="{00000000-0005-0000-0000-000005000000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border>
        <top style="medium">
          <color indexed="64"/>
        </top>
      </border>
    </dxf>
    <dxf>
      <font>
        <b/>
      </font>
      <fill>
        <patternFill patternType="solid">
          <fgColor indexed="64"/>
          <bgColor rgb="FFFFF4D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7C7"/>
      <color rgb="FFF7FF77"/>
      <color rgb="FFFFF4D7"/>
      <color rgb="FFDAABC5"/>
      <color rgb="FFFF6FFB"/>
      <color rgb="FF26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molla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QUANTITÀ!$A$8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QUANTITÀ!$B$8:$M$8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0-D147-9576-83675012660F}"/>
            </c:ext>
          </c:extLst>
        </c:ser>
        <c:ser>
          <c:idx val="1"/>
          <c:order val="1"/>
          <c:tx>
            <c:strRef>
              <c:f>QUANTITÀ!$A$9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QUANTITÀ!$B$9:$M$9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0-D147-9576-83675012660F}"/>
            </c:ext>
          </c:extLst>
        </c:ser>
        <c:ser>
          <c:idx val="2"/>
          <c:order val="2"/>
          <c:tx>
            <c:strRef>
              <c:f>QUANTITÀ!$A$10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QUANTITÀ!$B$10:$M$10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0-D147-9576-836750126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603803670438303E-2"/>
          <c:y val="0.23305048582357199"/>
          <c:w val="0.87518188751985404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POLIUR!$B$54:$M$54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62920"/>
        <c:axId val="111995048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POLIUR!$B$55:$M$55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533208"/>
        <c:axId val="112108776"/>
      </c:lineChart>
      <c:catAx>
        <c:axId val="678262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5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50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62920"/>
        <c:crosses val="autoZero"/>
        <c:crossBetween val="between"/>
      </c:valAx>
      <c:catAx>
        <c:axId val="677533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12108776"/>
        <c:crosses val="autoZero"/>
        <c:auto val="0"/>
        <c:lblAlgn val="ctr"/>
        <c:lblOffset val="100"/>
        <c:noMultiLvlLbl val="0"/>
      </c:catAx>
      <c:valAx>
        <c:axId val="1121087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3320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7358691136254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662199020779E-2"/>
          <c:y val="0.23305048582357199"/>
          <c:w val="0.86211947128821398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POLIUR!$B$79:$M$79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646808"/>
        <c:axId val="11199882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POLIUR!$B$80:$M$80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13352"/>
        <c:axId val="112082328"/>
      </c:lineChart>
      <c:catAx>
        <c:axId val="677646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8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882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646808"/>
        <c:crosses val="autoZero"/>
        <c:crossBetween val="between"/>
      </c:valAx>
      <c:catAx>
        <c:axId val="112013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12082328"/>
        <c:crosses val="autoZero"/>
        <c:auto val="0"/>
        <c:lblAlgn val="ctr"/>
        <c:lblOffset val="100"/>
        <c:noMultiLvlLbl val="0"/>
      </c:catAx>
      <c:valAx>
        <c:axId val="112082328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013352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3164209461428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MATERASSI A SCHIUMA POLIURETANICA - TUTTI I CANALI</a:t>
            </a:r>
          </a:p>
        </c:rich>
      </c:tx>
      <c:layout>
        <c:manualLayout>
          <c:xMode val="edge"/>
          <c:yMode val="edge"/>
          <c:x val="0.31144789689075902"/>
          <c:y val="3.3994481613298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13379401393595E-2"/>
          <c:y val="0.18644038865885801"/>
          <c:w val="0.86462866732825105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POLIUR!$B$4:$M$4</c:f>
              <c:numCache>
                <c:formatCode>#,##0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118968"/>
        <c:axId val="67757354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POLIUR!$B$5:$M$5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499.99999999999994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499.99999999999994</c:v>
                </c:pt>
                <c:pt idx="6">
                  <c:v>499.99999999999994</c:v>
                </c:pt>
                <c:pt idx="7">
                  <c:v>499.99999999999994</c:v>
                </c:pt>
                <c:pt idx="8">
                  <c:v>499.99999999999994</c:v>
                </c:pt>
                <c:pt idx="9">
                  <c:v>500</c:v>
                </c:pt>
                <c:pt idx="10">
                  <c:v>500</c:v>
                </c:pt>
                <c:pt idx="11">
                  <c:v>499.99999999999994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39768"/>
        <c:axId val="678113032"/>
      </c:lineChart>
      <c:catAx>
        <c:axId val="678118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73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757354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18968"/>
        <c:crosses val="autoZero"/>
        <c:crossBetween val="between"/>
      </c:valAx>
      <c:catAx>
        <c:axId val="678139768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13032"/>
        <c:crosses val="autoZero"/>
        <c:auto val="0"/>
        <c:lblAlgn val="ctr"/>
        <c:lblOffset val="100"/>
        <c:noMultiLvlLbl val="0"/>
      </c:catAx>
      <c:valAx>
        <c:axId val="678113032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3976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427940770144497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4 v2'!$B$15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4 v2'!$C$6:$N$6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4 v2'!$C$15:$N$15</c:f>
              <c:numCache>
                <c:formatCode>_-* #,##0_-;\-* #,##0_-;_-* "-"??_-;_-@_-</c:formatCode>
                <c:ptCount val="12"/>
                <c:pt idx="0">
                  <c:v>53085.140425531914</c:v>
                </c:pt>
                <c:pt idx="1">
                  <c:v>60115.491160451427</c:v>
                </c:pt>
                <c:pt idx="2">
                  <c:v>67407.192253488931</c:v>
                </c:pt>
                <c:pt idx="3">
                  <c:v>61932.663829787234</c:v>
                </c:pt>
                <c:pt idx="4">
                  <c:v>61932.663829787227</c:v>
                </c:pt>
                <c:pt idx="5">
                  <c:v>64881.83829787228</c:v>
                </c:pt>
                <c:pt idx="6">
                  <c:v>57041.838297872338</c:v>
                </c:pt>
                <c:pt idx="7">
                  <c:v>35390.093617021274</c:v>
                </c:pt>
                <c:pt idx="8">
                  <c:v>61002.600772020145</c:v>
                </c:pt>
                <c:pt idx="9">
                  <c:v>53809.840677835746</c:v>
                </c:pt>
                <c:pt idx="10">
                  <c:v>61932.663829787227</c:v>
                </c:pt>
                <c:pt idx="11">
                  <c:v>27550.093617021277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D-2F47-95B4-2FFCEDA06999}"/>
            </c:ext>
          </c:extLst>
        </c:ser>
        <c:ser>
          <c:idx val="1"/>
          <c:order val="1"/>
          <c:tx>
            <c:strRef>
              <c:f>'Tab 4 v2'!$B$13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4 v2'!$C$13:$N$13</c:f>
              <c:numCache>
                <c:formatCode>_-* #,##0_-;\-* #,##0_-;_-* "-"??_-;_-@_-</c:formatCode>
                <c:ptCount val="12"/>
                <c:pt idx="0">
                  <c:v>52287.943518874388</c:v>
                </c:pt>
                <c:pt idx="1">
                  <c:v>58097.71502097154</c:v>
                </c:pt>
                <c:pt idx="2">
                  <c:v>66812.372274117282</c:v>
                </c:pt>
                <c:pt idx="3">
                  <c:v>61002.600772020131</c:v>
                </c:pt>
                <c:pt idx="4">
                  <c:v>61002.600772020131</c:v>
                </c:pt>
                <c:pt idx="5">
                  <c:v>63907.486523068706</c:v>
                </c:pt>
                <c:pt idx="6">
                  <c:v>63907.486523068706</c:v>
                </c:pt>
                <c:pt idx="7">
                  <c:v>34858.629012582933</c:v>
                </c:pt>
                <c:pt idx="8">
                  <c:v>63907.486523068706</c:v>
                </c:pt>
                <c:pt idx="9">
                  <c:v>61002.600772020131</c:v>
                </c:pt>
                <c:pt idx="10">
                  <c:v>61002.600772020131</c:v>
                </c:pt>
                <c:pt idx="11">
                  <c:v>34858.629012582933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FD-2F47-95B4-2FFCEDA06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in schiuma</a:t>
            </a:r>
            <a:r>
              <a:rPr lang="it-IT" baseline="0"/>
              <a:t> poliuretanica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4 v2'!$B$15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4 v2'!$C$6:$N$6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4 v2'!$C$28:$N$28</c:f>
              <c:numCache>
                <c:formatCode>_-* #,##0_-;\-* #,##0_-;_-* "-"??_-;_-@_-</c:formatCode>
                <c:ptCount val="12"/>
                <c:pt idx="0">
                  <c:v>3608.3732687165466</c:v>
                </c:pt>
                <c:pt idx="1">
                  <c:v>3741.1687639396141</c:v>
                </c:pt>
                <c:pt idx="2">
                  <c:v>3919.3196574605463</c:v>
                </c:pt>
                <c:pt idx="3">
                  <c:v>3919.3196574605317</c:v>
                </c:pt>
                <c:pt idx="4">
                  <c:v>2503.4253543994564</c:v>
                </c:pt>
                <c:pt idx="5">
                  <c:v>4551.6595744680817</c:v>
                </c:pt>
                <c:pt idx="6">
                  <c:v>4001.6595744680844</c:v>
                </c:pt>
                <c:pt idx="7">
                  <c:v>2482.7234042553191</c:v>
                </c:pt>
                <c:pt idx="8">
                  <c:v>3008.4665511662315</c:v>
                </c:pt>
                <c:pt idx="9">
                  <c:v>4344.765957446808</c:v>
                </c:pt>
                <c:pt idx="10">
                  <c:v>4344.765957446808</c:v>
                </c:pt>
                <c:pt idx="11">
                  <c:v>1932.7234042553191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A-344A-AE24-D59B29B8710F}"/>
            </c:ext>
          </c:extLst>
        </c:ser>
        <c:ser>
          <c:idx val="1"/>
          <c:order val="1"/>
          <c:tx>
            <c:strRef>
              <c:f>'Tab 4 v2'!$B$26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4 v2'!$C$26:$N$26</c:f>
              <c:numCache>
                <c:formatCode>_-* #,##0_-;\-* #,##0_-;_-* "-"??_-;_-@_-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CA-344A-AE24-D59B29B87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UOMO -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5'!$B$10</c:f>
              <c:strCache>
                <c:ptCount val="1"/>
                <c:pt idx="0">
                  <c:v>H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5'!$C$5:$N$5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5'!$C$10:$N$10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15028.872790112857</c:v>
                </c:pt>
                <c:pt idx="2">
                  <c:v>16851.798063372233</c:v>
                </c:pt>
                <c:pt idx="3">
                  <c:v>15483.165957446809</c:v>
                </c:pt>
                <c:pt idx="4">
                  <c:v>15483.165957446807</c:v>
                </c:pt>
                <c:pt idx="5">
                  <c:v>16220.45957446807</c:v>
                </c:pt>
                <c:pt idx="6">
                  <c:v>14260.459574468085</c:v>
                </c:pt>
                <c:pt idx="7">
                  <c:v>8847.5234042553184</c:v>
                </c:pt>
                <c:pt idx="8">
                  <c:v>15250.650193005036</c:v>
                </c:pt>
                <c:pt idx="9">
                  <c:v>13452.460169458936</c:v>
                </c:pt>
                <c:pt idx="10">
                  <c:v>15483.165957446807</c:v>
                </c:pt>
                <c:pt idx="11">
                  <c:v>6887.5234042553193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D-D54F-BC64-99A969F9C681}"/>
            </c:ext>
          </c:extLst>
        </c:ser>
        <c:ser>
          <c:idx val="1"/>
          <c:order val="1"/>
          <c:tx>
            <c:strRef>
              <c:f>'Tab. 5'!$B$17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5'!$C$17:$N$17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14745.872340425531</c:v>
                </c:pt>
                <c:pt idx="2">
                  <c:v>16957.753191489363</c:v>
                </c:pt>
                <c:pt idx="3">
                  <c:v>15483.165957446809</c:v>
                </c:pt>
                <c:pt idx="4">
                  <c:v>15483.165957446809</c:v>
                </c:pt>
                <c:pt idx="5">
                  <c:v>16220.459574468085</c:v>
                </c:pt>
                <c:pt idx="6">
                  <c:v>14260.459574468085</c:v>
                </c:pt>
                <c:pt idx="7">
                  <c:v>8847.5234042553184</c:v>
                </c:pt>
                <c:pt idx="8">
                  <c:v>16220.459574468085</c:v>
                </c:pt>
                <c:pt idx="9">
                  <c:v>15483.165957446809</c:v>
                </c:pt>
                <c:pt idx="10">
                  <c:v>15483.165957446809</c:v>
                </c:pt>
                <c:pt idx="11">
                  <c:v>6887.5234042553193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9D-D54F-BC64-99A969F9C681}"/>
            </c:ext>
          </c:extLst>
        </c:ser>
        <c:ser>
          <c:idx val="2"/>
          <c:order val="2"/>
          <c:tx>
            <c:strRef>
              <c:f>'Tab. 5'!$B$23</c:f>
              <c:strCache>
                <c:ptCount val="1"/>
                <c:pt idx="0">
                  <c:v>H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5'!$C$23:$N$23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15028.872790112857</c:v>
                </c:pt>
                <c:pt idx="2">
                  <c:v>16851.798063372262</c:v>
                </c:pt>
                <c:pt idx="3">
                  <c:v>15483.165957446809</c:v>
                </c:pt>
                <c:pt idx="4">
                  <c:v>15483.165957446792</c:v>
                </c:pt>
                <c:pt idx="5">
                  <c:v>16220.45957446807</c:v>
                </c:pt>
                <c:pt idx="6">
                  <c:v>14260.459574468085</c:v>
                </c:pt>
                <c:pt idx="7">
                  <c:v>8847.5234042553184</c:v>
                </c:pt>
                <c:pt idx="8">
                  <c:v>15250.650193005036</c:v>
                </c:pt>
                <c:pt idx="9">
                  <c:v>13452.460169458936</c:v>
                </c:pt>
                <c:pt idx="10">
                  <c:v>15483.165957446807</c:v>
                </c:pt>
                <c:pt idx="11">
                  <c:v>6887.5234042553193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9D-D54F-BC64-99A969F9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UOMO - Poliuretano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5'!$B$42</c:f>
              <c:strCache>
                <c:ptCount val="1"/>
                <c:pt idx="0">
                  <c:v>H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5'!$C$5:$N$5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5'!$C$42:$N$42</c:f>
              <c:numCache>
                <c:formatCode>_-* #,##0_-;\-* #,##0_-;_-* "-"??_-;_-@_-</c:formatCode>
                <c:ptCount val="12"/>
                <c:pt idx="0">
                  <c:v>1443.3493074866187</c:v>
                </c:pt>
                <c:pt idx="1">
                  <c:v>1496.4675055758457</c:v>
                </c:pt>
                <c:pt idx="2">
                  <c:v>1567.7278629842185</c:v>
                </c:pt>
                <c:pt idx="3">
                  <c:v>1567.7278629842128</c:v>
                </c:pt>
                <c:pt idx="4">
                  <c:v>1001.3701417597827</c:v>
                </c:pt>
                <c:pt idx="5">
                  <c:v>1820.6638297872328</c:v>
                </c:pt>
                <c:pt idx="6">
                  <c:v>1600.6638297872339</c:v>
                </c:pt>
                <c:pt idx="7">
                  <c:v>993.08936170212769</c:v>
                </c:pt>
                <c:pt idx="8">
                  <c:v>1203.3866204664926</c:v>
                </c:pt>
                <c:pt idx="9">
                  <c:v>1737.9063829787233</c:v>
                </c:pt>
                <c:pt idx="10">
                  <c:v>1737.9063829787233</c:v>
                </c:pt>
                <c:pt idx="11">
                  <c:v>773.08936170212769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7-F543-8331-8AA9EBD47889}"/>
            </c:ext>
          </c:extLst>
        </c:ser>
        <c:ser>
          <c:idx val="1"/>
          <c:order val="1"/>
          <c:tx>
            <c:strRef>
              <c:f>'Tab. 5'!$B$49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5'!$C$49:$N$49</c:f>
              <c:numCache>
                <c:formatCode>_-* #,##0_-;\-* #,##0_-;_-* "-"??_-;_-@_-</c:formatCode>
                <c:ptCount val="12"/>
                <c:pt idx="0">
                  <c:v>1489.6340425531914</c:v>
                </c:pt>
                <c:pt idx="1">
                  <c:v>1655.1489361702127</c:v>
                </c:pt>
                <c:pt idx="2">
                  <c:v>1903.4212765957445</c:v>
                </c:pt>
                <c:pt idx="3">
                  <c:v>1737.9063829787233</c:v>
                </c:pt>
                <c:pt idx="4">
                  <c:v>1737.9063829787233</c:v>
                </c:pt>
                <c:pt idx="5">
                  <c:v>1820.6638297872339</c:v>
                </c:pt>
                <c:pt idx="6">
                  <c:v>1600.6638297872339</c:v>
                </c:pt>
                <c:pt idx="7">
                  <c:v>993.08936170212769</c:v>
                </c:pt>
                <c:pt idx="8">
                  <c:v>1820.6638297872339</c:v>
                </c:pt>
                <c:pt idx="9">
                  <c:v>1737.9063829787233</c:v>
                </c:pt>
                <c:pt idx="10">
                  <c:v>1737.9063829787233</c:v>
                </c:pt>
                <c:pt idx="11">
                  <c:v>773.08936170212769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7-F543-8331-8AA9EBD47889}"/>
            </c:ext>
          </c:extLst>
        </c:ser>
        <c:ser>
          <c:idx val="2"/>
          <c:order val="2"/>
          <c:tx>
            <c:strRef>
              <c:f>'Tab. 5'!$B$55</c:f>
              <c:strCache>
                <c:ptCount val="1"/>
                <c:pt idx="0">
                  <c:v>H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5'!$C$55:$N$55</c:f>
              <c:numCache>
                <c:formatCode>_-* #,##0_-;\-* #,##0_-;_-* "-"??_-;_-@_-</c:formatCode>
                <c:ptCount val="12"/>
                <c:pt idx="0">
                  <c:v>1443.3493074866187</c:v>
                </c:pt>
                <c:pt idx="1">
                  <c:v>1496.4675055758487</c:v>
                </c:pt>
                <c:pt idx="2">
                  <c:v>1567.7278629842185</c:v>
                </c:pt>
                <c:pt idx="3">
                  <c:v>1567.7278629842128</c:v>
                </c:pt>
                <c:pt idx="4">
                  <c:v>1001.3701417597827</c:v>
                </c:pt>
                <c:pt idx="5">
                  <c:v>1820.6638297872328</c:v>
                </c:pt>
                <c:pt idx="6">
                  <c:v>1600.6638297872339</c:v>
                </c:pt>
                <c:pt idx="7">
                  <c:v>993.08936170212769</c:v>
                </c:pt>
                <c:pt idx="8">
                  <c:v>1203.3866204664926</c:v>
                </c:pt>
                <c:pt idx="9">
                  <c:v>1737.9063829787233</c:v>
                </c:pt>
                <c:pt idx="10">
                  <c:v>1737.9063829787233</c:v>
                </c:pt>
                <c:pt idx="11">
                  <c:v>773.08936170212769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D7-F543-8331-8AA9EBD47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MACCHINA -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6'!$B$10</c:f>
              <c:strCache>
                <c:ptCount val="1"/>
                <c:pt idx="0">
                  <c:v>H macchine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6'!$C$5:$N$5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6'!$C$10:$N$10</c:f>
              <c:numCache>
                <c:formatCode>_-* #,##0_-;\-* #,##0_-;_-* "-"??_-;_-@_-</c:formatCode>
                <c:ptCount val="12"/>
                <c:pt idx="0">
                  <c:v>1150.1780425531915</c:v>
                </c:pt>
                <c:pt idx="1">
                  <c:v>1302.5023084764475</c:v>
                </c:pt>
                <c:pt idx="2">
                  <c:v>1460.4891654922603</c:v>
                </c:pt>
                <c:pt idx="3">
                  <c:v>1341.8743829787234</c:v>
                </c:pt>
                <c:pt idx="4">
                  <c:v>1341.8743829787234</c:v>
                </c:pt>
                <c:pt idx="5">
                  <c:v>1405.7731631205661</c:v>
                </c:pt>
                <c:pt idx="6">
                  <c:v>1235.9064964539007</c:v>
                </c:pt>
                <c:pt idx="7">
                  <c:v>766.7853617021276</c:v>
                </c:pt>
                <c:pt idx="8">
                  <c:v>1321.7230167271032</c:v>
                </c:pt>
                <c:pt idx="9">
                  <c:v>1165.879881353108</c:v>
                </c:pt>
                <c:pt idx="10">
                  <c:v>1341.8743829787234</c:v>
                </c:pt>
                <c:pt idx="11">
                  <c:v>596.91869503546104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B-8B43-922E-1657747A51CB}"/>
            </c:ext>
          </c:extLst>
        </c:ser>
        <c:ser>
          <c:idx val="1"/>
          <c:order val="1"/>
          <c:tx>
            <c:strRef>
              <c:f>'Tab. 6'!$B$18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6'!$C$18:$N$18</c:f>
              <c:numCache>
                <c:formatCode>_-* #,##0_-;\-* #,##0_-;_-* "-"??_-;_-@_-</c:formatCode>
                <c:ptCount val="12"/>
                <c:pt idx="0">
                  <c:v>1224</c:v>
                </c:pt>
                <c:pt idx="1">
                  <c:v>1368</c:v>
                </c:pt>
                <c:pt idx="2">
                  <c:v>1584</c:v>
                </c:pt>
                <c:pt idx="3">
                  <c:v>1440</c:v>
                </c:pt>
                <c:pt idx="4">
                  <c:v>1440</c:v>
                </c:pt>
                <c:pt idx="5">
                  <c:v>1512</c:v>
                </c:pt>
                <c:pt idx="6">
                  <c:v>1332</c:v>
                </c:pt>
                <c:pt idx="7">
                  <c:v>792</c:v>
                </c:pt>
                <c:pt idx="8">
                  <c:v>1512</c:v>
                </c:pt>
                <c:pt idx="9">
                  <c:v>1440</c:v>
                </c:pt>
                <c:pt idx="10">
                  <c:v>1440</c:v>
                </c:pt>
                <c:pt idx="11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B-8B43-922E-1657747A51CB}"/>
            </c:ext>
          </c:extLst>
        </c:ser>
        <c:ser>
          <c:idx val="2"/>
          <c:order val="2"/>
          <c:tx>
            <c:strRef>
              <c:f>'Tab. 6'!$B$22</c:f>
              <c:strCache>
                <c:ptCount val="1"/>
                <c:pt idx="0">
                  <c:v>H macchine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6'!$C$22:$N$22</c:f>
              <c:numCache>
                <c:formatCode>_-* #,##0_-;\-* #,##0_-;_-* "-"??_-;_-@_-</c:formatCode>
                <c:ptCount val="12"/>
                <c:pt idx="0">
                  <c:v>1150.1780425531915</c:v>
                </c:pt>
                <c:pt idx="1">
                  <c:v>1302.5023084764475</c:v>
                </c:pt>
                <c:pt idx="2">
                  <c:v>1460.4891654922628</c:v>
                </c:pt>
                <c:pt idx="3">
                  <c:v>1341.8743829787234</c:v>
                </c:pt>
                <c:pt idx="4">
                  <c:v>1341.874382978722</c:v>
                </c:pt>
                <c:pt idx="5">
                  <c:v>1405.7731631205661</c:v>
                </c:pt>
                <c:pt idx="6">
                  <c:v>1235.9064964539007</c:v>
                </c:pt>
                <c:pt idx="7">
                  <c:v>766.7853617021276</c:v>
                </c:pt>
                <c:pt idx="8">
                  <c:v>1321.7230167271032</c:v>
                </c:pt>
                <c:pt idx="9">
                  <c:v>1165.879881353108</c:v>
                </c:pt>
                <c:pt idx="10">
                  <c:v>1341.8743829787234</c:v>
                </c:pt>
                <c:pt idx="11">
                  <c:v>596.91869503546104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B-8B43-922E-1657747A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MACCHINE - Poliuretano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6'!$B$32</c:f>
              <c:strCache>
                <c:ptCount val="1"/>
                <c:pt idx="0">
                  <c:v>H macchine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6'!$C$5:$N$5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6'!$C$32:$N$32</c:f>
              <c:numCache>
                <c:formatCode>_-* #,##0_-;\-* #,##0_-;_-* "-"??_-;_-@_-</c:formatCode>
                <c:ptCount val="12"/>
                <c:pt idx="0">
                  <c:v>132.30701985294004</c:v>
                </c:pt>
                <c:pt idx="1">
                  <c:v>137.17618801111919</c:v>
                </c:pt>
                <c:pt idx="2">
                  <c:v>143.70838744022004</c:v>
                </c:pt>
                <c:pt idx="3">
                  <c:v>143.7083874402195</c:v>
                </c:pt>
                <c:pt idx="4">
                  <c:v>91.792262994646734</c:v>
                </c:pt>
                <c:pt idx="5">
                  <c:v>166.894184397163</c:v>
                </c:pt>
                <c:pt idx="6">
                  <c:v>146.72751773049643</c:v>
                </c:pt>
                <c:pt idx="7">
                  <c:v>91.033191489361698</c:v>
                </c:pt>
                <c:pt idx="8">
                  <c:v>110.31044020942849</c:v>
                </c:pt>
                <c:pt idx="9">
                  <c:v>159.30808510638295</c:v>
                </c:pt>
                <c:pt idx="10">
                  <c:v>159.30808510638295</c:v>
                </c:pt>
                <c:pt idx="11">
                  <c:v>70.866524822695041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E-9946-99AC-D02DDA6F1176}"/>
            </c:ext>
          </c:extLst>
        </c:ser>
        <c:ser>
          <c:idx val="1"/>
          <c:order val="1"/>
          <c:tx>
            <c:strRef>
              <c:f>'Tab. 6'!$B$40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6'!$C$40:$N$40</c:f>
              <c:numCache>
                <c:formatCode>_-* #,##0_-;\-* #,##0_-;_-* "-"??_-;_-@_-</c:formatCode>
                <c:ptCount val="12"/>
                <c:pt idx="0">
                  <c:v>272</c:v>
                </c:pt>
                <c:pt idx="1">
                  <c:v>304</c:v>
                </c:pt>
                <c:pt idx="2">
                  <c:v>352</c:v>
                </c:pt>
                <c:pt idx="3">
                  <c:v>320</c:v>
                </c:pt>
                <c:pt idx="4">
                  <c:v>320</c:v>
                </c:pt>
                <c:pt idx="5">
                  <c:v>336</c:v>
                </c:pt>
                <c:pt idx="6">
                  <c:v>296</c:v>
                </c:pt>
                <c:pt idx="7">
                  <c:v>176</c:v>
                </c:pt>
                <c:pt idx="8">
                  <c:v>336</c:v>
                </c:pt>
                <c:pt idx="9">
                  <c:v>320</c:v>
                </c:pt>
                <c:pt idx="10">
                  <c:v>320</c:v>
                </c:pt>
                <c:pt idx="11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E-9946-99AC-D02DDA6F1176}"/>
            </c:ext>
          </c:extLst>
        </c:ser>
        <c:ser>
          <c:idx val="2"/>
          <c:order val="2"/>
          <c:tx>
            <c:strRef>
              <c:f>'Tab. 6'!$B$44</c:f>
              <c:strCache>
                <c:ptCount val="1"/>
                <c:pt idx="0">
                  <c:v>H macchine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6'!$C$44:$N$44</c:f>
              <c:numCache>
                <c:formatCode>_-* #,##0_-;\-* #,##0_-;_-* "-"??_-;_-@_-</c:formatCode>
                <c:ptCount val="12"/>
                <c:pt idx="0">
                  <c:v>132.30701985294004</c:v>
                </c:pt>
                <c:pt idx="1">
                  <c:v>137.17618801111945</c:v>
                </c:pt>
                <c:pt idx="2">
                  <c:v>143.70838744022004</c:v>
                </c:pt>
                <c:pt idx="3">
                  <c:v>143.7083874402195</c:v>
                </c:pt>
                <c:pt idx="4">
                  <c:v>91.792262994646734</c:v>
                </c:pt>
                <c:pt idx="5">
                  <c:v>166.894184397163</c:v>
                </c:pt>
                <c:pt idx="6">
                  <c:v>146.72751773049643</c:v>
                </c:pt>
                <c:pt idx="7">
                  <c:v>91.033191489361698</c:v>
                </c:pt>
                <c:pt idx="8">
                  <c:v>110.31044020942849</c:v>
                </c:pt>
                <c:pt idx="9">
                  <c:v>159.30808510638295</c:v>
                </c:pt>
                <c:pt idx="10">
                  <c:v>159.30808510638295</c:v>
                </c:pt>
                <c:pt idx="11">
                  <c:v>70.866524822695041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CE-9946-99AC-D02DDA6F1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schiuma poliuretanica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QUANTITÀ!$A$15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QUANTITÀ!$B$15:$M$15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0-8E4A-8327-CD0C135C6C96}"/>
            </c:ext>
          </c:extLst>
        </c:ser>
        <c:ser>
          <c:idx val="1"/>
          <c:order val="1"/>
          <c:tx>
            <c:strRef>
              <c:f>QUANTITÀ!$A$16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QUANTITÀ!$B$16:$M$16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0-8E4A-8327-CD0C135C6C96}"/>
            </c:ext>
          </c:extLst>
        </c:ser>
        <c:ser>
          <c:idx val="2"/>
          <c:order val="2"/>
          <c:tx>
            <c:strRef>
              <c:f>QUANTITÀ!$A$17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QUANTITÀ!$B$17:$M$17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40-8E4A-8327-CD0C135C6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Prezzo unitario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PREZZI!$B$5:$M$5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309-FD45-BA6F-D49A22F9724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PREZZI!$B$6:$M$6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309-FD45-BA6F-D49A22F9724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PREZZI!$B$7:$M$7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309-FD45-BA6F-D49A22F97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30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Prezzo unitario Materassi a schiuma poliuretanica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PREZZI!$B$12:$M$12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87E-0341-B106-7B2C9D94B70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PREZZI!$B$13:$M$13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87E-0341-B106-7B2C9D94B70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PREZZI!$B$14:$M$14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87E-0341-B106-7B2C9D94B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45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</a:t>
            </a:r>
            <a:r>
              <a:rPr lang="it-IT" b="1" baseline="0"/>
              <a:t> - TRADIZIONALE</a:t>
            </a:r>
            <a:endParaRPr lang="it-IT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MOLLE!$B$29:$M$29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MOLLE!$B$30:$M$30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646616541353398E-2"/>
          <c:y val="0.18644038865885801"/>
          <c:w val="0.87218045112781895"/>
          <c:h val="0.597456700020431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MOLLE!$B$77:$M$77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18936"/>
        <c:axId val="678222648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MOLLE!$B$78:$M$78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226584"/>
        <c:axId val="678229800"/>
      </c:lineChart>
      <c:catAx>
        <c:axId val="678218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2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2226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18936"/>
        <c:crosses val="autoZero"/>
        <c:crossBetween val="between"/>
      </c:valAx>
      <c:catAx>
        <c:axId val="678226584"/>
        <c:scaling>
          <c:orientation val="minMax"/>
        </c:scaling>
        <c:delete val="1"/>
        <c:axPos val="b"/>
        <c:majorTickMark val="out"/>
        <c:minorTickMark val="none"/>
        <c:tickLblPos val="nextTo"/>
        <c:crossAx val="678229800"/>
        <c:crosses val="autoZero"/>
        <c:auto val="0"/>
        <c:lblAlgn val="ctr"/>
        <c:lblOffset val="100"/>
        <c:noMultiLvlLbl val="0"/>
      </c:catAx>
      <c:valAx>
        <c:axId val="678229800"/>
        <c:scaling>
          <c:orientation val="minMax"/>
        </c:scaling>
        <c:delete val="0"/>
        <c:axPos val="r"/>
        <c:numFmt formatCode="_-&quot;€&quot;\ * #,##0.00_-;\-&quot;€&quot;\ * #,##0.00_-;_-&quot;€&quot;\ * &quot;-&quot;??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6584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93984962406002"/>
          <c:y val="0.90677825393171796"/>
          <c:w val="0.24060150375939801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TUTTI I CANALI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MOLLE!$B$4:$M$4</c:f>
              <c:numCache>
                <c:formatCode>#,##0</c:formatCode>
                <c:ptCount val="12"/>
                <c:pt idx="0">
                  <c:v>52287.943518874396</c:v>
                </c:pt>
                <c:pt idx="1">
                  <c:v>58097.715020971547</c:v>
                </c:pt>
                <c:pt idx="2">
                  <c:v>66812.372274117282</c:v>
                </c:pt>
                <c:pt idx="3">
                  <c:v>61002.600772020123</c:v>
                </c:pt>
                <c:pt idx="4">
                  <c:v>61002.600772020123</c:v>
                </c:pt>
                <c:pt idx="5">
                  <c:v>63907.486523068699</c:v>
                </c:pt>
                <c:pt idx="6">
                  <c:v>63907.486523068699</c:v>
                </c:pt>
                <c:pt idx="7">
                  <c:v>34858.629012582925</c:v>
                </c:pt>
                <c:pt idx="8">
                  <c:v>63907.486523068699</c:v>
                </c:pt>
                <c:pt idx="9">
                  <c:v>61002.600772020123</c:v>
                </c:pt>
                <c:pt idx="10">
                  <c:v>61002.600772020123</c:v>
                </c:pt>
                <c:pt idx="11">
                  <c:v>34858.629012582925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2456"/>
        <c:axId val="111978840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MOLLE!$B$5:$M$5</c:f>
              <c:numCache>
                <c:formatCode>_-"€"\ * #,##0.00_-;\-"€"\ * #,##0.00_-;_-"€"\ * "-"??_-;_-@_-</c:formatCode>
                <c:ptCount val="12"/>
                <c:pt idx="0">
                  <c:v>179.99999999999997</c:v>
                </c:pt>
                <c:pt idx="1">
                  <c:v>180</c:v>
                </c:pt>
                <c:pt idx="2">
                  <c:v>179.99999999999997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84280"/>
        <c:axId val="677574840"/>
      </c:lineChart>
      <c:catAx>
        <c:axId val="67794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78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7884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2456"/>
        <c:crosses val="autoZero"/>
        <c:crossBetween val="between"/>
      </c:valAx>
      <c:catAx>
        <c:axId val="11198428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574840"/>
        <c:crosses val="autoZero"/>
        <c:auto val="0"/>
        <c:lblAlgn val="ctr"/>
        <c:lblOffset val="100"/>
        <c:noMultiLvlLbl val="0"/>
      </c:catAx>
      <c:valAx>
        <c:axId val="677574840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8428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MOLLE!$A$52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MOLLE!$B$52:$M$52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MOLLE!$A$53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MOLLE!$B$53:$M$53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TRADIZIONALE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3129450479352E-2"/>
          <c:y val="0.18644038865885801"/>
          <c:w val="0.87772910168170903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POLIUR!$B$29:$M$29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76184"/>
        <c:axId val="112137592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POLIUR!$B$30:$M$30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706920"/>
        <c:axId val="677770712"/>
      </c:lineChart>
      <c:catAx>
        <c:axId val="678276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137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13759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76184"/>
        <c:crosses val="autoZero"/>
        <c:crossBetween val="between"/>
      </c:valAx>
      <c:catAx>
        <c:axId val="67770692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770712"/>
        <c:crosses val="autoZero"/>
        <c:auto val="0"/>
        <c:lblAlgn val="ctr"/>
        <c:lblOffset val="100"/>
        <c:noMultiLvlLbl val="0"/>
      </c:catAx>
      <c:valAx>
        <c:axId val="677770712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7069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9912596250292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1396999</xdr:colOff>
      <xdr:row>18</xdr:row>
      <xdr:rowOff>201082</xdr:rowOff>
    </xdr:from>
    <xdr:to>
      <xdr:col>12</xdr:col>
      <xdr:colOff>656165</xdr:colOff>
      <xdr:row>35</xdr:row>
      <xdr:rowOff>201083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4BBCAB-BA10-B24E-8C4A-9F2312C29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13</xdr:col>
      <xdr:colOff>10583</xdr:colOff>
      <xdr:row>55</xdr:row>
      <xdr:rowOff>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DCC353C-F926-0743-9B47-765CCAF09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584201</xdr:colOff>
      <xdr:row>15</xdr:row>
      <xdr:rowOff>8466</xdr:rowOff>
    </xdr:from>
    <xdr:to>
      <xdr:col>11</xdr:col>
      <xdr:colOff>171450</xdr:colOff>
      <xdr:row>35</xdr:row>
      <xdr:rowOff>40217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A17FD0-07E0-4A44-A07C-9DB1691EB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594785</xdr:colOff>
      <xdr:row>37</xdr:row>
      <xdr:rowOff>103717</xdr:rowOff>
    </xdr:from>
    <xdr:to>
      <xdr:col>11</xdr:col>
      <xdr:colOff>182034</xdr:colOff>
      <xdr:row>57</xdr:row>
      <xdr:rowOff>135467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C7BC051-D175-8C4D-9324-25696DD4E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3125" name="Chart 1">
          <a:extLst>
            <a:ext uri="{FF2B5EF4-FFF2-40B4-BE49-F238E27FC236}">
              <a16:creationId xmlns:a16="http://schemas.microsoft.com/office/drawing/2014/main" id="{00000000-0008-0000-0200-00003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1723571</xdr:colOff>
      <xdr:row>80</xdr:row>
      <xdr:rowOff>108857</xdr:rowOff>
    </xdr:from>
    <xdr:to>
      <xdr:col>11</xdr:col>
      <xdr:colOff>444500</xdr:colOff>
      <xdr:row>97</xdr:row>
      <xdr:rowOff>61686</xdr:rowOff>
    </xdr:to>
    <xdr:graphicFrame macro="">
      <xdr:nvGraphicFramePr>
        <xdr:cNvPr id="3126" name="Chart 3">
          <a:extLst>
            <a:ext uri="{FF2B5EF4-FFF2-40B4-BE49-F238E27FC236}">
              <a16:creationId xmlns:a16="http://schemas.microsoft.com/office/drawing/2014/main" id="{00000000-0008-0000-0200-000036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3127" name="Chart 4">
          <a:extLst>
            <a:ext uri="{FF2B5EF4-FFF2-40B4-BE49-F238E27FC236}">
              <a16:creationId xmlns:a16="http://schemas.microsoft.com/office/drawing/2014/main" id="{00000000-0008-0000-0200-000037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55</xdr:row>
      <xdr:rowOff>12700</xdr:rowOff>
    </xdr:from>
    <xdr:to>
      <xdr:col>11</xdr:col>
      <xdr:colOff>444500</xdr:colOff>
      <xdr:row>71</xdr:row>
      <xdr:rowOff>165100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09AC95E-40E7-FC47-836C-14C735FDD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4165" name="Chart 1">
          <a:extLst>
            <a:ext uri="{FF2B5EF4-FFF2-40B4-BE49-F238E27FC236}">
              <a16:creationId xmlns:a16="http://schemas.microsoft.com/office/drawing/2014/main" id="{00000000-0008-0000-0300-00004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57</xdr:row>
      <xdr:rowOff>0</xdr:rowOff>
    </xdr:from>
    <xdr:to>
      <xdr:col>11</xdr:col>
      <xdr:colOff>444500</xdr:colOff>
      <xdr:row>73</xdr:row>
      <xdr:rowOff>152400</xdr:rowOff>
    </xdr:to>
    <xdr:graphicFrame macro="">
      <xdr:nvGraphicFramePr>
        <xdr:cNvPr id="4166" name="Chart 2">
          <a:extLst>
            <a:ext uri="{FF2B5EF4-FFF2-40B4-BE49-F238E27FC236}">
              <a16:creationId xmlns:a16="http://schemas.microsoft.com/office/drawing/2014/main" id="{00000000-0008-0000-0300-00004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82</xdr:row>
      <xdr:rowOff>0</xdr:rowOff>
    </xdr:from>
    <xdr:to>
      <xdr:col>11</xdr:col>
      <xdr:colOff>444500</xdr:colOff>
      <xdr:row>98</xdr:row>
      <xdr:rowOff>152400</xdr:rowOff>
    </xdr:to>
    <xdr:graphicFrame macro="">
      <xdr:nvGraphicFramePr>
        <xdr:cNvPr id="4167" name="Chart 3">
          <a:extLst>
            <a:ext uri="{FF2B5EF4-FFF2-40B4-BE49-F238E27FC236}">
              <a16:creationId xmlns:a16="http://schemas.microsoft.com/office/drawing/2014/main" id="{00000000-0008-0000-0300-00004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4168" name="Chart 4">
          <a:extLst>
            <a:ext uri="{FF2B5EF4-FFF2-40B4-BE49-F238E27FC236}">
              <a16:creationId xmlns:a16="http://schemas.microsoft.com/office/drawing/2014/main" id="{00000000-0008-0000-0300-00004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249768</xdr:colOff>
      <xdr:row>29</xdr:row>
      <xdr:rowOff>42332</xdr:rowOff>
    </xdr:from>
    <xdr:to>
      <xdr:col>6</xdr:col>
      <xdr:colOff>690034</xdr:colOff>
      <xdr:row>41</xdr:row>
      <xdr:rowOff>143932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385B65C-52E4-AD49-A6DA-4BFCFC44E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872067</xdr:colOff>
      <xdr:row>29</xdr:row>
      <xdr:rowOff>16933</xdr:rowOff>
    </xdr:from>
    <xdr:to>
      <xdr:col>11</xdr:col>
      <xdr:colOff>355601</xdr:colOff>
      <xdr:row>41</xdr:row>
      <xdr:rowOff>118533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EE0561B-44C5-6A40-8375-F5573AD3F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140607</xdr:colOff>
      <xdr:row>3</xdr:row>
      <xdr:rowOff>143329</xdr:rowOff>
    </xdr:from>
    <xdr:to>
      <xdr:col>20</xdr:col>
      <xdr:colOff>662215</xdr:colOff>
      <xdr:row>17</xdr:row>
      <xdr:rowOff>18143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6BFD9BE-68EE-BC48-9EC9-B49064435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181428</xdr:colOff>
      <xdr:row>40</xdr:row>
      <xdr:rowOff>27215</xdr:rowOff>
    </xdr:from>
    <xdr:to>
      <xdr:col>20</xdr:col>
      <xdr:colOff>703036</xdr:colOff>
      <xdr:row>51</xdr:row>
      <xdr:rowOff>128815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7BD5092-2B6A-574E-AD22-9C63F852B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140607</xdr:colOff>
      <xdr:row>3</xdr:row>
      <xdr:rowOff>143329</xdr:rowOff>
    </xdr:from>
    <xdr:to>
      <xdr:col>20</xdr:col>
      <xdr:colOff>662215</xdr:colOff>
      <xdr:row>18</xdr:row>
      <xdr:rowOff>18143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141BECF-66AF-4149-923D-18EC69E4C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181428</xdr:colOff>
      <xdr:row>30</xdr:row>
      <xdr:rowOff>27215</xdr:rowOff>
    </xdr:from>
    <xdr:to>
      <xdr:col>20</xdr:col>
      <xdr:colOff>703036</xdr:colOff>
      <xdr:row>42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2BAC33B-3242-0D45-9820-B37F36F56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F3E25E-AB83-EE41-B3AF-38A89040E9D7}" name="Tabella2" displayName="Tabella2" ref="B9:M195" totalsRowCount="1" headerRowDxfId="32" dataDxfId="30" totalsRowDxfId="29" headerRowBorderDxfId="31" totalsRowBorderDxfId="28" headerRowCellStyle="Valuta" dataCellStyle="Valuta">
  <autoFilter ref="B9:M194" xr:uid="{DCF3E25E-AB83-EE41-B3AF-38A89040E9D7}"/>
  <tableColumns count="12">
    <tableColumn id="1" xr3:uid="{19B7E127-672D-EC40-AF64-C19B16AF1105}" name="Matricola" totalsRowLabel="Totale" dataDxfId="27" totalsRowDxfId="26"/>
    <tableColumn id="2" xr3:uid="{BD75045C-B091-C942-95B2-679858DFB001}" name="Funzioni" dataDxfId="25" totalsRowDxfId="24"/>
    <tableColumn id="3" xr3:uid="{0DE325D9-1F0B-B142-A23A-AC0F8507C4B6}" name="Mansione" dataDxfId="23" totalsRowDxfId="22"/>
    <tableColumn id="4" xr3:uid="{E2A4526F-684B-6942-8255-99F9D15525AE}" name="linea" dataDxfId="21" totalsRowDxfId="20"/>
    <tableColumn id="5" xr3:uid="{555B7339-4A4B-454C-A4C3-513F9B7D733C}" name="RAL" totalsRowFunction="sum" dataDxfId="19" totalsRowDxfId="18" dataCellStyle="Valuta"/>
    <tableColumn id="6" xr3:uid="{BAE373D5-3317-CF4B-A4FD-51AC3C47CA0B}" name="Contributi" totalsRowFunction="sum" dataDxfId="17" totalsRowDxfId="16" dataCellStyle="Valuta">
      <calculatedColumnFormula>F10*$E$4</calculatedColumnFormula>
    </tableColumn>
    <tableColumn id="7" xr3:uid="{5E6EEE9C-FF58-2F43-AA93-1B42B5FD5398}" name="13ma" totalsRowFunction="sum" dataDxfId="15" totalsRowDxfId="14" dataCellStyle="Valuta">
      <calculatedColumnFormula>F10/12</calculatedColumnFormula>
    </tableColumn>
    <tableColumn id="8" xr3:uid="{03E49062-4B67-3F4A-BA47-23FB5927F226}" name="Contributi 13ma" totalsRowFunction="sum" dataDxfId="13" totalsRowDxfId="12" dataCellStyle="Valuta">
      <calculatedColumnFormula>H10*$E$4</calculatedColumnFormula>
    </tableColumn>
    <tableColumn id="9" xr3:uid="{4FE8CD81-3AD6-4149-9267-1135F31B5AE4}" name="14ma" totalsRowFunction="sum" dataDxfId="11" totalsRowDxfId="10" dataCellStyle="Valuta">
      <calculatedColumnFormula>F10/12</calculatedColumnFormula>
    </tableColumn>
    <tableColumn id="10" xr3:uid="{438271FD-02F0-7E4F-846E-55C126DBFDBA}" name="Contributi 14m" totalsRowFunction="sum" dataDxfId="9" totalsRowDxfId="8" dataCellStyle="Valuta">
      <calculatedColumnFormula>J10*$E$4</calculatedColumnFormula>
    </tableColumn>
    <tableColumn id="11" xr3:uid="{DF17BCFE-3E7E-334E-AB4F-114FE8BA1841}" name="TFR" totalsRowFunction="sum" dataDxfId="7" totalsRowDxfId="6" dataCellStyle="Valuta">
      <calculatedColumnFormula>F10/13.5</calculatedColumnFormula>
    </tableColumn>
    <tableColumn id="12" xr3:uid="{165577C0-DA39-EF4C-8F0B-B33A0E5325AC}" name="Costo totale" totalsRowFunction="sum" dataDxfId="5" totalsRowDxfId="4" dataCellStyle="Valuta">
      <calculatedColumnFormula>SUM(G10:L10)+F10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3BDE3-4417-CC40-A021-0C33AB397D14}">
  <sheetPr codeName="Foglio1">
    <pageSetUpPr fitToPage="1"/>
  </sheetPr>
  <dimension ref="A2:G55"/>
  <sheetViews>
    <sheetView topLeftCell="A36" zoomScale="200" zoomScaleNormal="200" workbookViewId="0">
      <selection activeCell="C48" sqref="C48"/>
    </sheetView>
  </sheetViews>
  <sheetFormatPr baseColWidth="10" defaultRowHeight="16" x14ac:dyDescent="0.15"/>
  <cols>
    <col min="1" max="1" width="38.1640625" style="77" customWidth="1"/>
    <col min="2" max="2" width="12.33203125" style="77" customWidth="1"/>
    <col min="3" max="3" width="14.83203125" style="77" customWidth="1"/>
    <col min="4" max="4" width="13.33203125" style="77" customWidth="1"/>
    <col min="5" max="5" width="13.5" style="77" customWidth="1"/>
    <col min="6" max="6" width="2.6640625" style="77" customWidth="1"/>
    <col min="7" max="7" width="13.33203125" style="77" customWidth="1"/>
    <col min="8" max="8" width="12.33203125" style="77" bestFit="1" customWidth="1"/>
    <col min="9" max="12" width="10.83203125" style="77"/>
    <col min="13" max="13" width="12.33203125" style="77" bestFit="1" customWidth="1"/>
    <col min="14" max="16384" width="10.83203125" style="77"/>
  </cols>
  <sheetData>
    <row r="2" spans="1:5" x14ac:dyDescent="0.15">
      <c r="A2" s="77" t="s">
        <v>128</v>
      </c>
    </row>
    <row r="4" spans="1:5" x14ac:dyDescent="0.15">
      <c r="A4" s="114" t="s">
        <v>63</v>
      </c>
    </row>
    <row r="6" spans="1:5" x14ac:dyDescent="0.15">
      <c r="A6" s="114" t="s">
        <v>64</v>
      </c>
    </row>
    <row r="8" spans="1:5" x14ac:dyDescent="0.15">
      <c r="A8" s="639"/>
      <c r="B8" s="636" t="s">
        <v>52</v>
      </c>
      <c r="C8" s="637"/>
      <c r="D8" s="638"/>
    </row>
    <row r="9" spans="1:5" x14ac:dyDescent="0.15">
      <c r="A9" s="640"/>
      <c r="B9" s="108" t="s">
        <v>68</v>
      </c>
      <c r="C9" s="103" t="s">
        <v>69</v>
      </c>
      <c r="D9" s="101" t="s">
        <v>70</v>
      </c>
    </row>
    <row r="10" spans="1:5" x14ac:dyDescent="0.15">
      <c r="A10" s="90" t="s">
        <v>65</v>
      </c>
      <c r="B10" s="105">
        <v>0.01</v>
      </c>
      <c r="C10" s="105">
        <v>-0.02</v>
      </c>
      <c r="D10" s="109">
        <v>0.05</v>
      </c>
    </row>
    <row r="11" spans="1:5" x14ac:dyDescent="0.15">
      <c r="A11" s="91" t="s">
        <v>66</v>
      </c>
      <c r="B11" s="105">
        <v>0.02</v>
      </c>
      <c r="C11" s="105">
        <v>-0.04</v>
      </c>
      <c r="D11" s="109">
        <v>0.08</v>
      </c>
    </row>
    <row r="12" spans="1:5" x14ac:dyDescent="0.15">
      <c r="A12" s="92" t="s">
        <v>67</v>
      </c>
      <c r="B12" s="112">
        <v>0.01</v>
      </c>
      <c r="C12" s="107">
        <v>-0.02</v>
      </c>
      <c r="D12" s="110">
        <v>0.03</v>
      </c>
    </row>
    <row r="14" spans="1:5" x14ac:dyDescent="0.15">
      <c r="A14" s="114" t="s">
        <v>71</v>
      </c>
    </row>
    <row r="16" spans="1:5" x14ac:dyDescent="0.15">
      <c r="B16" s="643" t="s">
        <v>72</v>
      </c>
      <c r="C16" s="644"/>
      <c r="D16" s="644"/>
      <c r="E16" s="645"/>
    </row>
    <row r="17" spans="1:7" x14ac:dyDescent="0.15">
      <c r="B17" s="636" t="s">
        <v>52</v>
      </c>
      <c r="C17" s="637"/>
      <c r="D17" s="638"/>
      <c r="E17" s="641" t="s">
        <v>3</v>
      </c>
    </row>
    <row r="18" spans="1:7" x14ac:dyDescent="0.15">
      <c r="B18" s="108" t="s">
        <v>68</v>
      </c>
      <c r="C18" s="103" t="s">
        <v>69</v>
      </c>
      <c r="D18" s="101" t="s">
        <v>70</v>
      </c>
      <c r="E18" s="642"/>
      <c r="G18" s="102" t="s">
        <v>84</v>
      </c>
    </row>
    <row r="19" spans="1:7" x14ac:dyDescent="0.15">
      <c r="B19" s="90"/>
      <c r="C19" s="90"/>
      <c r="D19" s="90"/>
      <c r="E19" s="90"/>
      <c r="G19" s="91"/>
    </row>
    <row r="20" spans="1:7" x14ac:dyDescent="0.15">
      <c r="A20" s="89" t="s">
        <v>53</v>
      </c>
      <c r="B20" s="97">
        <f>+B24/B26</f>
        <v>128140000</v>
      </c>
      <c r="C20" s="97">
        <f>$E20*C21</f>
        <v>123000000</v>
      </c>
      <c r="D20" s="97">
        <f>$E20*D21</f>
        <v>77900000</v>
      </c>
      <c r="E20" s="98">
        <v>410000000</v>
      </c>
      <c r="G20" s="113">
        <f>+E20-B20-C20-D20</f>
        <v>80960000</v>
      </c>
    </row>
    <row r="21" spans="1:7" x14ac:dyDescent="0.15">
      <c r="B21" s="116">
        <f>B20/E20</f>
        <v>0.31253658536585366</v>
      </c>
      <c r="C21" s="96">
        <v>0.3</v>
      </c>
      <c r="D21" s="96">
        <v>0.19</v>
      </c>
      <c r="E21" s="126"/>
      <c r="F21" s="106"/>
      <c r="G21" s="104">
        <f>G20/E20</f>
        <v>0.19746341463414635</v>
      </c>
    </row>
    <row r="22" spans="1:7" x14ac:dyDescent="0.15">
      <c r="A22" s="77" t="s">
        <v>54</v>
      </c>
      <c r="B22" s="119">
        <v>22111</v>
      </c>
      <c r="C22" s="123">
        <f>C20/180</f>
        <v>683333.33333333337</v>
      </c>
      <c r="D22" s="123">
        <f>ROUND(D28/D30,0)</f>
        <v>3158</v>
      </c>
      <c r="E22" s="91"/>
    </row>
    <row r="23" spans="1:7" x14ac:dyDescent="0.15">
      <c r="B23" s="91"/>
      <c r="C23" s="91"/>
      <c r="D23" s="91"/>
      <c r="E23" s="91"/>
    </row>
    <row r="24" spans="1:7" x14ac:dyDescent="0.15">
      <c r="A24" s="89" t="s">
        <v>56</v>
      </c>
      <c r="B24" s="97">
        <f>+B25*E24</f>
        <v>38442000</v>
      </c>
      <c r="C24" s="97">
        <f>C25*E24</f>
        <v>79446800</v>
      </c>
      <c r="D24" s="97">
        <f>+E24-C24-B24</f>
        <v>10251200</v>
      </c>
      <c r="E24" s="100">
        <v>128140000</v>
      </c>
    </row>
    <row r="25" spans="1:7" x14ac:dyDescent="0.15">
      <c r="A25" s="77" t="s">
        <v>73</v>
      </c>
      <c r="B25" s="96">
        <v>0.3</v>
      </c>
      <c r="C25" s="96">
        <v>0.62</v>
      </c>
      <c r="D25" s="116">
        <f>+D24/E24</f>
        <v>0.08</v>
      </c>
      <c r="E25" s="116">
        <f>+E24/E24</f>
        <v>1</v>
      </c>
    </row>
    <row r="26" spans="1:7" x14ac:dyDescent="0.15">
      <c r="A26" s="77" t="s">
        <v>55</v>
      </c>
      <c r="B26" s="96">
        <v>0.3</v>
      </c>
      <c r="C26" s="116">
        <f>C24/C20</f>
        <v>0.64590894308943092</v>
      </c>
      <c r="D26" s="99">
        <f>D24/D20</f>
        <v>0.13159435173299103</v>
      </c>
      <c r="E26" s="99">
        <f>E24/E20</f>
        <v>0.31253658536585366</v>
      </c>
    </row>
    <row r="27" spans="1:7" x14ac:dyDescent="0.15">
      <c r="B27" s="116"/>
      <c r="C27" s="116"/>
      <c r="D27" s="91"/>
      <c r="E27" s="99"/>
    </row>
    <row r="28" spans="1:7" x14ac:dyDescent="0.15">
      <c r="A28" s="77" t="s">
        <v>57</v>
      </c>
      <c r="B28" s="120">
        <v>6200</v>
      </c>
      <c r="C28" s="124">
        <f>C24/C40</f>
        <v>441371.11111111112</v>
      </c>
      <c r="D28" s="119">
        <v>600</v>
      </c>
      <c r="E28" s="99"/>
    </row>
    <row r="29" spans="1:7" x14ac:dyDescent="0.15">
      <c r="A29" s="77" t="s">
        <v>58</v>
      </c>
      <c r="B29" s="121">
        <f>+B24/B28</f>
        <v>6200.322580645161</v>
      </c>
      <c r="C29" s="121">
        <f t="shared" ref="C29:D29" si="0">+C24/C28</f>
        <v>180</v>
      </c>
      <c r="D29" s="121">
        <f t="shared" si="0"/>
        <v>17085.333333333332</v>
      </c>
      <c r="E29" s="99"/>
    </row>
    <row r="30" spans="1:7" x14ac:dyDescent="0.15">
      <c r="A30" s="77" t="s">
        <v>59</v>
      </c>
      <c r="B30" s="116">
        <f>B28/B22</f>
        <v>0.28040341911265887</v>
      </c>
      <c r="C30" s="116">
        <f>C28/C22</f>
        <v>0.64590894308943092</v>
      </c>
      <c r="D30" s="125">
        <v>0.19</v>
      </c>
      <c r="E30" s="99"/>
    </row>
    <row r="31" spans="1:7" x14ac:dyDescent="0.15">
      <c r="B31" s="116"/>
      <c r="C31" s="116"/>
      <c r="D31" s="116"/>
      <c r="E31" s="99"/>
    </row>
    <row r="32" spans="1:7" x14ac:dyDescent="0.15">
      <c r="A32" s="77" t="s">
        <v>86</v>
      </c>
      <c r="B32" s="116"/>
      <c r="C32" s="116"/>
      <c r="D32" s="116"/>
      <c r="E32" s="99"/>
    </row>
    <row r="33" spans="1:5" x14ac:dyDescent="0.15">
      <c r="A33" s="89" t="s">
        <v>62</v>
      </c>
      <c r="B33" s="167">
        <v>180</v>
      </c>
      <c r="C33" s="167">
        <v>180</v>
      </c>
      <c r="D33" s="167">
        <v>180</v>
      </c>
      <c r="E33" s="99"/>
    </row>
    <row r="34" spans="1:5" x14ac:dyDescent="0.15">
      <c r="A34" s="89" t="s">
        <v>61</v>
      </c>
      <c r="B34" s="167">
        <v>500</v>
      </c>
      <c r="C34" s="167">
        <v>500</v>
      </c>
      <c r="D34" s="167">
        <v>500</v>
      </c>
      <c r="E34" s="99"/>
    </row>
    <row r="35" spans="1:5" x14ac:dyDescent="0.15">
      <c r="B35" s="91"/>
      <c r="C35" s="91"/>
      <c r="D35" s="91"/>
      <c r="E35" s="91"/>
    </row>
    <row r="36" spans="1:5" x14ac:dyDescent="0.15">
      <c r="A36" s="77" t="s">
        <v>75</v>
      </c>
      <c r="B36" s="91"/>
      <c r="C36" s="91"/>
      <c r="D36" s="91"/>
      <c r="E36" s="91"/>
    </row>
    <row r="37" spans="1:5" x14ac:dyDescent="0.15">
      <c r="A37" s="89" t="s">
        <v>62</v>
      </c>
      <c r="B37" s="95">
        <v>0.71</v>
      </c>
      <c r="C37" s="95">
        <v>1</v>
      </c>
      <c r="D37" s="95">
        <v>0.09</v>
      </c>
      <c r="E37" s="95">
        <v>0.84</v>
      </c>
    </row>
    <row r="38" spans="1:5" x14ac:dyDescent="0.15">
      <c r="A38" s="89" t="s">
        <v>61</v>
      </c>
      <c r="B38" s="95">
        <f>1-B37</f>
        <v>0.29000000000000004</v>
      </c>
      <c r="C38" s="95">
        <v>0</v>
      </c>
      <c r="D38" s="95">
        <v>0.91</v>
      </c>
      <c r="E38" s="95">
        <f>1-E37</f>
        <v>0.16000000000000003</v>
      </c>
    </row>
    <row r="39" spans="1:5" x14ac:dyDescent="0.15">
      <c r="B39" s="116"/>
      <c r="C39" s="116"/>
      <c r="D39" s="116"/>
      <c r="E39" s="99"/>
    </row>
    <row r="40" spans="1:5" x14ac:dyDescent="0.15">
      <c r="A40" s="77" t="s">
        <v>87</v>
      </c>
      <c r="B40" s="121">
        <f>B33*B37+B34*B38</f>
        <v>272.8</v>
      </c>
      <c r="C40" s="121">
        <f t="shared" ref="C40:D40" si="1">C33*C37+C34*C38</f>
        <v>180</v>
      </c>
      <c r="D40" s="121">
        <f t="shared" si="1"/>
        <v>471.2</v>
      </c>
      <c r="E40" s="99"/>
    </row>
    <row r="41" spans="1:5" x14ac:dyDescent="0.15">
      <c r="B41" s="91"/>
      <c r="C41" s="91"/>
      <c r="D41" s="91"/>
      <c r="E41" s="91"/>
    </row>
    <row r="42" spans="1:5" x14ac:dyDescent="0.15">
      <c r="A42" s="77" t="s">
        <v>76</v>
      </c>
      <c r="B42" s="91"/>
      <c r="C42" s="91"/>
      <c r="D42" s="91"/>
      <c r="E42" s="91"/>
    </row>
    <row r="43" spans="1:5" x14ac:dyDescent="0.15">
      <c r="A43" s="89" t="s">
        <v>62</v>
      </c>
      <c r="B43" s="97">
        <f t="shared" ref="B43:E44" si="2">B37*B$24</f>
        <v>27293820</v>
      </c>
      <c r="C43" s="97">
        <f t="shared" si="2"/>
        <v>79446800</v>
      </c>
      <c r="D43" s="97">
        <f t="shared" si="2"/>
        <v>922608</v>
      </c>
      <c r="E43" s="97">
        <f t="shared" si="2"/>
        <v>107637600</v>
      </c>
    </row>
    <row r="44" spans="1:5" x14ac:dyDescent="0.15">
      <c r="A44" s="89" t="s">
        <v>61</v>
      </c>
      <c r="B44" s="97">
        <f t="shared" si="2"/>
        <v>11148180.000000002</v>
      </c>
      <c r="C44" s="97">
        <f t="shared" si="2"/>
        <v>0</v>
      </c>
      <c r="D44" s="97">
        <f t="shared" si="2"/>
        <v>9328592</v>
      </c>
      <c r="E44" s="97">
        <f t="shared" si="2"/>
        <v>20502400.000000004</v>
      </c>
    </row>
    <row r="45" spans="1:5" x14ac:dyDescent="0.15">
      <c r="B45" s="91"/>
      <c r="C45" s="91"/>
      <c r="D45" s="91"/>
      <c r="E45" s="91"/>
    </row>
    <row r="46" spans="1:5" x14ac:dyDescent="0.15">
      <c r="A46" s="77" t="s">
        <v>82</v>
      </c>
      <c r="B46" s="95">
        <v>0.01</v>
      </c>
      <c r="C46" s="95">
        <v>0</v>
      </c>
      <c r="D46" s="95">
        <v>0.1</v>
      </c>
      <c r="E46" s="91"/>
    </row>
    <row r="47" spans="1:5" x14ac:dyDescent="0.15">
      <c r="A47" s="77" t="s">
        <v>74</v>
      </c>
      <c r="B47" s="93">
        <v>90</v>
      </c>
      <c r="C47" s="93">
        <v>30</v>
      </c>
      <c r="D47" s="93">
        <v>150</v>
      </c>
      <c r="E47" s="91"/>
    </row>
    <row r="48" spans="1:5" x14ac:dyDescent="0.15">
      <c r="A48" s="77" t="s">
        <v>83</v>
      </c>
      <c r="B48" s="95">
        <v>0.12</v>
      </c>
      <c r="C48" s="91"/>
      <c r="D48" s="95">
        <v>0.06</v>
      </c>
      <c r="E48" s="91"/>
    </row>
    <row r="49" spans="1:5" x14ac:dyDescent="0.15">
      <c r="B49" s="91"/>
      <c r="C49" s="91"/>
      <c r="D49" s="91"/>
      <c r="E49" s="91"/>
    </row>
    <row r="50" spans="1:5" x14ac:dyDescent="0.15">
      <c r="B50" s="91"/>
      <c r="C50" s="91"/>
      <c r="D50" s="91"/>
      <c r="E50" s="91"/>
    </row>
    <row r="51" spans="1:5" x14ac:dyDescent="0.15">
      <c r="A51" s="77" t="s">
        <v>77</v>
      </c>
      <c r="B51" s="91"/>
      <c r="C51" s="91"/>
      <c r="D51" s="91"/>
      <c r="E51" s="91"/>
    </row>
    <row r="52" spans="1:5" x14ac:dyDescent="0.15">
      <c r="A52" s="77" t="s">
        <v>78</v>
      </c>
      <c r="B52" s="93">
        <v>50</v>
      </c>
      <c r="C52" s="93">
        <v>0</v>
      </c>
      <c r="D52" s="93">
        <v>7</v>
      </c>
      <c r="E52" s="91"/>
    </row>
    <row r="53" spans="1:5" x14ac:dyDescent="0.15">
      <c r="A53" s="77" t="s">
        <v>79</v>
      </c>
      <c r="B53" s="93">
        <v>40</v>
      </c>
      <c r="C53" s="93">
        <v>0</v>
      </c>
      <c r="D53" s="93">
        <v>2</v>
      </c>
      <c r="E53" s="91"/>
    </row>
    <row r="54" spans="1:5" x14ac:dyDescent="0.15">
      <c r="A54" s="77" t="s">
        <v>80</v>
      </c>
      <c r="B54" s="93">
        <v>25</v>
      </c>
      <c r="C54" s="93">
        <v>0</v>
      </c>
      <c r="D54" s="93">
        <v>3</v>
      </c>
      <c r="E54" s="91"/>
    </row>
    <row r="55" spans="1:5" x14ac:dyDescent="0.15">
      <c r="A55" s="111" t="s">
        <v>81</v>
      </c>
      <c r="B55" s="122">
        <f>SUM(B52:B54)</f>
        <v>115</v>
      </c>
      <c r="C55" s="122">
        <f t="shared" ref="C55:D55" si="3">SUM(C52:C54)</f>
        <v>0</v>
      </c>
      <c r="D55" s="122">
        <f t="shared" si="3"/>
        <v>12</v>
      </c>
      <c r="E55" s="92"/>
    </row>
  </sheetData>
  <mergeCells count="5">
    <mergeCell ref="B8:D8"/>
    <mergeCell ref="A8:A9"/>
    <mergeCell ref="B17:D17"/>
    <mergeCell ref="E17:E18"/>
    <mergeCell ref="B16:E16"/>
  </mergeCells>
  <pageMargins left="0.25" right="0.25" top="0.75" bottom="0.75" header="0.3" footer="0.3"/>
  <pageSetup paperSize="9" scale="83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D7364-288E-2E43-B7CA-0E47D9936551}">
  <sheetPr codeName="Foglio21">
    <tabColor theme="0" tint="-0.499984740745262"/>
  </sheetPr>
  <dimension ref="B2:D17"/>
  <sheetViews>
    <sheetView showGridLines="0" zoomScale="190" zoomScaleNormal="190" workbookViewId="0">
      <selection activeCell="D10" sqref="D10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369" bestFit="1" customWidth="1"/>
    <col min="4" max="16384" width="10.83203125" style="2"/>
  </cols>
  <sheetData>
    <row r="2" spans="2:4" x14ac:dyDescent="0.2">
      <c r="B2" s="2" t="s">
        <v>809</v>
      </c>
    </row>
    <row r="3" spans="2:4" ht="15" thickBot="1" x14ac:dyDescent="0.25"/>
    <row r="4" spans="2:4" x14ac:dyDescent="0.2">
      <c r="B4" s="699"/>
      <c r="C4" s="701" t="s">
        <v>98</v>
      </c>
      <c r="D4" s="702"/>
    </row>
    <row r="5" spans="2:4" x14ac:dyDescent="0.2">
      <c r="B5" s="700"/>
      <c r="C5" s="382" t="s">
        <v>649</v>
      </c>
      <c r="D5" s="394" t="s">
        <v>650</v>
      </c>
    </row>
    <row r="6" spans="2:4" x14ac:dyDescent="0.2">
      <c r="B6" s="418" t="s">
        <v>91</v>
      </c>
      <c r="C6" s="385"/>
      <c r="D6" s="373"/>
    </row>
    <row r="7" spans="2:4" x14ac:dyDescent="0.2">
      <c r="B7" s="397" t="s">
        <v>652</v>
      </c>
      <c r="C7" s="419">
        <v>5</v>
      </c>
      <c r="D7" s="420">
        <v>1</v>
      </c>
    </row>
    <row r="8" spans="2:4" x14ac:dyDescent="0.2">
      <c r="B8" s="397" t="s">
        <v>651</v>
      </c>
      <c r="C8" s="419">
        <v>2</v>
      </c>
      <c r="D8" s="420">
        <v>0.3</v>
      </c>
    </row>
    <row r="9" spans="2:4" x14ac:dyDescent="0.2">
      <c r="B9" s="397" t="s">
        <v>653</v>
      </c>
      <c r="C9" s="419">
        <v>8</v>
      </c>
      <c r="D9" s="420"/>
    </row>
    <row r="10" spans="2:4" ht="15" thickBot="1" x14ac:dyDescent="0.25">
      <c r="B10" s="421" t="s">
        <v>3</v>
      </c>
      <c r="C10" s="422">
        <f>SUM(C7:C9)</f>
        <v>15</v>
      </c>
      <c r="D10" s="423">
        <f>SUM(D7:D9)</f>
        <v>1.3</v>
      </c>
    </row>
    <row r="11" spans="2:4" x14ac:dyDescent="0.2">
      <c r="B11" s="418" t="s">
        <v>92</v>
      </c>
      <c r="C11" s="385"/>
      <c r="D11" s="373"/>
    </row>
    <row r="12" spans="2:4" x14ac:dyDescent="0.2">
      <c r="B12" s="397" t="s">
        <v>652</v>
      </c>
      <c r="C12" s="419">
        <v>5</v>
      </c>
      <c r="D12" s="420">
        <v>1</v>
      </c>
    </row>
    <row r="13" spans="2:4" x14ac:dyDescent="0.2">
      <c r="B13" s="397" t="s">
        <v>651</v>
      </c>
      <c r="C13" s="419">
        <v>2</v>
      </c>
      <c r="D13" s="420">
        <v>0.3</v>
      </c>
    </row>
    <row r="14" spans="2:4" x14ac:dyDescent="0.2">
      <c r="B14" s="397" t="s">
        <v>653</v>
      </c>
      <c r="C14" s="419">
        <v>2</v>
      </c>
      <c r="D14" s="420">
        <v>0.3</v>
      </c>
    </row>
    <row r="15" spans="2:4" x14ac:dyDescent="0.2">
      <c r="B15" s="397" t="s">
        <v>654</v>
      </c>
      <c r="C15" s="419">
        <v>5</v>
      </c>
      <c r="D15" s="420">
        <v>0.3</v>
      </c>
    </row>
    <row r="16" spans="2:4" x14ac:dyDescent="0.2">
      <c r="B16" s="397" t="s">
        <v>655</v>
      </c>
      <c r="C16" s="419">
        <v>10</v>
      </c>
      <c r="D16" s="420">
        <v>0.3</v>
      </c>
    </row>
    <row r="17" spans="2:4" ht="15" thickBot="1" x14ac:dyDescent="0.25">
      <c r="B17" s="421" t="s">
        <v>3</v>
      </c>
      <c r="C17" s="422">
        <f>SUM(C12:C16)</f>
        <v>24</v>
      </c>
      <c r="D17" s="423">
        <f>SUM(D12:D16)</f>
        <v>2.2000000000000002</v>
      </c>
    </row>
  </sheetData>
  <mergeCells count="2">
    <mergeCell ref="B4:B5"/>
    <mergeCell ref="C4:D4"/>
  </mergeCells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BA6B-14E1-3946-B36C-AB75A0841039}">
  <sheetPr codeName="Foglio24">
    <tabColor theme="0" tint="-0.499984740745262"/>
  </sheetPr>
  <dimension ref="B2:F11"/>
  <sheetViews>
    <sheetView showGridLines="0" zoomScale="190" zoomScaleNormal="190" workbookViewId="0">
      <selection activeCell="C5" sqref="C5:D11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2" customWidth="1"/>
    <col min="4" max="4" width="12.6640625" style="2" customWidth="1"/>
    <col min="5" max="16384" width="10.83203125" style="2"/>
  </cols>
  <sheetData>
    <row r="2" spans="2:6" x14ac:dyDescent="0.2">
      <c r="B2" s="2" t="s">
        <v>811</v>
      </c>
    </row>
    <row r="3" spans="2:6" ht="15" thickBot="1" x14ac:dyDescent="0.25"/>
    <row r="4" spans="2:6" x14ac:dyDescent="0.2">
      <c r="B4" s="417"/>
      <c r="C4" s="427" t="s">
        <v>656</v>
      </c>
      <c r="D4" s="428" t="s">
        <v>657</v>
      </c>
    </row>
    <row r="5" spans="2:6" x14ac:dyDescent="0.2">
      <c r="B5" s="424" t="s">
        <v>663</v>
      </c>
      <c r="C5" s="435">
        <f>COUNTIF(Tabella2[linea],'All. 2'!C4)</f>
        <v>98</v>
      </c>
      <c r="D5" s="436">
        <f>COUNTIF(Tabella2[linea],'All. 2'!D4)</f>
        <v>11</v>
      </c>
    </row>
    <row r="6" spans="2:6" x14ac:dyDescent="0.2">
      <c r="B6" s="397"/>
      <c r="D6" s="425"/>
    </row>
    <row r="7" spans="2:6" x14ac:dyDescent="0.2">
      <c r="B7" s="397" t="s">
        <v>666</v>
      </c>
      <c r="C7" s="381">
        <f>+'Tab. 14'!O6-'Tab. 14'!O7</f>
        <v>235</v>
      </c>
      <c r="D7" s="437">
        <f>+C7</f>
        <v>235</v>
      </c>
    </row>
    <row r="8" spans="2:6" x14ac:dyDescent="0.2">
      <c r="B8" s="397" t="s">
        <v>667</v>
      </c>
      <c r="C8" s="381">
        <v>-5</v>
      </c>
      <c r="D8" s="437">
        <v>-5</v>
      </c>
    </row>
    <row r="9" spans="2:6" x14ac:dyDescent="0.2">
      <c r="B9" s="397" t="s">
        <v>668</v>
      </c>
      <c r="C9" s="381">
        <f>ROUND(-$F$9*C7,0)</f>
        <v>-14</v>
      </c>
      <c r="D9" s="437">
        <f>ROUND(-$F$9*D7,0)</f>
        <v>-14</v>
      </c>
      <c r="F9" s="439">
        <f>14/235</f>
        <v>5.9574468085106386E-2</v>
      </c>
    </row>
    <row r="10" spans="2:6" x14ac:dyDescent="0.2">
      <c r="B10" s="397" t="s">
        <v>669</v>
      </c>
      <c r="C10" s="381">
        <v>8</v>
      </c>
      <c r="D10" s="437">
        <v>8</v>
      </c>
    </row>
    <row r="11" spans="2:6" ht="15" thickBot="1" x14ac:dyDescent="0.25">
      <c r="B11" s="426" t="s">
        <v>670</v>
      </c>
      <c r="C11" s="440">
        <v>0</v>
      </c>
      <c r="D11" s="438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431B0-06F8-DA46-9658-DA25266014C9}">
  <sheetPr codeName="Foglio22">
    <tabColor theme="0" tint="-0.499984740745262"/>
  </sheetPr>
  <dimension ref="B2:D12"/>
  <sheetViews>
    <sheetView showGridLines="0" zoomScale="190" zoomScaleNormal="19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369" bestFit="1" customWidth="1"/>
    <col min="4" max="16384" width="10.83203125" style="2"/>
  </cols>
  <sheetData>
    <row r="2" spans="2:4" x14ac:dyDescent="0.2">
      <c r="B2" s="2" t="s">
        <v>812</v>
      </c>
    </row>
    <row r="3" spans="2:4" ht="15" thickBot="1" x14ac:dyDescent="0.25"/>
    <row r="4" spans="2:4" x14ac:dyDescent="0.2">
      <c r="B4" s="699"/>
      <c r="C4" s="701" t="s">
        <v>98</v>
      </c>
      <c r="D4" s="702"/>
    </row>
    <row r="5" spans="2:4" x14ac:dyDescent="0.2">
      <c r="B5" s="700"/>
      <c r="C5" s="382" t="s">
        <v>656</v>
      </c>
      <c r="D5" s="394" t="s">
        <v>657</v>
      </c>
    </row>
    <row r="6" spans="2:4" x14ac:dyDescent="0.2">
      <c r="B6" s="424" t="s">
        <v>658</v>
      </c>
      <c r="C6" s="385"/>
      <c r="D6" s="373"/>
    </row>
    <row r="7" spans="2:4" x14ac:dyDescent="0.2">
      <c r="B7" s="397" t="s">
        <v>659</v>
      </c>
      <c r="C7" s="419">
        <v>3</v>
      </c>
      <c r="D7" s="420">
        <v>1</v>
      </c>
    </row>
    <row r="8" spans="2:4" x14ac:dyDescent="0.2">
      <c r="B8" s="397" t="s">
        <v>660</v>
      </c>
      <c r="C8" s="419">
        <v>235</v>
      </c>
      <c r="D8" s="420">
        <v>235</v>
      </c>
    </row>
    <row r="9" spans="2:4" x14ac:dyDescent="0.2">
      <c r="B9" s="397" t="s">
        <v>661</v>
      </c>
      <c r="C9" s="419">
        <v>12</v>
      </c>
      <c r="D9" s="420">
        <v>12</v>
      </c>
    </row>
    <row r="10" spans="2:4" x14ac:dyDescent="0.2">
      <c r="B10" s="397" t="s">
        <v>8</v>
      </c>
      <c r="C10" s="419">
        <v>3</v>
      </c>
      <c r="D10" s="420">
        <v>2</v>
      </c>
    </row>
    <row r="11" spans="2:4" x14ac:dyDescent="0.2">
      <c r="B11" s="397" t="s">
        <v>662</v>
      </c>
      <c r="C11" s="419">
        <v>8</v>
      </c>
      <c r="D11" s="420">
        <v>8</v>
      </c>
    </row>
    <row r="12" spans="2:4" ht="15" thickBot="1" x14ac:dyDescent="0.25">
      <c r="B12" s="421"/>
      <c r="C12" s="422"/>
      <c r="D12" s="423"/>
    </row>
  </sheetData>
  <mergeCells count="2">
    <mergeCell ref="B4:B5"/>
    <mergeCell ref="C4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40467-1501-C04A-A463-3AA48BC6BAFF}">
  <sheetPr codeName="Foglio25"/>
  <dimension ref="B2:Q80"/>
  <sheetViews>
    <sheetView topLeftCell="A3" zoomScale="140" zoomScaleNormal="140" workbookViewId="0">
      <selection activeCell="D23" sqref="D23:I23"/>
    </sheetView>
  </sheetViews>
  <sheetFormatPr baseColWidth="10" defaultRowHeight="13" x14ac:dyDescent="0.15"/>
  <cols>
    <col min="2" max="2" width="22.6640625" customWidth="1"/>
    <col min="3" max="3" width="12" bestFit="1" customWidth="1"/>
  </cols>
  <sheetData>
    <row r="2" spans="2:15" x14ac:dyDescent="0.15">
      <c r="B2" s="331" t="s">
        <v>813</v>
      </c>
    </row>
    <row r="3" spans="2:15" ht="14" thickBot="1" x14ac:dyDescent="0.2"/>
    <row r="4" spans="2:15" ht="16" x14ac:dyDescent="0.15">
      <c r="B4" s="229"/>
      <c r="C4" s="695" t="s">
        <v>98</v>
      </c>
      <c r="D4" s="653"/>
      <c r="E4" s="653"/>
      <c r="F4" s="653"/>
      <c r="G4" s="653"/>
      <c r="H4" s="653"/>
      <c r="I4" s="653"/>
      <c r="J4" s="653"/>
      <c r="K4" s="653"/>
      <c r="L4" s="653"/>
      <c r="M4" s="653"/>
      <c r="N4" s="653"/>
      <c r="O4" s="654"/>
    </row>
    <row r="5" spans="2:15" ht="16" x14ac:dyDescent="0.15">
      <c r="B5" s="141"/>
      <c r="C5" s="236" t="s">
        <v>113</v>
      </c>
      <c r="D5" s="236" t="s">
        <v>114</v>
      </c>
      <c r="E5" s="236" t="s">
        <v>115</v>
      </c>
      <c r="F5" s="236" t="s">
        <v>116</v>
      </c>
      <c r="G5" s="236" t="s">
        <v>117</v>
      </c>
      <c r="H5" s="236" t="s">
        <v>118</v>
      </c>
      <c r="I5" s="236" t="s">
        <v>119</v>
      </c>
      <c r="J5" s="236" t="s">
        <v>120</v>
      </c>
      <c r="K5" s="236" t="s">
        <v>121</v>
      </c>
      <c r="L5" s="236" t="s">
        <v>122</v>
      </c>
      <c r="M5" s="236" t="s">
        <v>123</v>
      </c>
      <c r="N5" s="236" t="s">
        <v>124</v>
      </c>
      <c r="O5" s="241" t="s">
        <v>81</v>
      </c>
    </row>
    <row r="6" spans="2:15" ht="16" x14ac:dyDescent="0.2">
      <c r="B6" s="19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237"/>
    </row>
    <row r="7" spans="2:15" ht="16" x14ac:dyDescent="0.2">
      <c r="B7" s="441" t="s">
        <v>671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237"/>
    </row>
    <row r="8" spans="2:15" ht="16" x14ac:dyDescent="0.2">
      <c r="B8" s="363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237"/>
    </row>
    <row r="9" spans="2:15" ht="16" x14ac:dyDescent="0.2">
      <c r="B9" s="363" t="s">
        <v>672</v>
      </c>
      <c r="C9" s="231">
        <f>'Tab 4 v2'!C15</f>
        <v>53085.140425531914</v>
      </c>
      <c r="D9" s="231">
        <f>'Tab 4 v2'!D15</f>
        <v>60115.491160451427</v>
      </c>
      <c r="E9" s="231">
        <f>'Tab 4 v2'!E15</f>
        <v>67407.192253488931</v>
      </c>
      <c r="F9" s="231">
        <f>'Tab 4 v2'!F15</f>
        <v>61932.663829787234</v>
      </c>
      <c r="G9" s="231">
        <f>'Tab 4 v2'!G15</f>
        <v>61932.663829787227</v>
      </c>
      <c r="H9" s="231">
        <f>'Tab 4 v2'!H15</f>
        <v>64881.83829787228</v>
      </c>
      <c r="I9" s="231">
        <f>'Tab 4 v2'!I15</f>
        <v>57041.838297872338</v>
      </c>
      <c r="J9" s="231">
        <f>'Tab 4 v2'!J15</f>
        <v>35390.093617021274</v>
      </c>
      <c r="K9" s="231">
        <f>'Tab 4 v2'!K15</f>
        <v>61002.600772020145</v>
      </c>
      <c r="L9" s="231">
        <f>'Tab 4 v2'!L15</f>
        <v>53809.840677835746</v>
      </c>
      <c r="M9" s="231">
        <f>'Tab 4 v2'!M15</f>
        <v>61932.663829787227</v>
      </c>
      <c r="N9" s="231">
        <f>'Tab 4 v2'!N15</f>
        <v>27550.093617021277</v>
      </c>
      <c r="O9" s="442">
        <f>SUM(C9:N9)</f>
        <v>666082.12060847704</v>
      </c>
    </row>
    <row r="10" spans="2:15" ht="16" x14ac:dyDescent="0.2">
      <c r="B10" s="363" t="s">
        <v>673</v>
      </c>
      <c r="C10" s="231">
        <f>'All. 1'!$C$10/60*C9</f>
        <v>13271.285106382978</v>
      </c>
      <c r="D10" s="231">
        <f>'All. 1'!$C$10/60*D9</f>
        <v>15028.872790112857</v>
      </c>
      <c r="E10" s="231">
        <f>'All. 1'!$C$10/60*E9</f>
        <v>16851.798063372233</v>
      </c>
      <c r="F10" s="231">
        <f>'All. 1'!$C$10/60*F9</f>
        <v>15483.165957446809</v>
      </c>
      <c r="G10" s="231">
        <f>'All. 1'!$C$10/60*G9</f>
        <v>15483.165957446807</v>
      </c>
      <c r="H10" s="231">
        <f>'All. 1'!$C$10/60*H9</f>
        <v>16220.45957446807</v>
      </c>
      <c r="I10" s="231">
        <f>'All. 1'!$C$10/60*I9</f>
        <v>14260.459574468085</v>
      </c>
      <c r="J10" s="231">
        <f>'All. 1'!$C$10/60*J9</f>
        <v>8847.5234042553184</v>
      </c>
      <c r="K10" s="231">
        <f>'All. 1'!$C$10/60*K9</f>
        <v>15250.650193005036</v>
      </c>
      <c r="L10" s="231">
        <f>'All. 1'!$C$10/60*L9</f>
        <v>13452.460169458936</v>
      </c>
      <c r="M10" s="231">
        <f>'All. 1'!$C$10/60*M9</f>
        <v>15483.165957446807</v>
      </c>
      <c r="N10" s="231">
        <f>'All. 1'!$C$10/60*N9</f>
        <v>6887.5234042553193</v>
      </c>
      <c r="O10" s="442">
        <f>SUM(C10:N10)</f>
        <v>166520.53015211926</v>
      </c>
    </row>
    <row r="11" spans="2:15" ht="16" x14ac:dyDescent="0.2">
      <c r="B11" s="363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237"/>
    </row>
    <row r="12" spans="2:15" ht="16" x14ac:dyDescent="0.2">
      <c r="B12" s="363" t="s">
        <v>674</v>
      </c>
      <c r="C12" s="462">
        <f>'Tab. 14'!C6-'Tab. 14'!C7</f>
        <v>18</v>
      </c>
      <c r="D12" s="462">
        <f>'Tab. 14'!D6-'Tab. 14'!D7</f>
        <v>20</v>
      </c>
      <c r="E12" s="462">
        <f>'Tab. 14'!E6-'Tab. 14'!E7</f>
        <v>23</v>
      </c>
      <c r="F12" s="462">
        <f>'Tab. 14'!F6-'Tab. 14'!F7</f>
        <v>21</v>
      </c>
      <c r="G12" s="462">
        <f>'Tab. 14'!G6-'Tab. 14'!G7</f>
        <v>21</v>
      </c>
      <c r="H12" s="462">
        <f>'Tab. 14'!H6-'Tab. 14'!H7</f>
        <v>22</v>
      </c>
      <c r="I12" s="462">
        <f>'Tab. 14'!I6-'Tab. 14'!I7</f>
        <v>22</v>
      </c>
      <c r="J12" s="462">
        <f>'Tab. 14'!J6-'Tab. 14'!J7</f>
        <v>12</v>
      </c>
      <c r="K12" s="462">
        <f>'Tab. 14'!K6-'Tab. 14'!K7</f>
        <v>22</v>
      </c>
      <c r="L12" s="462">
        <f>'Tab. 14'!L6-'Tab. 14'!L7</f>
        <v>21</v>
      </c>
      <c r="M12" s="462">
        <f>'Tab. 14'!M6-'Tab. 14'!M7</f>
        <v>21</v>
      </c>
      <c r="N12" s="462">
        <f>'Tab. 14'!N6-'Tab. 14'!N7</f>
        <v>12</v>
      </c>
      <c r="O12" s="532">
        <f>SUM(C12:N12)</f>
        <v>235</v>
      </c>
    </row>
    <row r="13" spans="2:15" ht="16" x14ac:dyDescent="0.2">
      <c r="B13" s="363" t="s">
        <v>4</v>
      </c>
      <c r="C13" s="445">
        <f>-'Tab. 14'!C8</f>
        <v>-1.0723404255319149</v>
      </c>
      <c r="D13" s="445">
        <f>-'Tab. 14'!D8</f>
        <v>-1.1914893617021276</v>
      </c>
      <c r="E13" s="445">
        <f>-'Tab. 14'!E8</f>
        <v>-1.3702127659574468</v>
      </c>
      <c r="F13" s="445">
        <f>-'Tab. 14'!F8</f>
        <v>-1.2510638297872341</v>
      </c>
      <c r="G13" s="445">
        <f>-'Tab. 14'!G8</f>
        <v>-1.2510638297872341</v>
      </c>
      <c r="H13" s="445">
        <f>-'Tab. 14'!H8</f>
        <v>-1.3106382978723405</v>
      </c>
      <c r="I13" s="445">
        <f>-'Tab. 14'!I8</f>
        <v>-1.3106382978723405</v>
      </c>
      <c r="J13" s="445">
        <f>-'Tab. 14'!J8</f>
        <v>-0.71489361702127663</v>
      </c>
      <c r="K13" s="445">
        <f>-'Tab. 14'!K8</f>
        <v>-1.3106382978723405</v>
      </c>
      <c r="L13" s="445">
        <f>-'Tab. 14'!L8</f>
        <v>-1.2510638297872341</v>
      </c>
      <c r="M13" s="445">
        <f>-'Tab. 14'!M8</f>
        <v>-1.2510638297872341</v>
      </c>
      <c r="N13" s="445">
        <f>-'Tab. 14'!N8</f>
        <v>-0.71489361702127663</v>
      </c>
      <c r="O13" s="532">
        <f t="shared" ref="O13:O14" si="0">SUM(C13:N13)</f>
        <v>-14.000000000000004</v>
      </c>
    </row>
    <row r="14" spans="2:15" ht="16" x14ac:dyDescent="0.2">
      <c r="B14" s="363" t="s">
        <v>5</v>
      </c>
      <c r="C14" s="443">
        <f>-'Tab. 14'!C9</f>
        <v>0</v>
      </c>
      <c r="D14" s="443">
        <f>-'Tab. 14'!D9</f>
        <v>0</v>
      </c>
      <c r="E14" s="443">
        <f>-'Tab. 14'!E9</f>
        <v>0</v>
      </c>
      <c r="F14" s="443">
        <f>-'Tab. 14'!F9</f>
        <v>0</v>
      </c>
      <c r="G14" s="443">
        <f>-'Tab. 14'!G9</f>
        <v>0</v>
      </c>
      <c r="H14" s="443">
        <f>-'Tab. 14'!H9</f>
        <v>0</v>
      </c>
      <c r="I14" s="443">
        <f>-'Tab. 14'!I9</f>
        <v>-2.5</v>
      </c>
      <c r="J14" s="443">
        <f>-'Tab. 14'!J9</f>
        <v>0</v>
      </c>
      <c r="K14" s="443">
        <f>-'Tab. 14'!K9</f>
        <v>0</v>
      </c>
      <c r="L14" s="443">
        <f>-'Tab. 14'!L9</f>
        <v>0</v>
      </c>
      <c r="M14" s="443">
        <f>-'Tab. 14'!M9</f>
        <v>0</v>
      </c>
      <c r="N14" s="443">
        <f>-'Tab. 14'!N9</f>
        <v>-2.5</v>
      </c>
      <c r="O14" s="532">
        <f t="shared" si="0"/>
        <v>-5</v>
      </c>
    </row>
    <row r="15" spans="2:15" ht="16" x14ac:dyDescent="0.2">
      <c r="B15" s="363" t="s">
        <v>6</v>
      </c>
      <c r="C15" s="443">
        <f>'All. 2'!$C$10</f>
        <v>8</v>
      </c>
      <c r="D15" s="443">
        <f>'All. 2'!$C$10</f>
        <v>8</v>
      </c>
      <c r="E15" s="443">
        <f>'All. 2'!$C$10</f>
        <v>8</v>
      </c>
      <c r="F15" s="443">
        <f>'All. 2'!$C$10</f>
        <v>8</v>
      </c>
      <c r="G15" s="443">
        <f>'All. 2'!$C$10</f>
        <v>8</v>
      </c>
      <c r="H15" s="443">
        <f>'All. 2'!$C$10</f>
        <v>8</v>
      </c>
      <c r="I15" s="443">
        <f>'All. 2'!$C$10</f>
        <v>8</v>
      </c>
      <c r="J15" s="443">
        <f>'All. 2'!$C$10</f>
        <v>8</v>
      </c>
      <c r="K15" s="443">
        <f>'All. 2'!$C$10</f>
        <v>8</v>
      </c>
      <c r="L15" s="443">
        <f>'All. 2'!$C$10</f>
        <v>8</v>
      </c>
      <c r="M15" s="443">
        <f>'All. 2'!$C$10</f>
        <v>8</v>
      </c>
      <c r="N15" s="443">
        <f>'All. 2'!$C$10</f>
        <v>8</v>
      </c>
      <c r="O15" s="446"/>
    </row>
    <row r="16" spans="2:15" ht="16" x14ac:dyDescent="0.2">
      <c r="B16" s="363" t="s">
        <v>7</v>
      </c>
      <c r="C16" s="443">
        <f>'All. 2'!$C$5</f>
        <v>98</v>
      </c>
      <c r="D16" s="443">
        <f>'All. 2'!$C$5</f>
        <v>98</v>
      </c>
      <c r="E16" s="443">
        <f>'All. 2'!$C$5</f>
        <v>98</v>
      </c>
      <c r="F16" s="443">
        <f>'All. 2'!$C$5</f>
        <v>98</v>
      </c>
      <c r="G16" s="443">
        <f>'All. 2'!$C$5</f>
        <v>98</v>
      </c>
      <c r="H16" s="443">
        <f>'All. 2'!$C$5</f>
        <v>98</v>
      </c>
      <c r="I16" s="443">
        <f>'All. 2'!$C$5</f>
        <v>98</v>
      </c>
      <c r="J16" s="443">
        <f>'All. 2'!$C$5</f>
        <v>98</v>
      </c>
      <c r="K16" s="443">
        <f>'All. 2'!$C$5</f>
        <v>98</v>
      </c>
      <c r="L16" s="443">
        <f>'All. 2'!$C$5</f>
        <v>98</v>
      </c>
      <c r="M16" s="443">
        <f>'All. 2'!$C$5</f>
        <v>98</v>
      </c>
      <c r="N16" s="443">
        <f>'All. 2'!$C$5</f>
        <v>98</v>
      </c>
      <c r="O16" s="446"/>
    </row>
    <row r="17" spans="2:17" ht="17" thickBot="1" x14ac:dyDescent="0.25">
      <c r="B17" s="363" t="s">
        <v>675</v>
      </c>
      <c r="C17" s="231">
        <f>(C12+C13+C14)*C15*C16</f>
        <v>13271.285106382978</v>
      </c>
      <c r="D17" s="231">
        <f>(D12+D13+D14)*D15*D16</f>
        <v>14745.872340425531</v>
      </c>
      <c r="E17" s="231">
        <f t="shared" ref="E17:N17" si="1">(E12+E13+E14)*E15*E16</f>
        <v>16957.753191489363</v>
      </c>
      <c r="F17" s="231">
        <f t="shared" si="1"/>
        <v>15483.165957446809</v>
      </c>
      <c r="G17" s="231">
        <f t="shared" si="1"/>
        <v>15483.165957446809</v>
      </c>
      <c r="H17" s="231">
        <f t="shared" si="1"/>
        <v>16220.459574468085</v>
      </c>
      <c r="I17" s="231">
        <f t="shared" si="1"/>
        <v>14260.459574468085</v>
      </c>
      <c r="J17" s="231">
        <f t="shared" si="1"/>
        <v>8847.5234042553184</v>
      </c>
      <c r="K17" s="231">
        <f t="shared" si="1"/>
        <v>16220.459574468085</v>
      </c>
      <c r="L17" s="231">
        <f t="shared" si="1"/>
        <v>15483.165957446809</v>
      </c>
      <c r="M17" s="231">
        <f t="shared" si="1"/>
        <v>15483.165957446809</v>
      </c>
      <c r="N17" s="231">
        <f t="shared" si="1"/>
        <v>6887.5234042553193</v>
      </c>
      <c r="O17" s="442">
        <f>SUM(C17:N17)</f>
        <v>169344.00000000003</v>
      </c>
    </row>
    <row r="18" spans="2:17" ht="17" thickBot="1" x14ac:dyDescent="0.25">
      <c r="B18" s="364" t="s">
        <v>676</v>
      </c>
      <c r="C18" s="235">
        <f>C17-C10</f>
        <v>0</v>
      </c>
      <c r="D18" s="235">
        <f t="shared" ref="D18:O18" si="2">D17-D10</f>
        <v>-283.00044968732618</v>
      </c>
      <c r="E18" s="235">
        <f t="shared" si="2"/>
        <v>105.95512811712979</v>
      </c>
      <c r="F18" s="235">
        <f t="shared" si="2"/>
        <v>0</v>
      </c>
      <c r="G18" s="235">
        <f t="shared" si="2"/>
        <v>0</v>
      </c>
      <c r="H18" s="235">
        <f t="shared" si="2"/>
        <v>1.4551915228366852E-11</v>
      </c>
      <c r="I18" s="235">
        <f t="shared" si="2"/>
        <v>0</v>
      </c>
      <c r="J18" s="235">
        <f t="shared" si="2"/>
        <v>0</v>
      </c>
      <c r="K18" s="235">
        <f t="shared" si="2"/>
        <v>969.80938146304834</v>
      </c>
      <c r="L18" s="235">
        <f t="shared" si="2"/>
        <v>2030.7057879878721</v>
      </c>
      <c r="M18" s="235">
        <f t="shared" si="2"/>
        <v>0</v>
      </c>
      <c r="N18" s="235">
        <f t="shared" si="2"/>
        <v>0</v>
      </c>
      <c r="O18" s="245">
        <f t="shared" si="2"/>
        <v>2823.4698478807695</v>
      </c>
      <c r="P18" s="1"/>
    </row>
    <row r="19" spans="2:17" ht="16" x14ac:dyDescent="0.2">
      <c r="B19" s="363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237"/>
    </row>
    <row r="20" spans="2:17" ht="16" x14ac:dyDescent="0.2">
      <c r="B20" s="363" t="s">
        <v>681</v>
      </c>
      <c r="C20" s="305">
        <f>C17/('All. 1'!$C$10/60)</f>
        <v>53085.140425531914</v>
      </c>
      <c r="D20" s="305">
        <f>D17/('All. 1'!$C$10/60)</f>
        <v>58983.489361702123</v>
      </c>
      <c r="E20" s="305">
        <f>E17/('All. 1'!$C$10/60)</f>
        <v>67831.01276595745</v>
      </c>
      <c r="F20" s="305">
        <f>F17/('All. 1'!$C$10/60)</f>
        <v>61932.663829787234</v>
      </c>
      <c r="G20" s="305">
        <f>G17/('All. 1'!$C$10/60)</f>
        <v>61932.663829787234</v>
      </c>
      <c r="H20" s="305">
        <f>H17/('All. 1'!$C$10/60)</f>
        <v>64881.838297872338</v>
      </c>
      <c r="I20" s="305">
        <f>I17/('All. 1'!$C$10/60)</f>
        <v>57041.838297872338</v>
      </c>
      <c r="J20" s="305">
        <f>J17/('All. 1'!$C$10/60)</f>
        <v>35390.093617021274</v>
      </c>
      <c r="K20" s="305">
        <f>K17/('All. 1'!$C$10/60)</f>
        <v>64881.838297872338</v>
      </c>
      <c r="L20" s="305">
        <f>L17/('All. 1'!$C$10/60)</f>
        <v>61932.663829787234</v>
      </c>
      <c r="M20" s="305">
        <f>M17/('All. 1'!$C$10/60)</f>
        <v>61932.663829787234</v>
      </c>
      <c r="N20" s="305">
        <f>N17/('All. 1'!$C$10/60)</f>
        <v>27550.093617021277</v>
      </c>
      <c r="O20" s="237"/>
    </row>
    <row r="21" spans="2:17" ht="16" x14ac:dyDescent="0.2">
      <c r="B21" s="363"/>
      <c r="C21" s="231">
        <f>MIN(SUM(C9:$N9)-SUM(D21:$N21),C20)</f>
        <v>53085.140425531914</v>
      </c>
      <c r="D21" s="231">
        <f>MIN(SUM(D9:$N9)-SUM(E21:$N21),D20)</f>
        <v>58983.489361702123</v>
      </c>
      <c r="E21" s="231">
        <f>MIN(SUM(E9:$N9)-SUM(F21:$N21),E20)</f>
        <v>67407.192253489047</v>
      </c>
      <c r="F21" s="231">
        <f>MIN(SUM(F9:$N9)-SUM(G21:$N21),F20)</f>
        <v>61932.663829787234</v>
      </c>
      <c r="G21" s="231">
        <f>MIN(SUM(G9:$N9)-SUM(H21:$N21),G20)</f>
        <v>61932.663829787169</v>
      </c>
      <c r="H21" s="231">
        <f>MIN(SUM(H9:$N9)-SUM(I21:$N21),H20)</f>
        <v>64881.83829787228</v>
      </c>
      <c r="I21" s="231">
        <f>MIN(SUM(I9:$N9)-SUM(J21:$N21),I20)</f>
        <v>57041.838297872338</v>
      </c>
      <c r="J21" s="231">
        <f>MIN(SUM(J9:$N9)-SUM(K21:$N21),J20)</f>
        <v>35390.093617021274</v>
      </c>
      <c r="K21" s="231">
        <f>MIN(SUM(K9:$N9)-SUM(L21:$N21),K20)</f>
        <v>61002.600772020145</v>
      </c>
      <c r="L21" s="231">
        <f>MIN(SUM(L9:$N9)-SUM(M21:$N21),L20)</f>
        <v>53809.840677835746</v>
      </c>
      <c r="M21" s="231">
        <f>MIN(SUM(M9:$N9)-SUM(N21:$N21),M20)</f>
        <v>61932.663829787227</v>
      </c>
      <c r="N21" s="231">
        <f>+N20</f>
        <v>27550.093617021277</v>
      </c>
      <c r="O21" s="442">
        <f>SUM(C21:N21)</f>
        <v>664950.11880972784</v>
      </c>
    </row>
    <row r="22" spans="2:17" ht="16" x14ac:dyDescent="0.2">
      <c r="B22" s="449" t="s">
        <v>677</v>
      </c>
      <c r="C22" s="450">
        <f t="shared" ref="C22:N22" si="3">+C21+C37</f>
        <v>53085.140425531914</v>
      </c>
      <c r="D22" s="450">
        <f t="shared" si="3"/>
        <v>60115.491160451427</v>
      </c>
      <c r="E22" s="450">
        <f t="shared" si="3"/>
        <v>67407.192253489047</v>
      </c>
      <c r="F22" s="450">
        <f t="shared" si="3"/>
        <v>61932.663829787234</v>
      </c>
      <c r="G22" s="450">
        <f t="shared" si="3"/>
        <v>61932.663829787169</v>
      </c>
      <c r="H22" s="450">
        <f t="shared" si="3"/>
        <v>64881.83829787228</v>
      </c>
      <c r="I22" s="450">
        <f t="shared" si="3"/>
        <v>57041.838297872338</v>
      </c>
      <c r="J22" s="450">
        <f t="shared" si="3"/>
        <v>35390.093617021274</v>
      </c>
      <c r="K22" s="450">
        <f t="shared" si="3"/>
        <v>61002.600772020145</v>
      </c>
      <c r="L22" s="450">
        <f t="shared" si="3"/>
        <v>53809.840677835746</v>
      </c>
      <c r="M22" s="450">
        <f t="shared" si="3"/>
        <v>61932.663829787227</v>
      </c>
      <c r="N22" s="450">
        <f t="shared" si="3"/>
        <v>27550.093617021277</v>
      </c>
      <c r="O22" s="451">
        <f>SUM(C22:N22)</f>
        <v>666082.12060847704</v>
      </c>
      <c r="Q22" s="1"/>
    </row>
    <row r="23" spans="2:17" ht="16" x14ac:dyDescent="0.2">
      <c r="B23" s="363" t="s">
        <v>684</v>
      </c>
      <c r="C23" s="231">
        <f>'All. 1'!$C$10/60*C22</f>
        <v>13271.285106382978</v>
      </c>
      <c r="D23" s="231">
        <f>'All. 1'!$C$10/60*D22</f>
        <v>15028.872790112857</v>
      </c>
      <c r="E23" s="231">
        <f>'All. 1'!$C$10/60*E22</f>
        <v>16851.798063372262</v>
      </c>
      <c r="F23" s="231">
        <f>'All. 1'!$C$10/60*F22</f>
        <v>15483.165957446809</v>
      </c>
      <c r="G23" s="231">
        <f>'All. 1'!$C$10/60*G22</f>
        <v>15483.165957446792</v>
      </c>
      <c r="H23" s="231">
        <f>'All. 1'!$C$10/60*H22</f>
        <v>16220.45957446807</v>
      </c>
      <c r="I23" s="231">
        <f>'All. 1'!$C$10/60*I22</f>
        <v>14260.459574468085</v>
      </c>
      <c r="J23" s="231">
        <f>'All. 1'!$C$10/60*J22</f>
        <v>8847.5234042553184</v>
      </c>
      <c r="K23" s="231">
        <f>'All. 1'!$C$10/60*K22</f>
        <v>15250.650193005036</v>
      </c>
      <c r="L23" s="231">
        <f>'All. 1'!$C$10/60*L22</f>
        <v>13452.460169458936</v>
      </c>
      <c r="M23" s="231">
        <f>'All. 1'!$C$10/60*M22</f>
        <v>15483.165957446807</v>
      </c>
      <c r="N23" s="231">
        <f>'All. 1'!$C$10/60*N22</f>
        <v>6887.5234042553193</v>
      </c>
      <c r="O23" s="442">
        <f>SUM(C23:N23)</f>
        <v>166520.53015211926</v>
      </c>
    </row>
    <row r="24" spans="2:17" ht="16" x14ac:dyDescent="0.2">
      <c r="B24" s="363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237"/>
    </row>
    <row r="25" spans="2:17" ht="16" x14ac:dyDescent="0.2">
      <c r="B25" s="363" t="s">
        <v>678</v>
      </c>
      <c r="C25" s="447">
        <f>C17</f>
        <v>13271.285106382978</v>
      </c>
      <c r="D25" s="447">
        <f>D17</f>
        <v>14745.872340425531</v>
      </c>
      <c r="E25" s="447">
        <f t="shared" ref="E25:N25" si="4">E17</f>
        <v>16957.753191489363</v>
      </c>
      <c r="F25" s="447">
        <f t="shared" si="4"/>
        <v>15483.165957446809</v>
      </c>
      <c r="G25" s="447">
        <f t="shared" si="4"/>
        <v>15483.165957446809</v>
      </c>
      <c r="H25" s="447">
        <f t="shared" si="4"/>
        <v>16220.459574468085</v>
      </c>
      <c r="I25" s="447">
        <f t="shared" si="4"/>
        <v>14260.459574468085</v>
      </c>
      <c r="J25" s="447">
        <f t="shared" si="4"/>
        <v>8847.5234042553184</v>
      </c>
      <c r="K25" s="447">
        <f t="shared" si="4"/>
        <v>16220.459574468085</v>
      </c>
      <c r="L25" s="447">
        <f t="shared" si="4"/>
        <v>15483.165957446809</v>
      </c>
      <c r="M25" s="447">
        <f t="shared" si="4"/>
        <v>15483.165957446809</v>
      </c>
      <c r="N25" s="447">
        <f t="shared" si="4"/>
        <v>6887.5234042553193</v>
      </c>
      <c r="O25" s="444">
        <f>SUM(C25:N25)</f>
        <v>169344.00000000003</v>
      </c>
    </row>
    <row r="26" spans="2:17" ht="16" x14ac:dyDescent="0.2">
      <c r="B26" s="363" t="s">
        <v>679</v>
      </c>
      <c r="C26" s="447"/>
      <c r="D26" s="447">
        <f>+D23-D25</f>
        <v>283.00044968732618</v>
      </c>
      <c r="E26" s="443"/>
      <c r="F26" s="443"/>
      <c r="G26" s="443"/>
      <c r="H26" s="443"/>
      <c r="I26" s="443"/>
      <c r="J26" s="443"/>
      <c r="K26" s="443"/>
      <c r="L26" s="443"/>
      <c r="M26" s="443"/>
      <c r="N26" s="443"/>
      <c r="O26" s="444">
        <f>SUM(C26:N26)</f>
        <v>283.00044968732618</v>
      </c>
    </row>
    <row r="27" spans="2:17" ht="17" thickBot="1" x14ac:dyDescent="0.25">
      <c r="B27" s="363" t="s">
        <v>680</v>
      </c>
      <c r="C27" s="447">
        <f>C25+C26</f>
        <v>13271.285106382978</v>
      </c>
      <c r="D27" s="447">
        <f>D25+D26</f>
        <v>15028.872790112857</v>
      </c>
      <c r="E27" s="447">
        <f t="shared" ref="E27:N27" si="5">E25+E26</f>
        <v>16957.753191489363</v>
      </c>
      <c r="F27" s="447">
        <f t="shared" si="5"/>
        <v>15483.165957446809</v>
      </c>
      <c r="G27" s="447">
        <f t="shared" si="5"/>
        <v>15483.165957446809</v>
      </c>
      <c r="H27" s="447">
        <f t="shared" si="5"/>
        <v>16220.459574468085</v>
      </c>
      <c r="I27" s="447">
        <f t="shared" si="5"/>
        <v>14260.459574468085</v>
      </c>
      <c r="J27" s="447">
        <f t="shared" si="5"/>
        <v>8847.5234042553184</v>
      </c>
      <c r="K27" s="447">
        <f t="shared" si="5"/>
        <v>16220.459574468085</v>
      </c>
      <c r="L27" s="447">
        <f t="shared" si="5"/>
        <v>15483.165957446809</v>
      </c>
      <c r="M27" s="447">
        <f t="shared" si="5"/>
        <v>15483.165957446809</v>
      </c>
      <c r="N27" s="447">
        <f t="shared" si="5"/>
        <v>6887.5234042553193</v>
      </c>
      <c r="O27" s="444">
        <f>SUM(C27:N27)</f>
        <v>169627.00044968733</v>
      </c>
    </row>
    <row r="28" spans="2:17" ht="17" thickBot="1" x14ac:dyDescent="0.25">
      <c r="B28" s="364" t="s">
        <v>676</v>
      </c>
      <c r="C28" s="235">
        <f>C27-C23</f>
        <v>0</v>
      </c>
      <c r="D28" s="235">
        <f>D27-D23</f>
        <v>0</v>
      </c>
      <c r="E28" s="235">
        <f t="shared" ref="E28:M28" si="6">E27-E23</f>
        <v>105.95512811710068</v>
      </c>
      <c r="F28" s="235">
        <f t="shared" si="6"/>
        <v>0</v>
      </c>
      <c r="G28" s="235">
        <f t="shared" si="6"/>
        <v>1.6370904631912708E-11</v>
      </c>
      <c r="H28" s="235">
        <f t="shared" si="6"/>
        <v>1.4551915228366852E-11</v>
      </c>
      <c r="I28" s="235">
        <f t="shared" si="6"/>
        <v>0</v>
      </c>
      <c r="J28" s="235">
        <f t="shared" si="6"/>
        <v>0</v>
      </c>
      <c r="K28" s="235">
        <f t="shared" si="6"/>
        <v>969.80938146304834</v>
      </c>
      <c r="L28" s="235">
        <f t="shared" si="6"/>
        <v>2030.7057879878721</v>
      </c>
      <c r="M28" s="235">
        <f t="shared" si="6"/>
        <v>0</v>
      </c>
      <c r="N28" s="235">
        <f>N27-N23</f>
        <v>0</v>
      </c>
      <c r="O28" s="245">
        <f>SUM(C28:N28)</f>
        <v>3106.470297568052</v>
      </c>
    </row>
    <row r="29" spans="2:17" x14ac:dyDescent="0.15">
      <c r="B29" s="452"/>
      <c r="C29" s="453"/>
      <c r="D29" s="453"/>
      <c r="E29" s="453"/>
      <c r="F29" s="453"/>
      <c r="G29" s="453"/>
      <c r="H29" s="453"/>
      <c r="I29" s="453"/>
      <c r="J29" s="453"/>
      <c r="K29" s="453"/>
      <c r="L29" s="453"/>
      <c r="M29" s="453"/>
      <c r="N29" s="453"/>
      <c r="O29" s="454"/>
    </row>
    <row r="30" spans="2:17" x14ac:dyDescent="0.15">
      <c r="B30" s="455"/>
      <c r="O30" s="456"/>
    </row>
    <row r="31" spans="2:17" x14ac:dyDescent="0.15">
      <c r="B31" s="455"/>
      <c r="O31" s="456"/>
    </row>
    <row r="32" spans="2:17" x14ac:dyDescent="0.15">
      <c r="B32" s="455"/>
      <c r="O32" s="456"/>
    </row>
    <row r="33" spans="2:15" x14ac:dyDescent="0.15">
      <c r="B33" s="457" t="s">
        <v>682</v>
      </c>
      <c r="C33" s="1">
        <f>+C9</f>
        <v>53085.140425531914</v>
      </c>
      <c r="D33" s="1">
        <f t="shared" ref="D33:N33" si="7">+D9+C33</f>
        <v>113200.63158598334</v>
      </c>
      <c r="E33" s="1">
        <f t="shared" si="7"/>
        <v>180607.82383947226</v>
      </c>
      <c r="F33" s="1">
        <f t="shared" si="7"/>
        <v>242540.48766925948</v>
      </c>
      <c r="G33" s="1">
        <f t="shared" si="7"/>
        <v>304473.15149904671</v>
      </c>
      <c r="H33" s="1">
        <f t="shared" si="7"/>
        <v>369354.98979691899</v>
      </c>
      <c r="I33" s="1">
        <f t="shared" si="7"/>
        <v>426396.82809479133</v>
      </c>
      <c r="J33" s="1">
        <f t="shared" si="7"/>
        <v>461786.92171181261</v>
      </c>
      <c r="K33" s="1">
        <f t="shared" si="7"/>
        <v>522789.52248383278</v>
      </c>
      <c r="L33" s="1">
        <f t="shared" si="7"/>
        <v>576599.36316166853</v>
      </c>
      <c r="M33" s="1">
        <f t="shared" si="7"/>
        <v>638532.02699145582</v>
      </c>
      <c r="N33" s="1">
        <f t="shared" si="7"/>
        <v>666082.12060847704</v>
      </c>
      <c r="O33" s="456"/>
    </row>
    <row r="34" spans="2:15" x14ac:dyDescent="0.15">
      <c r="B34" s="457" t="s">
        <v>683</v>
      </c>
      <c r="C34" s="1">
        <f>+C21</f>
        <v>53085.140425531914</v>
      </c>
      <c r="D34" s="1">
        <f t="shared" ref="D34:N34" si="8">+C34+D21</f>
        <v>112068.62978723404</v>
      </c>
      <c r="E34" s="1">
        <f t="shared" si="8"/>
        <v>179475.82204072308</v>
      </c>
      <c r="F34" s="1">
        <f t="shared" si="8"/>
        <v>241408.48587051031</v>
      </c>
      <c r="G34" s="1">
        <f t="shared" si="8"/>
        <v>303341.14970029751</v>
      </c>
      <c r="H34" s="1">
        <f t="shared" si="8"/>
        <v>368222.98799816979</v>
      </c>
      <c r="I34" s="1">
        <f t="shared" si="8"/>
        <v>425264.82629604213</v>
      </c>
      <c r="J34" s="1">
        <f t="shared" si="8"/>
        <v>460654.91991306341</v>
      </c>
      <c r="K34" s="1">
        <f t="shared" si="8"/>
        <v>521657.52068508358</v>
      </c>
      <c r="L34" s="1">
        <f t="shared" si="8"/>
        <v>575467.36136291933</v>
      </c>
      <c r="M34" s="1">
        <f t="shared" si="8"/>
        <v>637400.02519270661</v>
      </c>
      <c r="N34" s="1">
        <f t="shared" si="8"/>
        <v>664950.11880972784</v>
      </c>
      <c r="O34" s="456"/>
    </row>
    <row r="35" spans="2:15" x14ac:dyDescent="0.15">
      <c r="B35" s="455"/>
      <c r="C35" s="1">
        <f>+C22</f>
        <v>53085.140425531914</v>
      </c>
      <c r="D35" s="1">
        <f>+D22+C22</f>
        <v>113200.63158598334</v>
      </c>
      <c r="E35" s="1">
        <f t="shared" ref="E35:N35" si="9">+E22+D35</f>
        <v>180607.82383947237</v>
      </c>
      <c r="F35" s="1">
        <f t="shared" si="9"/>
        <v>242540.4876692596</v>
      </c>
      <c r="G35" s="1">
        <f t="shared" si="9"/>
        <v>304473.15149904677</v>
      </c>
      <c r="H35" s="1">
        <f t="shared" si="9"/>
        <v>369354.98979691905</v>
      </c>
      <c r="I35" s="1">
        <f t="shared" si="9"/>
        <v>426396.82809479139</v>
      </c>
      <c r="J35" s="1">
        <f t="shared" si="9"/>
        <v>461786.92171181267</v>
      </c>
      <c r="K35" s="1">
        <f t="shared" si="9"/>
        <v>522789.52248383278</v>
      </c>
      <c r="L35" s="1">
        <f t="shared" si="9"/>
        <v>576599.36316166853</v>
      </c>
      <c r="M35" s="1">
        <f t="shared" si="9"/>
        <v>638532.02699145582</v>
      </c>
      <c r="N35" s="1">
        <f t="shared" si="9"/>
        <v>666082.12060847704</v>
      </c>
      <c r="O35" s="456"/>
    </row>
    <row r="36" spans="2:15" x14ac:dyDescent="0.15">
      <c r="B36" s="45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456"/>
    </row>
    <row r="37" spans="2:15" ht="14" thickBot="1" x14ac:dyDescent="0.2">
      <c r="B37" s="458"/>
      <c r="C37" s="459">
        <f>+IF(C34&lt;C33,C33-C34,0)</f>
        <v>0</v>
      </c>
      <c r="D37" s="459">
        <f>+IF(D34&lt;D33,D33-D34,0)</f>
        <v>1132.0017987493047</v>
      </c>
      <c r="E37" s="459"/>
      <c r="F37" s="460"/>
      <c r="G37" s="460"/>
      <c r="H37" s="460"/>
      <c r="I37" s="460"/>
      <c r="J37" s="460"/>
      <c r="K37" s="460"/>
      <c r="L37" s="460"/>
      <c r="M37" s="460"/>
      <c r="N37" s="460"/>
      <c r="O37" s="461"/>
    </row>
    <row r="38" spans="2:15" ht="16" x14ac:dyDescent="0.2">
      <c r="B38" s="19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237"/>
    </row>
    <row r="39" spans="2:15" ht="16" x14ac:dyDescent="0.2">
      <c r="B39" s="441" t="s">
        <v>92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237"/>
    </row>
    <row r="40" spans="2:15" ht="16" x14ac:dyDescent="0.2">
      <c r="B40" s="363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237"/>
    </row>
    <row r="41" spans="2:15" ht="16" x14ac:dyDescent="0.2">
      <c r="B41" s="363" t="s">
        <v>672</v>
      </c>
      <c r="C41" s="231">
        <f>'Tab 4 v2'!C28</f>
        <v>3608.3732687165466</v>
      </c>
      <c r="D41" s="231">
        <f>'Tab 4 v2'!D28</f>
        <v>3741.1687639396141</v>
      </c>
      <c r="E41" s="231">
        <f>'Tab 4 v2'!E28</f>
        <v>3919.3196574605463</v>
      </c>
      <c r="F41" s="231">
        <f>'Tab 4 v2'!F28</f>
        <v>3919.3196574605317</v>
      </c>
      <c r="G41" s="231">
        <f>'Tab 4 v2'!G28</f>
        <v>2503.4253543994564</v>
      </c>
      <c r="H41" s="231">
        <f>'Tab 4 v2'!H28</f>
        <v>4551.6595744680817</v>
      </c>
      <c r="I41" s="231">
        <f>'Tab 4 v2'!I28</f>
        <v>4001.6595744680844</v>
      </c>
      <c r="J41" s="231">
        <f>'Tab 4 v2'!J28</f>
        <v>2482.7234042553191</v>
      </c>
      <c r="K41" s="231">
        <f>'Tab 4 v2'!K28</f>
        <v>3008.4665511662315</v>
      </c>
      <c r="L41" s="231">
        <f>'Tab 4 v2'!L28</f>
        <v>4344.765957446808</v>
      </c>
      <c r="M41" s="231">
        <f>'Tab 4 v2'!M28</f>
        <v>4344.765957446808</v>
      </c>
      <c r="N41" s="231">
        <f>'Tab 4 v2'!N28</f>
        <v>1932.7234042553191</v>
      </c>
      <c r="O41" s="442">
        <f>SUM(C41:N41)</f>
        <v>42358.37112548334</v>
      </c>
    </row>
    <row r="42" spans="2:15" ht="16" x14ac:dyDescent="0.2">
      <c r="B42" s="363" t="s">
        <v>673</v>
      </c>
      <c r="C42" s="231">
        <f>'All. 1'!$C$17/60*C41</f>
        <v>1443.3493074866187</v>
      </c>
      <c r="D42" s="231">
        <f>'All. 1'!$C$17/60*D41</f>
        <v>1496.4675055758457</v>
      </c>
      <c r="E42" s="231">
        <f>'All. 1'!$C$17/60*E41</f>
        <v>1567.7278629842185</v>
      </c>
      <c r="F42" s="231">
        <f>'All. 1'!$C$17/60*F41</f>
        <v>1567.7278629842128</v>
      </c>
      <c r="G42" s="231">
        <f>'All. 1'!$C$17/60*G41</f>
        <v>1001.3701417597827</v>
      </c>
      <c r="H42" s="231">
        <f>'All. 1'!$C$17/60*H41</f>
        <v>1820.6638297872328</v>
      </c>
      <c r="I42" s="231">
        <f>'All. 1'!$C$17/60*I41</f>
        <v>1600.6638297872339</v>
      </c>
      <c r="J42" s="231">
        <f>'All. 1'!$C$17/60*J41</f>
        <v>993.08936170212769</v>
      </c>
      <c r="K42" s="231">
        <f>'All. 1'!$C$17/60*K41</f>
        <v>1203.3866204664926</v>
      </c>
      <c r="L42" s="231">
        <f>'All. 1'!$C$17/60*L41</f>
        <v>1737.9063829787233</v>
      </c>
      <c r="M42" s="231">
        <f>'All. 1'!$C$17/60*M41</f>
        <v>1737.9063829787233</v>
      </c>
      <c r="N42" s="231">
        <f>'All. 1'!$C$17/60*N41</f>
        <v>773.08936170212769</v>
      </c>
      <c r="O42" s="442">
        <f>SUM(C42:N42)</f>
        <v>16943.348450193338</v>
      </c>
    </row>
    <row r="43" spans="2:15" ht="16" x14ac:dyDescent="0.2">
      <c r="B43" s="363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237"/>
    </row>
    <row r="44" spans="2:15" ht="16" x14ac:dyDescent="0.2">
      <c r="B44" s="363" t="s">
        <v>674</v>
      </c>
      <c r="C44" s="462">
        <f>+'Tab. 14'!C6-'Tab. 14'!C7</f>
        <v>18</v>
      </c>
      <c r="D44" s="462">
        <f>+'Tab. 14'!D6-'Tab. 14'!D7</f>
        <v>20</v>
      </c>
      <c r="E44" s="462">
        <f>+'Tab. 14'!E6-'Tab. 14'!E7</f>
        <v>23</v>
      </c>
      <c r="F44" s="462">
        <f>+'Tab. 14'!F6-'Tab. 14'!F7</f>
        <v>21</v>
      </c>
      <c r="G44" s="462">
        <f>+'Tab. 14'!G6-'Tab. 14'!G7</f>
        <v>21</v>
      </c>
      <c r="H44" s="462">
        <f>+'Tab. 14'!H6-'Tab. 14'!H7</f>
        <v>22</v>
      </c>
      <c r="I44" s="462">
        <f>+'Tab. 14'!I6-'Tab. 14'!I7</f>
        <v>22</v>
      </c>
      <c r="J44" s="462">
        <f>+'Tab. 14'!J6-'Tab. 14'!J7</f>
        <v>12</v>
      </c>
      <c r="K44" s="462">
        <f>+'Tab. 14'!K6-'Tab. 14'!K7</f>
        <v>22</v>
      </c>
      <c r="L44" s="462">
        <f>+'Tab. 14'!L6-'Tab. 14'!L7</f>
        <v>21</v>
      </c>
      <c r="M44" s="462">
        <f>+'Tab. 14'!M6-'Tab. 14'!M7</f>
        <v>21</v>
      </c>
      <c r="N44" s="462">
        <f>+'Tab. 14'!N6-'Tab. 14'!N7</f>
        <v>12</v>
      </c>
      <c r="O44" s="532">
        <f>SUM(C44:N44)</f>
        <v>235</v>
      </c>
    </row>
    <row r="45" spans="2:15" ht="16" x14ac:dyDescent="0.2">
      <c r="B45" s="363" t="s">
        <v>4</v>
      </c>
      <c r="C45" s="445">
        <f>-'Tab. 14'!C8</f>
        <v>-1.0723404255319149</v>
      </c>
      <c r="D45" s="445">
        <f>-'Tab. 14'!D8</f>
        <v>-1.1914893617021276</v>
      </c>
      <c r="E45" s="445">
        <f>-'Tab. 14'!E8</f>
        <v>-1.3702127659574468</v>
      </c>
      <c r="F45" s="445">
        <f>-'Tab. 14'!F8</f>
        <v>-1.2510638297872341</v>
      </c>
      <c r="G45" s="445">
        <f>-'Tab. 14'!G8</f>
        <v>-1.2510638297872341</v>
      </c>
      <c r="H45" s="445">
        <f>-'Tab. 14'!H8</f>
        <v>-1.3106382978723405</v>
      </c>
      <c r="I45" s="445">
        <f>-'Tab. 14'!I8</f>
        <v>-1.3106382978723405</v>
      </c>
      <c r="J45" s="445">
        <f>-'Tab. 14'!J8</f>
        <v>-0.71489361702127663</v>
      </c>
      <c r="K45" s="445">
        <f>-'Tab. 14'!K8</f>
        <v>-1.3106382978723405</v>
      </c>
      <c r="L45" s="445">
        <f>-'Tab. 14'!L8</f>
        <v>-1.2510638297872341</v>
      </c>
      <c r="M45" s="445">
        <f>-'Tab. 14'!M8</f>
        <v>-1.2510638297872341</v>
      </c>
      <c r="N45" s="445">
        <f>-'Tab. 14'!N8</f>
        <v>-0.71489361702127663</v>
      </c>
      <c r="O45" s="532">
        <f t="shared" ref="O45:O46" si="10">SUM(C45:N45)</f>
        <v>-14.000000000000004</v>
      </c>
    </row>
    <row r="46" spans="2:15" ht="16" x14ac:dyDescent="0.2">
      <c r="B46" s="363" t="s">
        <v>5</v>
      </c>
      <c r="C46" s="443">
        <f>-'Tab. 14'!C9</f>
        <v>0</v>
      </c>
      <c r="D46" s="443">
        <f>-'Tab. 14'!D9</f>
        <v>0</v>
      </c>
      <c r="E46" s="443">
        <f>-'Tab. 14'!E9</f>
        <v>0</v>
      </c>
      <c r="F46" s="443">
        <f>-'Tab. 14'!F9</f>
        <v>0</v>
      </c>
      <c r="G46" s="443">
        <f>-'Tab. 14'!G9</f>
        <v>0</v>
      </c>
      <c r="H46" s="443">
        <f>-'Tab. 14'!H9</f>
        <v>0</v>
      </c>
      <c r="I46" s="443">
        <f>-'Tab. 14'!I9</f>
        <v>-2.5</v>
      </c>
      <c r="J46" s="443">
        <f>-'Tab. 14'!J9</f>
        <v>0</v>
      </c>
      <c r="K46" s="443">
        <f>-'Tab. 14'!K9</f>
        <v>0</v>
      </c>
      <c r="L46" s="443">
        <f>-'Tab. 14'!L9</f>
        <v>0</v>
      </c>
      <c r="M46" s="443">
        <f>-'Tab. 14'!M9</f>
        <v>0</v>
      </c>
      <c r="N46" s="443">
        <f>-'Tab. 14'!N9</f>
        <v>-2.5</v>
      </c>
      <c r="O46" s="532">
        <f t="shared" si="10"/>
        <v>-5</v>
      </c>
    </row>
    <row r="47" spans="2:15" ht="16" x14ac:dyDescent="0.2">
      <c r="B47" s="363" t="s">
        <v>6</v>
      </c>
      <c r="C47" s="462">
        <f>'All. 2'!$D$10</f>
        <v>8</v>
      </c>
      <c r="D47" s="462">
        <f>'All. 2'!$D$10</f>
        <v>8</v>
      </c>
      <c r="E47" s="462">
        <f>'All. 2'!$D$10</f>
        <v>8</v>
      </c>
      <c r="F47" s="462">
        <f>'All. 2'!$D$10</f>
        <v>8</v>
      </c>
      <c r="G47" s="462">
        <f>'All. 2'!$D$10</f>
        <v>8</v>
      </c>
      <c r="H47" s="462">
        <f>'All. 2'!$D$10</f>
        <v>8</v>
      </c>
      <c r="I47" s="462">
        <f>'All. 2'!$D$10</f>
        <v>8</v>
      </c>
      <c r="J47" s="462">
        <f>'All. 2'!$D$10</f>
        <v>8</v>
      </c>
      <c r="K47" s="462">
        <f>'All. 2'!$D$10</f>
        <v>8</v>
      </c>
      <c r="L47" s="462">
        <f>'All. 2'!$D$10</f>
        <v>8</v>
      </c>
      <c r="M47" s="462">
        <f>'All. 2'!$D$10</f>
        <v>8</v>
      </c>
      <c r="N47" s="462">
        <f>'All. 2'!$D$10</f>
        <v>8</v>
      </c>
      <c r="O47" s="446"/>
    </row>
    <row r="48" spans="2:15" ht="16" x14ac:dyDescent="0.2">
      <c r="B48" s="363" t="s">
        <v>7</v>
      </c>
      <c r="C48" s="443">
        <f>'All. 2'!$D$5</f>
        <v>11</v>
      </c>
      <c r="D48" s="443">
        <f>'All. 2'!$D$5</f>
        <v>11</v>
      </c>
      <c r="E48" s="443">
        <f>'All. 2'!$D$5</f>
        <v>11</v>
      </c>
      <c r="F48" s="443">
        <f>'All. 2'!$D$5</f>
        <v>11</v>
      </c>
      <c r="G48" s="443">
        <f>'All. 2'!$D$5</f>
        <v>11</v>
      </c>
      <c r="H48" s="443">
        <f>'All. 2'!$D$5</f>
        <v>11</v>
      </c>
      <c r="I48" s="443">
        <f>'All. 2'!$D$5</f>
        <v>11</v>
      </c>
      <c r="J48" s="443">
        <f>'All. 2'!$D$5</f>
        <v>11</v>
      </c>
      <c r="K48" s="443">
        <f>'All. 2'!$D$5</f>
        <v>11</v>
      </c>
      <c r="L48" s="443">
        <f>'All. 2'!$D$5</f>
        <v>11</v>
      </c>
      <c r="M48" s="443">
        <f>'All. 2'!$D$5</f>
        <v>11</v>
      </c>
      <c r="N48" s="443">
        <f>'All. 2'!$D$5</f>
        <v>11</v>
      </c>
      <c r="O48" s="446"/>
    </row>
    <row r="49" spans="2:15" ht="17" thickBot="1" x14ac:dyDescent="0.25">
      <c r="B49" s="363" t="s">
        <v>675</v>
      </c>
      <c r="C49" s="231">
        <f>(C44+C45+C46)*C47*C48</f>
        <v>1489.6340425531914</v>
      </c>
      <c r="D49" s="231">
        <f t="shared" ref="D49:N49" si="11">(D44+D45+D46)*D47*D48</f>
        <v>1655.1489361702127</v>
      </c>
      <c r="E49" s="231">
        <f t="shared" si="11"/>
        <v>1903.4212765957445</v>
      </c>
      <c r="F49" s="231">
        <f t="shared" si="11"/>
        <v>1737.9063829787233</v>
      </c>
      <c r="G49" s="231">
        <f t="shared" si="11"/>
        <v>1737.9063829787233</v>
      </c>
      <c r="H49" s="231">
        <f t="shared" si="11"/>
        <v>1820.6638297872339</v>
      </c>
      <c r="I49" s="231">
        <f t="shared" si="11"/>
        <v>1600.6638297872339</v>
      </c>
      <c r="J49" s="231">
        <f t="shared" si="11"/>
        <v>993.08936170212769</v>
      </c>
      <c r="K49" s="231">
        <f t="shared" si="11"/>
        <v>1820.6638297872339</v>
      </c>
      <c r="L49" s="231">
        <f t="shared" si="11"/>
        <v>1737.9063829787233</v>
      </c>
      <c r="M49" s="231">
        <f t="shared" si="11"/>
        <v>1737.9063829787233</v>
      </c>
      <c r="N49" s="231">
        <f t="shared" si="11"/>
        <v>773.08936170212769</v>
      </c>
      <c r="O49" s="442">
        <f>SUM(C49:N49)</f>
        <v>19008</v>
      </c>
    </row>
    <row r="50" spans="2:15" ht="17" thickBot="1" x14ac:dyDescent="0.25">
      <c r="B50" s="364" t="s">
        <v>676</v>
      </c>
      <c r="C50" s="235">
        <f t="shared" ref="C50:O50" si="12">C49-C42</f>
        <v>46.284735066572694</v>
      </c>
      <c r="D50" s="235">
        <f t="shared" si="12"/>
        <v>158.68143059436693</v>
      </c>
      <c r="E50" s="235">
        <f t="shared" si="12"/>
        <v>335.69341361152601</v>
      </c>
      <c r="F50" s="235">
        <f t="shared" si="12"/>
        <v>170.17851999451045</v>
      </c>
      <c r="G50" s="235">
        <f t="shared" si="12"/>
        <v>736.53624121894063</v>
      </c>
      <c r="H50" s="235">
        <f t="shared" si="12"/>
        <v>0</v>
      </c>
      <c r="I50" s="235">
        <f t="shared" si="12"/>
        <v>0</v>
      </c>
      <c r="J50" s="235">
        <f t="shared" si="12"/>
        <v>0</v>
      </c>
      <c r="K50" s="235">
        <f t="shared" si="12"/>
        <v>617.27720932074135</v>
      </c>
      <c r="L50" s="235">
        <f t="shared" si="12"/>
        <v>0</v>
      </c>
      <c r="M50" s="235">
        <f t="shared" si="12"/>
        <v>0</v>
      </c>
      <c r="N50" s="235">
        <f t="shared" si="12"/>
        <v>0</v>
      </c>
      <c r="O50" s="245">
        <f t="shared" si="12"/>
        <v>2064.6515498066619</v>
      </c>
    </row>
    <row r="51" spans="2:15" ht="16" x14ac:dyDescent="0.2">
      <c r="B51" s="363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237"/>
    </row>
    <row r="52" spans="2:15" ht="16" x14ac:dyDescent="0.2">
      <c r="B52" s="363" t="s">
        <v>681</v>
      </c>
      <c r="C52" s="305">
        <f>C49/('All. 1'!$C$17/60)</f>
        <v>3724.0851063829782</v>
      </c>
      <c r="D52" s="305">
        <f>D49/('All. 1'!$C$17/60)</f>
        <v>4137.8723404255315</v>
      </c>
      <c r="E52" s="305">
        <f>E49/('All. 1'!$C$17/60)</f>
        <v>4758.5531914893609</v>
      </c>
      <c r="F52" s="305">
        <f>F49/('All. 1'!$C$17/60)</f>
        <v>4344.765957446808</v>
      </c>
      <c r="G52" s="305">
        <f>G49/('All. 1'!$C$17/60)</f>
        <v>4344.765957446808</v>
      </c>
      <c r="H52" s="305">
        <f>H49/('All. 1'!$C$17/60)</f>
        <v>4551.6595744680844</v>
      </c>
      <c r="I52" s="305">
        <f>I49/('All. 1'!$C$17/60)</f>
        <v>4001.6595744680844</v>
      </c>
      <c r="J52" s="305">
        <f>J49/('All. 1'!$C$17/60)</f>
        <v>2482.7234042553191</v>
      </c>
      <c r="K52" s="305">
        <f>K49/('All. 1'!$C$17/60)</f>
        <v>4551.6595744680844</v>
      </c>
      <c r="L52" s="305">
        <f>L49/('All. 1'!$C$17/60)</f>
        <v>4344.765957446808</v>
      </c>
      <c r="M52" s="305">
        <f>M49/('All. 1'!$C$17/60)</f>
        <v>4344.765957446808</v>
      </c>
      <c r="N52" s="305">
        <f>N49/('All. 1'!$C$17/60)</f>
        <v>1932.7234042553191</v>
      </c>
      <c r="O52" s="237"/>
    </row>
    <row r="53" spans="2:15" ht="16" hidden="1" x14ac:dyDescent="0.2">
      <c r="B53" s="363"/>
      <c r="C53" s="231">
        <f>MIN(SUM(C41:$N41)-SUM(D53:$N53),C52)</f>
        <v>3608.3732687165393</v>
      </c>
      <c r="D53" s="231">
        <f>MIN(SUM(D41:$N41)-SUM(E53:$N53),D52)</f>
        <v>3741.1687639396114</v>
      </c>
      <c r="E53" s="231">
        <f>MIN(SUM(E41:$N41)-SUM(F53:$N53),E52)</f>
        <v>3919.3196574605463</v>
      </c>
      <c r="F53" s="231">
        <f>MIN(SUM(F41:$N41)-SUM(G53:$N53),F52)</f>
        <v>3919.3196574605317</v>
      </c>
      <c r="G53" s="231">
        <f>MIN(SUM(G41:$N41)-SUM(H53:$N53),G52)</f>
        <v>2503.4253543994564</v>
      </c>
      <c r="H53" s="231">
        <f>MIN(SUM(H41:$N41)-SUM(I53:$N53),H52)</f>
        <v>4551.6595744680817</v>
      </c>
      <c r="I53" s="231">
        <f>MIN(SUM(I41:$N41)-SUM(J53:$N53),I52)</f>
        <v>4001.6595744680844</v>
      </c>
      <c r="J53" s="231">
        <f>MIN(SUM(J41:$N41)-SUM(K53:$N53),J52)</f>
        <v>2482.7234042553191</v>
      </c>
      <c r="K53" s="231">
        <f>MIN(SUM(K41:$N41)-SUM(L53:$N53),K52)</f>
        <v>3008.4665511662315</v>
      </c>
      <c r="L53" s="231">
        <f>MIN(SUM(L41:$N41)-SUM(M53:$N53),L52)</f>
        <v>4344.765957446808</v>
      </c>
      <c r="M53" s="231">
        <f>MIN(SUM(M41:$N41)-SUM(N53:$N53),M52)</f>
        <v>4344.765957446808</v>
      </c>
      <c r="N53" s="231">
        <f>+N52</f>
        <v>1932.7234042553191</v>
      </c>
      <c r="O53" s="442">
        <f>SUM(C53:N53)</f>
        <v>42358.371125483332</v>
      </c>
    </row>
    <row r="54" spans="2:15" ht="16" x14ac:dyDescent="0.2">
      <c r="B54" s="449" t="s">
        <v>677</v>
      </c>
      <c r="C54" s="450">
        <f>+C53+C67</f>
        <v>3608.3732687165466</v>
      </c>
      <c r="D54" s="450">
        <f>+D53+D67</f>
        <v>3741.1687639396214</v>
      </c>
      <c r="E54" s="450">
        <f t="shared" ref="E54" si="13">+E53+E67</f>
        <v>3919.3196574605463</v>
      </c>
      <c r="F54" s="450">
        <f t="shared" ref="F54" si="14">+F53+F67</f>
        <v>3919.3196574605317</v>
      </c>
      <c r="G54" s="450">
        <f t="shared" ref="G54" si="15">+G53+G67</f>
        <v>2503.4253543994564</v>
      </c>
      <c r="H54" s="450">
        <f t="shared" ref="H54" si="16">+H53+H67</f>
        <v>4551.6595744680817</v>
      </c>
      <c r="I54" s="450">
        <f t="shared" ref="I54" si="17">+I53+I67</f>
        <v>4001.6595744680844</v>
      </c>
      <c r="J54" s="450">
        <f t="shared" ref="J54" si="18">+J53+J67</f>
        <v>2482.7234042553191</v>
      </c>
      <c r="K54" s="450">
        <f t="shared" ref="K54" si="19">+K53+K67</f>
        <v>3008.4665511662315</v>
      </c>
      <c r="L54" s="450">
        <f t="shared" ref="L54" si="20">+L53+L67</f>
        <v>4344.765957446808</v>
      </c>
      <c r="M54" s="450">
        <f t="shared" ref="M54" si="21">+M53+M67</f>
        <v>4344.765957446808</v>
      </c>
      <c r="N54" s="450">
        <f t="shared" ref="N54" si="22">+N53+N67</f>
        <v>1932.7234042553191</v>
      </c>
      <c r="O54" s="451">
        <f>SUM(C54:N54)</f>
        <v>42358.371125483347</v>
      </c>
    </row>
    <row r="55" spans="2:15" ht="16" x14ac:dyDescent="0.2">
      <c r="B55" s="363" t="s">
        <v>684</v>
      </c>
      <c r="C55" s="231">
        <f>'All. 1'!$C$17/60*C54</f>
        <v>1443.3493074866187</v>
      </c>
      <c r="D55" s="231">
        <f>'All. 1'!$C$17/60*D54</f>
        <v>1496.4675055758487</v>
      </c>
      <c r="E55" s="231">
        <f>'All. 1'!$C$17/60*E54</f>
        <v>1567.7278629842185</v>
      </c>
      <c r="F55" s="231">
        <f>'All. 1'!$C$17/60*F54</f>
        <v>1567.7278629842128</v>
      </c>
      <c r="G55" s="231">
        <f>'All. 1'!$C$17/60*G54</f>
        <v>1001.3701417597827</v>
      </c>
      <c r="H55" s="231">
        <f>'All. 1'!$C$17/60*H54</f>
        <v>1820.6638297872328</v>
      </c>
      <c r="I55" s="231">
        <f>'All. 1'!$C$17/60*I54</f>
        <v>1600.6638297872339</v>
      </c>
      <c r="J55" s="231">
        <f>'All. 1'!$C$17/60*J54</f>
        <v>993.08936170212769</v>
      </c>
      <c r="K55" s="231">
        <f>'All. 1'!$C$17/60*K54</f>
        <v>1203.3866204664926</v>
      </c>
      <c r="L55" s="231">
        <f>'All. 1'!$C$17/60*L54</f>
        <v>1737.9063829787233</v>
      </c>
      <c r="M55" s="231">
        <f>'All. 1'!$C$17/60*M54</f>
        <v>1737.9063829787233</v>
      </c>
      <c r="N55" s="231">
        <f>'All. 1'!$C$17/60*N54</f>
        <v>773.08936170212769</v>
      </c>
      <c r="O55" s="442">
        <f>SUM(C55:N55)</f>
        <v>16943.348450193342</v>
      </c>
    </row>
    <row r="56" spans="2:15" ht="16" x14ac:dyDescent="0.2">
      <c r="B56" s="363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237"/>
    </row>
    <row r="57" spans="2:15" ht="16" x14ac:dyDescent="0.2">
      <c r="B57" s="363" t="s">
        <v>678</v>
      </c>
      <c r="C57" s="447">
        <f>C49</f>
        <v>1489.6340425531914</v>
      </c>
      <c r="D57" s="447">
        <f t="shared" ref="D57:N57" si="23">D49</f>
        <v>1655.1489361702127</v>
      </c>
      <c r="E57" s="447">
        <f t="shared" si="23"/>
        <v>1903.4212765957445</v>
      </c>
      <c r="F57" s="447">
        <f t="shared" si="23"/>
        <v>1737.9063829787233</v>
      </c>
      <c r="G57" s="447">
        <f t="shared" si="23"/>
        <v>1737.9063829787233</v>
      </c>
      <c r="H57" s="447">
        <f t="shared" si="23"/>
        <v>1820.6638297872339</v>
      </c>
      <c r="I57" s="447">
        <f t="shared" si="23"/>
        <v>1600.6638297872339</v>
      </c>
      <c r="J57" s="447">
        <f t="shared" si="23"/>
        <v>993.08936170212769</v>
      </c>
      <c r="K57" s="447">
        <f t="shared" si="23"/>
        <v>1820.6638297872339</v>
      </c>
      <c r="L57" s="447">
        <f t="shared" si="23"/>
        <v>1737.9063829787233</v>
      </c>
      <c r="M57" s="447">
        <f t="shared" si="23"/>
        <v>1737.9063829787233</v>
      </c>
      <c r="N57" s="447">
        <f t="shared" si="23"/>
        <v>773.08936170212769</v>
      </c>
      <c r="O57" s="444">
        <f>SUM(C57:N57)</f>
        <v>19008</v>
      </c>
    </row>
    <row r="58" spans="2:15" ht="16" x14ac:dyDescent="0.2">
      <c r="B58" s="363" t="s">
        <v>679</v>
      </c>
      <c r="C58" s="447"/>
      <c r="D58" s="447"/>
      <c r="E58" s="443"/>
      <c r="F58" s="443"/>
      <c r="G58" s="443"/>
      <c r="H58" s="443"/>
      <c r="I58" s="443"/>
      <c r="J58" s="443"/>
      <c r="K58" s="443"/>
      <c r="L58" s="443"/>
      <c r="M58" s="443"/>
      <c r="N58" s="443"/>
      <c r="O58" s="444">
        <f>SUM(C58:N58)</f>
        <v>0</v>
      </c>
    </row>
    <row r="59" spans="2:15" ht="17" thickBot="1" x14ac:dyDescent="0.25">
      <c r="B59" s="363" t="s">
        <v>680</v>
      </c>
      <c r="C59" s="447">
        <f>C57+C58</f>
        <v>1489.6340425531914</v>
      </c>
      <c r="D59" s="447">
        <f t="shared" ref="D59" si="24">D57+D58</f>
        <v>1655.1489361702127</v>
      </c>
      <c r="E59" s="447">
        <f t="shared" ref="E59" si="25">E57+E58</f>
        <v>1903.4212765957445</v>
      </c>
      <c r="F59" s="447">
        <f t="shared" ref="F59" si="26">F57+F58</f>
        <v>1737.9063829787233</v>
      </c>
      <c r="G59" s="447">
        <f t="shared" ref="G59" si="27">G57+G58</f>
        <v>1737.9063829787233</v>
      </c>
      <c r="H59" s="447">
        <f t="shared" ref="H59" si="28">H57+H58</f>
        <v>1820.6638297872339</v>
      </c>
      <c r="I59" s="447">
        <f t="shared" ref="I59" si="29">I57+I58</f>
        <v>1600.6638297872339</v>
      </c>
      <c r="J59" s="447">
        <f t="shared" ref="J59" si="30">J57+J58</f>
        <v>993.08936170212769</v>
      </c>
      <c r="K59" s="447">
        <f t="shared" ref="K59" si="31">K57+K58</f>
        <v>1820.6638297872339</v>
      </c>
      <c r="L59" s="447">
        <f t="shared" ref="L59" si="32">L57+L58</f>
        <v>1737.9063829787233</v>
      </c>
      <c r="M59" s="447">
        <f t="shared" ref="M59" si="33">M57+M58</f>
        <v>1737.9063829787233</v>
      </c>
      <c r="N59" s="447">
        <f t="shared" ref="N59" si="34">N57+N58</f>
        <v>773.08936170212769</v>
      </c>
      <c r="O59" s="444">
        <f>SUM(C59:N59)</f>
        <v>19008</v>
      </c>
    </row>
    <row r="60" spans="2:15" ht="17" thickBot="1" x14ac:dyDescent="0.25">
      <c r="B60" s="364" t="s">
        <v>676</v>
      </c>
      <c r="C60" s="235">
        <f>C59-C55</f>
        <v>46.284735066572694</v>
      </c>
      <c r="D60" s="235">
        <f t="shared" ref="D60" si="35">D59-D55</f>
        <v>158.68143059436397</v>
      </c>
      <c r="E60" s="235">
        <f t="shared" ref="E60" si="36">E59-E55</f>
        <v>335.69341361152601</v>
      </c>
      <c r="F60" s="235">
        <f t="shared" ref="F60" si="37">F59-F55</f>
        <v>170.17851999451045</v>
      </c>
      <c r="G60" s="235">
        <f t="shared" ref="G60" si="38">G59-G55</f>
        <v>736.53624121894063</v>
      </c>
      <c r="H60" s="235">
        <f t="shared" ref="H60" si="39">H59-H55</f>
        <v>0</v>
      </c>
      <c r="I60" s="235">
        <f t="shared" ref="I60" si="40">I59-I55</f>
        <v>0</v>
      </c>
      <c r="J60" s="235">
        <f t="shared" ref="J60" si="41">J59-J55</f>
        <v>0</v>
      </c>
      <c r="K60" s="235">
        <f t="shared" ref="K60" si="42">K59-K55</f>
        <v>617.27720932074135</v>
      </c>
      <c r="L60" s="235">
        <f t="shared" ref="L60" si="43">L59-L55</f>
        <v>0</v>
      </c>
      <c r="M60" s="235">
        <f t="shared" ref="M60" si="44">M59-M55</f>
        <v>0</v>
      </c>
      <c r="N60" s="235">
        <f t="shared" ref="N60" si="45">N59-N55</f>
        <v>0</v>
      </c>
      <c r="O60" s="245">
        <f>SUM(C60:N60)</f>
        <v>2064.6515498066551</v>
      </c>
    </row>
    <row r="61" spans="2:15" hidden="1" x14ac:dyDescent="0.15">
      <c r="B61" s="452"/>
      <c r="C61" s="453"/>
      <c r="D61" s="453"/>
      <c r="E61" s="453"/>
      <c r="F61" s="453"/>
      <c r="G61" s="453"/>
      <c r="H61" s="453"/>
      <c r="I61" s="453"/>
      <c r="J61" s="453"/>
      <c r="K61" s="453"/>
      <c r="L61" s="453"/>
      <c r="M61" s="453"/>
      <c r="N61" s="453"/>
      <c r="O61" s="454"/>
    </row>
    <row r="62" spans="2:15" hidden="1" x14ac:dyDescent="0.15">
      <c r="B62" s="455"/>
      <c r="O62" s="456"/>
    </row>
    <row r="63" spans="2:15" hidden="1" x14ac:dyDescent="0.15">
      <c r="B63" s="457" t="s">
        <v>682</v>
      </c>
      <c r="C63" s="1">
        <f>+C41</f>
        <v>3608.3732687165466</v>
      </c>
      <c r="D63" s="1">
        <f t="shared" ref="D63:N63" si="46">+D41+C63</f>
        <v>7349.5420326561607</v>
      </c>
      <c r="E63" s="1">
        <f t="shared" si="46"/>
        <v>11268.861690116708</v>
      </c>
      <c r="F63" s="1">
        <f t="shared" si="46"/>
        <v>15188.18134757724</v>
      </c>
      <c r="G63" s="1">
        <f t="shared" si="46"/>
        <v>17691.606701976696</v>
      </c>
      <c r="H63" s="1">
        <f t="shared" si="46"/>
        <v>22243.266276444778</v>
      </c>
      <c r="I63" s="1">
        <f t="shared" si="46"/>
        <v>26244.925850912863</v>
      </c>
      <c r="J63" s="1">
        <f t="shared" si="46"/>
        <v>28727.64925516818</v>
      </c>
      <c r="K63" s="1">
        <f t="shared" si="46"/>
        <v>31736.115806334412</v>
      </c>
      <c r="L63" s="1">
        <f t="shared" si="46"/>
        <v>36080.881763781217</v>
      </c>
      <c r="M63" s="1">
        <f t="shared" si="46"/>
        <v>40425.647721228022</v>
      </c>
      <c r="N63" s="1">
        <f t="shared" si="46"/>
        <v>42358.37112548334</v>
      </c>
      <c r="O63" s="456"/>
    </row>
    <row r="64" spans="2:15" hidden="1" x14ac:dyDescent="0.15">
      <c r="B64" s="457" t="s">
        <v>683</v>
      </c>
      <c r="C64" s="1">
        <f>+C53</f>
        <v>3608.3732687165393</v>
      </c>
      <c r="D64" s="1">
        <f t="shared" ref="D64:N64" si="47">+C64+D53</f>
        <v>7349.5420326561507</v>
      </c>
      <c r="E64" s="1">
        <f t="shared" si="47"/>
        <v>11268.861690116697</v>
      </c>
      <c r="F64" s="1">
        <f t="shared" si="47"/>
        <v>15188.181347577229</v>
      </c>
      <c r="G64" s="1">
        <f t="shared" si="47"/>
        <v>17691.606701976685</v>
      </c>
      <c r="H64" s="1">
        <f t="shared" si="47"/>
        <v>22243.266276444767</v>
      </c>
      <c r="I64" s="1">
        <f t="shared" si="47"/>
        <v>26244.925850912852</v>
      </c>
      <c r="J64" s="1">
        <f t="shared" si="47"/>
        <v>28727.649255168173</v>
      </c>
      <c r="K64" s="1">
        <f t="shared" si="47"/>
        <v>31736.115806334405</v>
      </c>
      <c r="L64" s="1">
        <f t="shared" si="47"/>
        <v>36080.88176378121</v>
      </c>
      <c r="M64" s="1">
        <f t="shared" si="47"/>
        <v>40425.647721228015</v>
      </c>
      <c r="N64" s="1">
        <f t="shared" si="47"/>
        <v>42358.371125483332</v>
      </c>
      <c r="O64" s="456"/>
    </row>
    <row r="65" spans="2:15" hidden="1" x14ac:dyDescent="0.15">
      <c r="B65" s="455"/>
      <c r="C65" s="1">
        <f>+C54</f>
        <v>3608.3732687165466</v>
      </c>
      <c r="D65" s="1">
        <f>+D54+C54</f>
        <v>7349.542032656168</v>
      </c>
      <c r="E65" s="1">
        <f>+E54+D65</f>
        <v>11268.861690116715</v>
      </c>
      <c r="F65" s="1">
        <f t="shared" ref="F65:N65" si="48">+F54+E65</f>
        <v>15188.181347577247</v>
      </c>
      <c r="G65" s="1">
        <f t="shared" si="48"/>
        <v>17691.606701976703</v>
      </c>
      <c r="H65" s="1">
        <f t="shared" si="48"/>
        <v>22243.266276444785</v>
      </c>
      <c r="I65" s="1">
        <f t="shared" si="48"/>
        <v>26244.92585091287</v>
      </c>
      <c r="J65" s="1">
        <f t="shared" si="48"/>
        <v>28727.649255168188</v>
      </c>
      <c r="K65" s="1">
        <f t="shared" si="48"/>
        <v>31736.115806334419</v>
      </c>
      <c r="L65" s="1">
        <f t="shared" si="48"/>
        <v>36080.881763781224</v>
      </c>
      <c r="M65" s="1">
        <f t="shared" si="48"/>
        <v>40425.64772122803</v>
      </c>
      <c r="N65" s="1">
        <f t="shared" si="48"/>
        <v>42358.371125483347</v>
      </c>
      <c r="O65" s="456"/>
    </row>
    <row r="66" spans="2:15" hidden="1" x14ac:dyDescent="0.15">
      <c r="B66" s="45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56"/>
    </row>
    <row r="67" spans="2:15" ht="14" hidden="1" thickBot="1" x14ac:dyDescent="0.2">
      <c r="B67" s="458"/>
      <c r="C67" s="459">
        <f>+IF(C64&lt;C63,C63-C64,0)</f>
        <v>7.2759576141834259E-12</v>
      </c>
      <c r="D67" s="459">
        <f>+IF(D64&lt;D63,D63-D64,0)</f>
        <v>1.0004441719502211E-11</v>
      </c>
      <c r="E67" s="460"/>
      <c r="F67" s="460"/>
      <c r="G67" s="460"/>
      <c r="H67" s="460"/>
      <c r="I67" s="460"/>
      <c r="J67" s="460"/>
      <c r="K67" s="460"/>
      <c r="L67" s="460"/>
      <c r="M67" s="460"/>
      <c r="N67" s="460"/>
      <c r="O67" s="461"/>
    </row>
    <row r="71" spans="2:15" x14ac:dyDescent="0.1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2:15" x14ac:dyDescent="0.15">
      <c r="C72" s="599"/>
      <c r="D72" s="599"/>
      <c r="E72" s="599"/>
      <c r="F72" s="599"/>
      <c r="G72" s="599"/>
      <c r="H72" s="599"/>
      <c r="I72" s="599"/>
      <c r="J72" s="599"/>
      <c r="K72" s="599"/>
      <c r="L72" s="599"/>
      <c r="M72" s="599"/>
      <c r="N72" s="599"/>
    </row>
    <row r="73" spans="2:15" x14ac:dyDescent="0.15">
      <c r="C73" s="599"/>
      <c r="D73" s="599"/>
      <c r="E73" s="599"/>
      <c r="F73" s="599"/>
      <c r="G73" s="599"/>
      <c r="H73" s="599"/>
      <c r="I73" s="599"/>
      <c r="J73" s="599"/>
      <c r="K73" s="599"/>
      <c r="L73" s="599"/>
      <c r="M73" s="599"/>
      <c r="N73" s="599"/>
    </row>
    <row r="75" spans="2:15" x14ac:dyDescent="0.15">
      <c r="C75" s="526">
        <f>+C27*'Tab. 17'!$C$22</f>
        <v>182432.20667359533</v>
      </c>
      <c r="D75" s="526">
        <f>+D27*'Tab. 17'!$C$22</f>
        <v>206592.68525535369</v>
      </c>
      <c r="E75" s="526">
        <f>+E27*'Tab. 17'!$C$22</f>
        <v>233107.81963848294</v>
      </c>
      <c r="F75" s="526">
        <f>+F27*'Tab. 17'!$C$22</f>
        <v>212837.57445252789</v>
      </c>
      <c r="G75" s="526">
        <f>+G27*'Tab. 17'!$C$22</f>
        <v>212837.57445252789</v>
      </c>
      <c r="H75" s="526">
        <f>+H27*'Tab. 17'!$C$22</f>
        <v>222972.6970455054</v>
      </c>
      <c r="I75" s="526">
        <f>+I27*'Tab. 17'!$C$22</f>
        <v>196029.7806501466</v>
      </c>
      <c r="J75" s="526">
        <f>+J27*'Tab. 17'!$C$22</f>
        <v>121621.47111573021</v>
      </c>
      <c r="K75" s="526">
        <f>+K27*'Tab. 17'!$C$22</f>
        <v>222972.6970455054</v>
      </c>
      <c r="L75" s="526">
        <f>+L27*'Tab. 17'!$C$22</f>
        <v>212837.57445252789</v>
      </c>
      <c r="M75" s="526">
        <f>+M27*'Tab. 17'!$C$22</f>
        <v>212837.57445252789</v>
      </c>
      <c r="N75" s="526">
        <f>+N27*'Tab. 17'!$C$22</f>
        <v>94678.554720371438</v>
      </c>
    </row>
    <row r="76" spans="2:15" x14ac:dyDescent="0.15">
      <c r="C76" s="526">
        <f>+C59*'Tab. 17'!$D$22</f>
        <v>19556.074165079695</v>
      </c>
      <c r="D76" s="526">
        <f>+D59*'Tab. 17'!$D$22</f>
        <v>21728.971294532996</v>
      </c>
      <c r="E76" s="526">
        <f>+E59*'Tab. 17'!$D$22</f>
        <v>24988.316988712944</v>
      </c>
      <c r="F76" s="526">
        <f>+F59*'Tab. 17'!$D$22</f>
        <v>22815.419859259644</v>
      </c>
      <c r="G76" s="526">
        <f>+G59*'Tab. 17'!$D$22</f>
        <v>22815.419859259644</v>
      </c>
      <c r="H76" s="526">
        <f>+H59*'Tab. 17'!$D$22</f>
        <v>23901.868423986292</v>
      </c>
      <c r="I76" s="526">
        <f>+I59*'Tab. 17'!$D$22</f>
        <v>21013.685022280835</v>
      </c>
      <c r="J76" s="526">
        <f>+J59*'Tab. 17'!$D$22</f>
        <v>13037.382776719798</v>
      </c>
      <c r="K76" s="526">
        <f>+K59*'Tab. 17'!$D$22</f>
        <v>23901.868423986292</v>
      </c>
      <c r="L76" s="526">
        <f>+L59*'Tab. 17'!$D$22</f>
        <v>22815.419859259644</v>
      </c>
      <c r="M76" s="526">
        <f>+M59*'Tab. 17'!$D$22</f>
        <v>22815.419859259644</v>
      </c>
      <c r="N76" s="526">
        <f>+N59*'Tab. 17'!$D$22</f>
        <v>10149.199375014337</v>
      </c>
    </row>
    <row r="77" spans="2:15" x14ac:dyDescent="0.15">
      <c r="C77" s="526">
        <f>SUM(C75:C76)</f>
        <v>201988.28083867501</v>
      </c>
      <c r="D77" s="526">
        <f t="shared" ref="D77:N77" si="49">SUM(D75:D76)</f>
        <v>228321.65654988668</v>
      </c>
      <c r="E77" s="526">
        <f t="shared" si="49"/>
        <v>258096.13662719587</v>
      </c>
      <c r="F77" s="526">
        <f t="shared" si="49"/>
        <v>235652.99431178754</v>
      </c>
      <c r="G77" s="526">
        <f t="shared" si="49"/>
        <v>235652.99431178754</v>
      </c>
      <c r="H77" s="526">
        <f t="shared" si="49"/>
        <v>246874.5654694917</v>
      </c>
      <c r="I77" s="526">
        <f t="shared" si="49"/>
        <v>217043.46567242744</v>
      </c>
      <c r="J77" s="526">
        <f t="shared" si="49"/>
        <v>134658.85389245002</v>
      </c>
      <c r="K77" s="526">
        <f t="shared" si="49"/>
        <v>246874.5654694917</v>
      </c>
      <c r="L77" s="526">
        <f t="shared" si="49"/>
        <v>235652.99431178754</v>
      </c>
      <c r="M77" s="526">
        <f t="shared" si="49"/>
        <v>235652.99431178754</v>
      </c>
      <c r="N77" s="526">
        <f t="shared" si="49"/>
        <v>104827.75409538578</v>
      </c>
    </row>
    <row r="78" spans="2:15" x14ac:dyDescent="0.15">
      <c r="C78" s="526"/>
      <c r="D78" s="526"/>
      <c r="E78" s="526"/>
      <c r="F78" s="526"/>
      <c r="G78" s="526"/>
      <c r="H78" s="526"/>
      <c r="I78" s="526"/>
      <c r="J78" s="526"/>
      <c r="K78" s="526"/>
      <c r="L78" s="526"/>
      <c r="M78" s="526"/>
      <c r="N78" s="526"/>
    </row>
    <row r="79" spans="2:15" x14ac:dyDescent="0.15">
      <c r="C79" s="526">
        <f>+C77-'Tab. 14'!C38</f>
        <v>-3.2014213502407074E-10</v>
      </c>
      <c r="D79" s="526">
        <f>+D77-'Tab. 14'!D38</f>
        <v>3890.2333958030213</v>
      </c>
      <c r="E79" s="526">
        <f>+E77-'Tab. 14'!E38</f>
        <v>-3.7834979593753815E-10</v>
      </c>
      <c r="F79" s="526">
        <f>+F77-'Tab. 14'!F38</f>
        <v>-3.2014213502407074E-10</v>
      </c>
      <c r="G79" s="526">
        <f>+G77-'Tab. 14'!G38</f>
        <v>-3.2014213502407074E-10</v>
      </c>
      <c r="H79" s="526">
        <f>+H77-'Tab. 14'!H38</f>
        <v>-3.2014213502407074E-10</v>
      </c>
      <c r="I79" s="526">
        <f>+I77-'Tab. 14'!I38</f>
        <v>-3.2014213502407074E-10</v>
      </c>
      <c r="J79" s="526">
        <f>+J77-'Tab. 14'!J38</f>
        <v>0</v>
      </c>
      <c r="K79" s="526">
        <f>+K77-'Tab. 14'!K38</f>
        <v>-3.2014213502407074E-10</v>
      </c>
      <c r="L79" s="526">
        <f>+L77-'Tab. 14'!L38</f>
        <v>-3.2014213502407074E-10</v>
      </c>
      <c r="M79" s="526">
        <f>+M77-'Tab. 14'!M38</f>
        <v>-3.2014213502407074E-10</v>
      </c>
      <c r="N79" s="526">
        <f>+N77-'Tab. 14'!N38</f>
        <v>-1.3096723705530167E-10</v>
      </c>
    </row>
    <row r="80" spans="2:15" x14ac:dyDescent="0.15">
      <c r="C80" s="527"/>
      <c r="D80" s="527"/>
      <c r="E80" s="527"/>
      <c r="F80" s="527"/>
      <c r="G80" s="527"/>
      <c r="H80" s="527"/>
      <c r="I80" s="527"/>
      <c r="J80" s="527"/>
      <c r="K80" s="527"/>
      <c r="L80" s="527"/>
      <c r="M80" s="527"/>
      <c r="N80" s="527"/>
    </row>
  </sheetData>
  <mergeCells count="1">
    <mergeCell ref="C4:O4"/>
  </mergeCells>
  <conditionalFormatting sqref="C18:N18 C28:N28">
    <cfRule type="cellIs" dxfId="3" priority="2" operator="lessThan">
      <formula>0</formula>
    </cfRule>
  </conditionalFormatting>
  <conditionalFormatting sqref="C50:N50 C60:N60">
    <cfRule type="cellIs" dxfId="2" priority="1" operator="lessThan">
      <formula>0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CFB7F-93DB-DC46-AD21-82BEA8978503}">
  <sheetPr codeName="Foglio26"/>
  <dimension ref="B2:Q59"/>
  <sheetViews>
    <sheetView zoomScale="140" zoomScaleNormal="140" workbookViewId="0">
      <selection activeCell="C12" sqref="C12"/>
    </sheetView>
  </sheetViews>
  <sheetFormatPr baseColWidth="10" defaultRowHeight="13" x14ac:dyDescent="0.15"/>
  <cols>
    <col min="2" max="2" width="22.6640625" customWidth="1"/>
  </cols>
  <sheetData>
    <row r="2" spans="2:15" x14ac:dyDescent="0.15">
      <c r="B2" s="331" t="s">
        <v>814</v>
      </c>
    </row>
    <row r="3" spans="2:15" ht="14" thickBot="1" x14ac:dyDescent="0.2"/>
    <row r="4" spans="2:15" ht="16" x14ac:dyDescent="0.15">
      <c r="B4" s="229"/>
      <c r="C4" s="695" t="s">
        <v>98</v>
      </c>
      <c r="D4" s="653"/>
      <c r="E4" s="653"/>
      <c r="F4" s="653"/>
      <c r="G4" s="653"/>
      <c r="H4" s="653"/>
      <c r="I4" s="653"/>
      <c r="J4" s="653"/>
      <c r="K4" s="653"/>
      <c r="L4" s="653"/>
      <c r="M4" s="653"/>
      <c r="N4" s="653"/>
      <c r="O4" s="654"/>
    </row>
    <row r="5" spans="2:15" ht="16" x14ac:dyDescent="0.15">
      <c r="B5" s="141"/>
      <c r="C5" s="236" t="s">
        <v>113</v>
      </c>
      <c r="D5" s="236" t="s">
        <v>114</v>
      </c>
      <c r="E5" s="236" t="s">
        <v>115</v>
      </c>
      <c r="F5" s="236" t="s">
        <v>116</v>
      </c>
      <c r="G5" s="236" t="s">
        <v>117</v>
      </c>
      <c r="H5" s="236" t="s">
        <v>118</v>
      </c>
      <c r="I5" s="236" t="s">
        <v>119</v>
      </c>
      <c r="J5" s="236" t="s">
        <v>120</v>
      </c>
      <c r="K5" s="236" t="s">
        <v>121</v>
      </c>
      <c r="L5" s="236" t="s">
        <v>122</v>
      </c>
      <c r="M5" s="236" t="s">
        <v>123</v>
      </c>
      <c r="N5" s="236" t="s">
        <v>124</v>
      </c>
      <c r="O5" s="241" t="s">
        <v>81</v>
      </c>
    </row>
    <row r="6" spans="2:15" ht="16" x14ac:dyDescent="0.2">
      <c r="B6" s="19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237"/>
    </row>
    <row r="7" spans="2:15" ht="16" x14ac:dyDescent="0.2">
      <c r="B7" s="441" t="s">
        <v>671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237"/>
    </row>
    <row r="8" spans="2:15" ht="16" x14ac:dyDescent="0.2">
      <c r="B8" s="363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237"/>
    </row>
    <row r="9" spans="2:15" ht="16" x14ac:dyDescent="0.2">
      <c r="B9" s="363" t="s">
        <v>672</v>
      </c>
      <c r="C9" s="231">
        <f>'Tab 4 v2'!C15</f>
        <v>53085.140425531914</v>
      </c>
      <c r="D9" s="231">
        <f>'Tab 4 v2'!D15</f>
        <v>60115.491160451427</v>
      </c>
      <c r="E9" s="231">
        <f>'Tab 4 v2'!E15</f>
        <v>67407.192253488931</v>
      </c>
      <c r="F9" s="231">
        <f>'Tab 4 v2'!F15</f>
        <v>61932.663829787234</v>
      </c>
      <c r="G9" s="231">
        <f>'Tab 4 v2'!G15</f>
        <v>61932.663829787227</v>
      </c>
      <c r="H9" s="231">
        <f>'Tab 4 v2'!H15</f>
        <v>64881.83829787228</v>
      </c>
      <c r="I9" s="231">
        <f>'Tab 4 v2'!I15</f>
        <v>57041.838297872338</v>
      </c>
      <c r="J9" s="231">
        <f>'Tab 4 v2'!J15</f>
        <v>35390.093617021274</v>
      </c>
      <c r="K9" s="231">
        <f>'Tab 4 v2'!K15</f>
        <v>61002.600772020145</v>
      </c>
      <c r="L9" s="231">
        <f>'Tab 4 v2'!L15</f>
        <v>53809.840677835746</v>
      </c>
      <c r="M9" s="231">
        <f>'Tab 4 v2'!M15</f>
        <v>61932.663829787227</v>
      </c>
      <c r="N9" s="231">
        <f>'Tab 4 v2'!N15</f>
        <v>27550.093617021277</v>
      </c>
      <c r="O9" s="442">
        <f>SUM(C9:N9)</f>
        <v>666082.12060847704</v>
      </c>
    </row>
    <row r="10" spans="2:15" ht="16" x14ac:dyDescent="0.2">
      <c r="B10" s="363" t="s">
        <v>685</v>
      </c>
      <c r="C10" s="231">
        <f>'All. 1'!$D$10/60*C9</f>
        <v>1150.1780425531915</v>
      </c>
      <c r="D10" s="231">
        <f>'All. 1'!$D$10/60*D9</f>
        <v>1302.5023084764475</v>
      </c>
      <c r="E10" s="231">
        <f>'All. 1'!$D$10/60*E9</f>
        <v>1460.4891654922603</v>
      </c>
      <c r="F10" s="231">
        <f>'All. 1'!$D$10/60*F9</f>
        <v>1341.8743829787234</v>
      </c>
      <c r="G10" s="231">
        <f>'All. 1'!$D$10/60*G9</f>
        <v>1341.8743829787234</v>
      </c>
      <c r="H10" s="231">
        <f>'All. 1'!$D$10/60*H9</f>
        <v>1405.7731631205661</v>
      </c>
      <c r="I10" s="231">
        <f>'All. 1'!$D$10/60*I9</f>
        <v>1235.9064964539007</v>
      </c>
      <c r="J10" s="231">
        <f>'All. 1'!$D$10/60*J9</f>
        <v>766.7853617021276</v>
      </c>
      <c r="K10" s="231">
        <f>'All. 1'!$D$10/60*K9</f>
        <v>1321.7230167271032</v>
      </c>
      <c r="L10" s="231">
        <f>'All. 1'!$D$10/60*L9</f>
        <v>1165.879881353108</v>
      </c>
      <c r="M10" s="231">
        <f>'All. 1'!$D$10/60*M9</f>
        <v>1341.8743829787234</v>
      </c>
      <c r="N10" s="231">
        <f>'All. 1'!$D$10/60*N9</f>
        <v>596.91869503546104</v>
      </c>
      <c r="O10" s="442">
        <f>SUM(C10:N10)</f>
        <v>14431.779279850338</v>
      </c>
    </row>
    <row r="11" spans="2:15" ht="16" x14ac:dyDescent="0.2">
      <c r="B11" s="363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237"/>
    </row>
    <row r="12" spans="2:15" ht="16" x14ac:dyDescent="0.2">
      <c r="B12" s="363" t="s">
        <v>686</v>
      </c>
      <c r="C12" s="462">
        <f>+'Tab. 14'!C6-'Tab. 14'!C7</f>
        <v>18</v>
      </c>
      <c r="D12" s="462">
        <f>+'Tab. 14'!D6-'Tab. 14'!D7</f>
        <v>20</v>
      </c>
      <c r="E12" s="462">
        <f>+'Tab. 14'!E6-'Tab. 14'!E7</f>
        <v>23</v>
      </c>
      <c r="F12" s="462">
        <f>+'Tab. 14'!F6-'Tab. 14'!F7</f>
        <v>21</v>
      </c>
      <c r="G12" s="462">
        <f>+'Tab. 14'!G6-'Tab. 14'!G7</f>
        <v>21</v>
      </c>
      <c r="H12" s="462">
        <f>+'Tab. 14'!H6-'Tab. 14'!H7</f>
        <v>22</v>
      </c>
      <c r="I12" s="462">
        <f>+'Tab. 14'!I6-'Tab. 14'!I7</f>
        <v>22</v>
      </c>
      <c r="J12" s="462">
        <f>+'Tab. 14'!J6-'Tab. 14'!J7</f>
        <v>12</v>
      </c>
      <c r="K12" s="462">
        <f>+'Tab. 14'!K6-'Tab. 14'!K7</f>
        <v>22</v>
      </c>
      <c r="L12" s="462">
        <f>+'Tab. 14'!L6-'Tab. 14'!L7</f>
        <v>21</v>
      </c>
      <c r="M12" s="462">
        <f>+'Tab. 14'!M6-'Tab. 14'!M7</f>
        <v>21</v>
      </c>
      <c r="N12" s="462">
        <f>+'Tab. 14'!N6-'Tab. 14'!N7</f>
        <v>12</v>
      </c>
      <c r="O12" s="444">
        <f>SUM(C12:N12)</f>
        <v>235</v>
      </c>
    </row>
    <row r="13" spans="2:15" ht="16" x14ac:dyDescent="0.2">
      <c r="B13" s="363" t="s">
        <v>687</v>
      </c>
      <c r="C13" s="462">
        <f>-'All. 3'!$C$9/12</f>
        <v>-1</v>
      </c>
      <c r="D13" s="462">
        <f>-'All. 3'!$C$9/12</f>
        <v>-1</v>
      </c>
      <c r="E13" s="462">
        <f>-'All. 3'!$C$9/12</f>
        <v>-1</v>
      </c>
      <c r="F13" s="462">
        <f>-'All. 3'!$C$9/12</f>
        <v>-1</v>
      </c>
      <c r="G13" s="462">
        <f>-'All. 3'!$C$9/12</f>
        <v>-1</v>
      </c>
      <c r="H13" s="462">
        <f>-'All. 3'!$C$9/12</f>
        <v>-1</v>
      </c>
      <c r="I13" s="462">
        <f>-'All. 3'!$C$9/12</f>
        <v>-1</v>
      </c>
      <c r="J13" s="462">
        <f>-'All. 3'!$C$9/12</f>
        <v>-1</v>
      </c>
      <c r="K13" s="462">
        <f>-'All. 3'!$C$9/12</f>
        <v>-1</v>
      </c>
      <c r="L13" s="462">
        <f>-'All. 3'!$C$9/12</f>
        <v>-1</v>
      </c>
      <c r="M13" s="462">
        <f>-'All. 3'!$C$9/12</f>
        <v>-1</v>
      </c>
      <c r="N13" s="462">
        <f>-'All. 3'!$C$9/12</f>
        <v>-1</v>
      </c>
      <c r="O13" s="448">
        <f>SUM(C13:N13)</f>
        <v>-12</v>
      </c>
    </row>
    <row r="14" spans="2:15" ht="16" x14ac:dyDescent="0.2">
      <c r="B14" s="363" t="s">
        <v>5</v>
      </c>
      <c r="C14" s="443"/>
      <c r="D14" s="443"/>
      <c r="E14" s="443"/>
      <c r="F14" s="443"/>
      <c r="G14" s="443"/>
      <c r="H14" s="443"/>
      <c r="I14" s="445">
        <f>'All. 2'!$C$8/2</f>
        <v>-2.5</v>
      </c>
      <c r="J14" s="443"/>
      <c r="K14" s="443"/>
      <c r="L14" s="443"/>
      <c r="M14" s="443"/>
      <c r="N14" s="445">
        <f>'All. 2'!$C$8/2</f>
        <v>-2.5</v>
      </c>
      <c r="O14" s="444">
        <f>SUM(C14:N14)</f>
        <v>-5</v>
      </c>
    </row>
    <row r="15" spans="2:15" ht="16" x14ac:dyDescent="0.2">
      <c r="B15" s="363" t="s">
        <v>688</v>
      </c>
      <c r="C15" s="462">
        <f>'All. 3'!$C$7</f>
        <v>3</v>
      </c>
      <c r="D15" s="462">
        <f>'All. 3'!$C$7</f>
        <v>3</v>
      </c>
      <c r="E15" s="462">
        <f>'All. 3'!$C$7</f>
        <v>3</v>
      </c>
      <c r="F15" s="462">
        <f>'All. 3'!$C$7</f>
        <v>3</v>
      </c>
      <c r="G15" s="462">
        <f>'All. 3'!$C$7</f>
        <v>3</v>
      </c>
      <c r="H15" s="462">
        <f>'All. 3'!$C$7</f>
        <v>3</v>
      </c>
      <c r="I15" s="462">
        <f>'All. 3'!$C$7</f>
        <v>3</v>
      </c>
      <c r="J15" s="462">
        <f>'All. 3'!$C$7</f>
        <v>3</v>
      </c>
      <c r="K15" s="462">
        <f>'All. 3'!$C$7</f>
        <v>3</v>
      </c>
      <c r="L15" s="462">
        <f>'All. 3'!$C$7</f>
        <v>3</v>
      </c>
      <c r="M15" s="462">
        <f>'All. 3'!$C$7</f>
        <v>3</v>
      </c>
      <c r="N15" s="462">
        <f>'All. 3'!$C$7</f>
        <v>3</v>
      </c>
      <c r="O15" s="446"/>
    </row>
    <row r="16" spans="2:15" ht="16" x14ac:dyDescent="0.2">
      <c r="B16" s="363" t="s">
        <v>8</v>
      </c>
      <c r="C16" s="462">
        <f>'All. 3'!$C$10</f>
        <v>3</v>
      </c>
      <c r="D16" s="462">
        <f>'All. 3'!$C$10</f>
        <v>3</v>
      </c>
      <c r="E16" s="462">
        <f>'All. 3'!$C$10</f>
        <v>3</v>
      </c>
      <c r="F16" s="462">
        <f>'All. 3'!$C$10</f>
        <v>3</v>
      </c>
      <c r="G16" s="462">
        <f>'All. 3'!$C$10</f>
        <v>3</v>
      </c>
      <c r="H16" s="462">
        <f>'All. 3'!$C$10</f>
        <v>3</v>
      </c>
      <c r="I16" s="462">
        <f>'All. 3'!$C$10</f>
        <v>3</v>
      </c>
      <c r="J16" s="462">
        <f>'All. 3'!$C$10</f>
        <v>3</v>
      </c>
      <c r="K16" s="462">
        <f>'All. 3'!$C$10</f>
        <v>3</v>
      </c>
      <c r="L16" s="462">
        <f>'All. 3'!$C$10</f>
        <v>3</v>
      </c>
      <c r="M16" s="462">
        <f>'All. 3'!$C$10</f>
        <v>3</v>
      </c>
      <c r="N16" s="462">
        <f>'All. 3'!$C$10</f>
        <v>3</v>
      </c>
      <c r="O16" s="446"/>
    </row>
    <row r="17" spans="2:17" ht="16" x14ac:dyDescent="0.2">
      <c r="B17" s="363" t="s">
        <v>689</v>
      </c>
      <c r="C17" s="462">
        <f>'All. 3'!$C$11</f>
        <v>8</v>
      </c>
      <c r="D17" s="462">
        <f>'All. 3'!$C$11</f>
        <v>8</v>
      </c>
      <c r="E17" s="462">
        <f>'All. 3'!$C$11</f>
        <v>8</v>
      </c>
      <c r="F17" s="462">
        <f>'All. 3'!$C$11</f>
        <v>8</v>
      </c>
      <c r="G17" s="462">
        <f>'All. 3'!$C$11</f>
        <v>8</v>
      </c>
      <c r="H17" s="462">
        <f>'All. 3'!$C$11</f>
        <v>8</v>
      </c>
      <c r="I17" s="462">
        <f>'All. 3'!$C$11</f>
        <v>8</v>
      </c>
      <c r="J17" s="462">
        <f>'All. 3'!$C$11</f>
        <v>8</v>
      </c>
      <c r="K17" s="462">
        <f>'All. 3'!$C$11</f>
        <v>8</v>
      </c>
      <c r="L17" s="462">
        <f>'All. 3'!$C$11</f>
        <v>8</v>
      </c>
      <c r="M17" s="462">
        <f>'All. 3'!$C$11</f>
        <v>8</v>
      </c>
      <c r="N17" s="462">
        <f>'All. 3'!$C$11</f>
        <v>8</v>
      </c>
      <c r="O17" s="446"/>
    </row>
    <row r="18" spans="2:17" ht="17" thickBot="1" x14ac:dyDescent="0.25">
      <c r="B18" s="363" t="s">
        <v>675</v>
      </c>
      <c r="C18" s="231">
        <f>(C12+C13+C14)*C15*C16*C17</f>
        <v>1224</v>
      </c>
      <c r="D18" s="231">
        <f t="shared" ref="D18:N18" si="0">(D12+D13+D14)*D15*D16*D17</f>
        <v>1368</v>
      </c>
      <c r="E18" s="231">
        <f t="shared" si="0"/>
        <v>1584</v>
      </c>
      <c r="F18" s="231">
        <f t="shared" si="0"/>
        <v>1440</v>
      </c>
      <c r="G18" s="231">
        <f t="shared" si="0"/>
        <v>1440</v>
      </c>
      <c r="H18" s="231">
        <f t="shared" si="0"/>
        <v>1512</v>
      </c>
      <c r="I18" s="231">
        <f t="shared" si="0"/>
        <v>1332</v>
      </c>
      <c r="J18" s="231">
        <f t="shared" si="0"/>
        <v>792</v>
      </c>
      <c r="K18" s="231">
        <f t="shared" si="0"/>
        <v>1512</v>
      </c>
      <c r="L18" s="231">
        <f t="shared" si="0"/>
        <v>1440</v>
      </c>
      <c r="M18" s="231">
        <f t="shared" si="0"/>
        <v>1440</v>
      </c>
      <c r="N18" s="231">
        <f t="shared" si="0"/>
        <v>612</v>
      </c>
      <c r="O18" s="442">
        <f>SUM(C18:N18)</f>
        <v>15696</v>
      </c>
    </row>
    <row r="19" spans="2:17" ht="17" thickBot="1" x14ac:dyDescent="0.25">
      <c r="B19" s="364" t="s">
        <v>676</v>
      </c>
      <c r="C19" s="235">
        <f>C18-C10</f>
        <v>73.821957446808483</v>
      </c>
      <c r="D19" s="235">
        <f t="shared" ref="D19:O19" si="1">D18-D10</f>
        <v>65.497691523552476</v>
      </c>
      <c r="E19" s="235">
        <f t="shared" si="1"/>
        <v>123.51083450773967</v>
      </c>
      <c r="F19" s="235">
        <f t="shared" si="1"/>
        <v>98.125617021276639</v>
      </c>
      <c r="G19" s="235">
        <f t="shared" si="1"/>
        <v>98.125617021276639</v>
      </c>
      <c r="H19" s="235">
        <f t="shared" si="1"/>
        <v>106.2268368794339</v>
      </c>
      <c r="I19" s="235">
        <f t="shared" si="1"/>
        <v>96.093503546099328</v>
      </c>
      <c r="J19" s="235">
        <f t="shared" si="1"/>
        <v>25.214638297872398</v>
      </c>
      <c r="K19" s="235">
        <f t="shared" si="1"/>
        <v>190.27698327289681</v>
      </c>
      <c r="L19" s="235">
        <f t="shared" si="1"/>
        <v>274.12011864689202</v>
      </c>
      <c r="M19" s="235">
        <f t="shared" si="1"/>
        <v>98.125617021276639</v>
      </c>
      <c r="N19" s="235">
        <f t="shared" si="1"/>
        <v>15.081304964538958</v>
      </c>
      <c r="O19" s="245">
        <f t="shared" si="1"/>
        <v>1264.2207201496622</v>
      </c>
    </row>
    <row r="20" spans="2:17" ht="16" x14ac:dyDescent="0.2">
      <c r="B20" s="363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237"/>
    </row>
    <row r="21" spans="2:17" ht="16" x14ac:dyDescent="0.2">
      <c r="B21" s="449" t="s">
        <v>677</v>
      </c>
      <c r="C21" s="450">
        <f>'Tab. 5'!C22</f>
        <v>53085.140425531914</v>
      </c>
      <c r="D21" s="450">
        <f>'Tab. 5'!D22</f>
        <v>60115.491160451427</v>
      </c>
      <c r="E21" s="450">
        <f>'Tab. 5'!E22</f>
        <v>67407.192253489047</v>
      </c>
      <c r="F21" s="450">
        <f>'Tab. 5'!F22</f>
        <v>61932.663829787234</v>
      </c>
      <c r="G21" s="450">
        <f>'Tab. 5'!G22</f>
        <v>61932.663829787169</v>
      </c>
      <c r="H21" s="450">
        <f>'Tab. 5'!H22</f>
        <v>64881.83829787228</v>
      </c>
      <c r="I21" s="450">
        <f>'Tab. 5'!I22</f>
        <v>57041.838297872338</v>
      </c>
      <c r="J21" s="450">
        <f>'Tab. 5'!J22</f>
        <v>35390.093617021274</v>
      </c>
      <c r="K21" s="450">
        <f>'Tab. 5'!K22</f>
        <v>61002.600772020145</v>
      </c>
      <c r="L21" s="450">
        <f>'Tab. 5'!L22</f>
        <v>53809.840677835746</v>
      </c>
      <c r="M21" s="450">
        <f>'Tab. 5'!M22</f>
        <v>61932.663829787227</v>
      </c>
      <c r="N21" s="450">
        <f>'Tab. 5'!N22</f>
        <v>27550.093617021277</v>
      </c>
      <c r="O21" s="451">
        <f>SUM(C21:N21)</f>
        <v>666082.12060847704</v>
      </c>
      <c r="Q21" s="1"/>
    </row>
    <row r="22" spans="2:17" ht="16" x14ac:dyDescent="0.2">
      <c r="B22" s="363" t="s">
        <v>690</v>
      </c>
      <c r="C22" s="231">
        <f>'All. 1'!$D$10/60*C21</f>
        <v>1150.1780425531915</v>
      </c>
      <c r="D22" s="231">
        <f>'All. 1'!$D$10/60*D21</f>
        <v>1302.5023084764475</v>
      </c>
      <c r="E22" s="231">
        <f>'All. 1'!$D$10/60*E21</f>
        <v>1460.4891654922628</v>
      </c>
      <c r="F22" s="231">
        <f>'All. 1'!$D$10/60*F21</f>
        <v>1341.8743829787234</v>
      </c>
      <c r="G22" s="231">
        <f>'All. 1'!$D$10/60*G21</f>
        <v>1341.874382978722</v>
      </c>
      <c r="H22" s="231">
        <f>'All. 1'!$D$10/60*H21</f>
        <v>1405.7731631205661</v>
      </c>
      <c r="I22" s="231">
        <f>'All. 1'!$D$10/60*I21</f>
        <v>1235.9064964539007</v>
      </c>
      <c r="J22" s="231">
        <f>'All. 1'!$D$10/60*J21</f>
        <v>766.7853617021276</v>
      </c>
      <c r="K22" s="231">
        <f>'All. 1'!$D$10/60*K21</f>
        <v>1321.7230167271032</v>
      </c>
      <c r="L22" s="231">
        <f>'All. 1'!$D$10/60*L21</f>
        <v>1165.879881353108</v>
      </c>
      <c r="M22" s="231">
        <f>'All. 1'!$D$10/60*M21</f>
        <v>1341.8743829787234</v>
      </c>
      <c r="N22" s="231">
        <f>'All. 1'!$D$10/60*N21</f>
        <v>596.91869503546104</v>
      </c>
      <c r="O22" s="442">
        <f>SUM(C22:N22)</f>
        <v>14431.779279850338</v>
      </c>
    </row>
    <row r="23" spans="2:17" ht="16" x14ac:dyDescent="0.2">
      <c r="B23" s="363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237"/>
    </row>
    <row r="24" spans="2:17" ht="16" x14ac:dyDescent="0.2">
      <c r="B24" s="363" t="s">
        <v>678</v>
      </c>
      <c r="C24" s="447">
        <f t="shared" ref="C24:N24" si="2">C18</f>
        <v>1224</v>
      </c>
      <c r="D24" s="447">
        <f t="shared" si="2"/>
        <v>1368</v>
      </c>
      <c r="E24" s="447">
        <f t="shared" si="2"/>
        <v>1584</v>
      </c>
      <c r="F24" s="447">
        <f t="shared" si="2"/>
        <v>1440</v>
      </c>
      <c r="G24" s="447">
        <f t="shared" si="2"/>
        <v>1440</v>
      </c>
      <c r="H24" s="447">
        <f t="shared" si="2"/>
        <v>1512</v>
      </c>
      <c r="I24" s="447">
        <f t="shared" si="2"/>
        <v>1332</v>
      </c>
      <c r="J24" s="447">
        <f t="shared" si="2"/>
        <v>792</v>
      </c>
      <c r="K24" s="447">
        <f t="shared" si="2"/>
        <v>1512</v>
      </c>
      <c r="L24" s="447">
        <f t="shared" si="2"/>
        <v>1440</v>
      </c>
      <c r="M24" s="447">
        <f t="shared" si="2"/>
        <v>1440</v>
      </c>
      <c r="N24" s="447">
        <f t="shared" si="2"/>
        <v>612</v>
      </c>
      <c r="O24" s="444">
        <f>SUM(C24:N24)</f>
        <v>15696</v>
      </c>
    </row>
    <row r="25" spans="2:17" ht="16" x14ac:dyDescent="0.2">
      <c r="B25" s="363" t="s">
        <v>679</v>
      </c>
      <c r="C25" s="447"/>
      <c r="D25" s="447"/>
      <c r="E25" s="443"/>
      <c r="F25" s="443"/>
      <c r="G25" s="443"/>
      <c r="H25" s="443"/>
      <c r="I25" s="443"/>
      <c r="J25" s="443"/>
      <c r="K25" s="443"/>
      <c r="L25" s="443"/>
      <c r="M25" s="443"/>
      <c r="N25" s="443"/>
      <c r="O25" s="444">
        <f>SUM(C25:N25)</f>
        <v>0</v>
      </c>
    </row>
    <row r="26" spans="2:17" ht="17" thickBot="1" x14ac:dyDescent="0.25">
      <c r="B26" s="363" t="s">
        <v>680</v>
      </c>
      <c r="C26" s="447">
        <f>C24+C25</f>
        <v>1224</v>
      </c>
      <c r="D26" s="447">
        <f t="shared" ref="D26:N26" si="3">D24+D25</f>
        <v>1368</v>
      </c>
      <c r="E26" s="447">
        <f t="shared" si="3"/>
        <v>1584</v>
      </c>
      <c r="F26" s="447">
        <f t="shared" si="3"/>
        <v>1440</v>
      </c>
      <c r="G26" s="447">
        <f t="shared" si="3"/>
        <v>1440</v>
      </c>
      <c r="H26" s="447">
        <f t="shared" si="3"/>
        <v>1512</v>
      </c>
      <c r="I26" s="447">
        <f t="shared" si="3"/>
        <v>1332</v>
      </c>
      <c r="J26" s="447">
        <f t="shared" si="3"/>
        <v>792</v>
      </c>
      <c r="K26" s="447">
        <f t="shared" si="3"/>
        <v>1512</v>
      </c>
      <c r="L26" s="447">
        <f t="shared" si="3"/>
        <v>1440</v>
      </c>
      <c r="M26" s="447">
        <f t="shared" si="3"/>
        <v>1440</v>
      </c>
      <c r="N26" s="447">
        <f t="shared" si="3"/>
        <v>612</v>
      </c>
      <c r="O26" s="444">
        <f>SUM(C26:N26)</f>
        <v>15696</v>
      </c>
    </row>
    <row r="27" spans="2:17" ht="17" thickBot="1" x14ac:dyDescent="0.25">
      <c r="B27" s="364" t="s">
        <v>676</v>
      </c>
      <c r="C27" s="235">
        <f>C26-C22</f>
        <v>73.821957446808483</v>
      </c>
      <c r="D27" s="235">
        <f t="shared" ref="D27:N27" si="4">D26-D22</f>
        <v>65.497691523552476</v>
      </c>
      <c r="E27" s="235">
        <f t="shared" si="4"/>
        <v>123.51083450773717</v>
      </c>
      <c r="F27" s="235">
        <f t="shared" si="4"/>
        <v>98.125617021276639</v>
      </c>
      <c r="G27" s="235">
        <f t="shared" si="4"/>
        <v>98.125617021278003</v>
      </c>
      <c r="H27" s="235">
        <f t="shared" si="4"/>
        <v>106.2268368794339</v>
      </c>
      <c r="I27" s="235">
        <f t="shared" si="4"/>
        <v>96.093503546099328</v>
      </c>
      <c r="J27" s="235">
        <f t="shared" si="4"/>
        <v>25.214638297872398</v>
      </c>
      <c r="K27" s="235">
        <f t="shared" si="4"/>
        <v>190.27698327289681</v>
      </c>
      <c r="L27" s="235">
        <f t="shared" si="4"/>
        <v>274.12011864689202</v>
      </c>
      <c r="M27" s="235">
        <f t="shared" si="4"/>
        <v>98.125617021276639</v>
      </c>
      <c r="N27" s="235">
        <f t="shared" si="4"/>
        <v>15.081304964538958</v>
      </c>
      <c r="O27" s="245">
        <f>SUM(C27:N27)</f>
        <v>1264.2207201496628</v>
      </c>
    </row>
    <row r="28" spans="2:17" ht="16" x14ac:dyDescent="0.2">
      <c r="B28" s="19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237"/>
    </row>
    <row r="29" spans="2:17" ht="16" x14ac:dyDescent="0.2">
      <c r="B29" s="441" t="s">
        <v>92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237"/>
    </row>
    <row r="30" spans="2:17" ht="16" x14ac:dyDescent="0.2">
      <c r="B30" s="363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237"/>
    </row>
    <row r="31" spans="2:17" ht="16" x14ac:dyDescent="0.2">
      <c r="B31" s="363" t="s">
        <v>672</v>
      </c>
      <c r="C31" s="231">
        <f>'Tab 4 v2'!C28</f>
        <v>3608.3732687165466</v>
      </c>
      <c r="D31" s="231">
        <f>'Tab 4 v2'!D28</f>
        <v>3741.1687639396141</v>
      </c>
      <c r="E31" s="231">
        <f>'Tab 4 v2'!E28</f>
        <v>3919.3196574605463</v>
      </c>
      <c r="F31" s="231">
        <f>'Tab 4 v2'!F28</f>
        <v>3919.3196574605317</v>
      </c>
      <c r="G31" s="231">
        <f>'Tab 4 v2'!G28</f>
        <v>2503.4253543994564</v>
      </c>
      <c r="H31" s="231">
        <f>'Tab 4 v2'!H28</f>
        <v>4551.6595744680817</v>
      </c>
      <c r="I31" s="231">
        <f>'Tab 4 v2'!I28</f>
        <v>4001.6595744680844</v>
      </c>
      <c r="J31" s="231">
        <f>'Tab 4 v2'!J28</f>
        <v>2482.7234042553191</v>
      </c>
      <c r="K31" s="231">
        <f>'Tab 4 v2'!K28</f>
        <v>3008.4665511662315</v>
      </c>
      <c r="L31" s="231">
        <f>'Tab 4 v2'!L28</f>
        <v>4344.765957446808</v>
      </c>
      <c r="M31" s="231">
        <f>'Tab 4 v2'!M28</f>
        <v>4344.765957446808</v>
      </c>
      <c r="N31" s="231">
        <f>'Tab 4 v2'!N28</f>
        <v>1932.7234042553191</v>
      </c>
      <c r="O31" s="442">
        <f>SUM(C31:N31)</f>
        <v>42358.37112548334</v>
      </c>
    </row>
    <row r="32" spans="2:17" ht="16" x14ac:dyDescent="0.2">
      <c r="B32" s="363" t="s">
        <v>685</v>
      </c>
      <c r="C32" s="231">
        <f>'All. 1'!$D$17/60*C31</f>
        <v>132.30701985294004</v>
      </c>
      <c r="D32" s="231">
        <f>'All. 1'!$D$17/60*D31</f>
        <v>137.17618801111919</v>
      </c>
      <c r="E32" s="231">
        <f>'All. 1'!$D$17/60*E31</f>
        <v>143.70838744022004</v>
      </c>
      <c r="F32" s="231">
        <f>'All. 1'!$D$17/60*F31</f>
        <v>143.7083874402195</v>
      </c>
      <c r="G32" s="231">
        <f>'All. 1'!$D$17/60*G31</f>
        <v>91.792262994646734</v>
      </c>
      <c r="H32" s="231">
        <f>'All. 1'!$D$17/60*H31</f>
        <v>166.894184397163</v>
      </c>
      <c r="I32" s="231">
        <f>'All. 1'!$D$17/60*I31</f>
        <v>146.72751773049643</v>
      </c>
      <c r="J32" s="231">
        <f>'All. 1'!$D$17/60*J31</f>
        <v>91.033191489361698</v>
      </c>
      <c r="K32" s="231">
        <f>'All. 1'!$D$17/60*K31</f>
        <v>110.31044020942849</v>
      </c>
      <c r="L32" s="231">
        <f>'All. 1'!$D$17/60*L31</f>
        <v>159.30808510638295</v>
      </c>
      <c r="M32" s="231">
        <f>'All. 1'!$D$17/60*M31</f>
        <v>159.30808510638295</v>
      </c>
      <c r="N32" s="231">
        <f>'All. 1'!$D$17/60*N31</f>
        <v>70.866524822695041</v>
      </c>
      <c r="O32" s="442">
        <f>SUM(C32:N32)</f>
        <v>1553.1402746010563</v>
      </c>
    </row>
    <row r="33" spans="2:15" ht="16" x14ac:dyDescent="0.2">
      <c r="B33" s="363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237"/>
    </row>
    <row r="34" spans="2:15" ht="16" x14ac:dyDescent="0.2">
      <c r="B34" s="363" t="s">
        <v>686</v>
      </c>
      <c r="C34" s="445">
        <f>'Tab. 14'!C6-'Tab. 14'!C7</f>
        <v>18</v>
      </c>
      <c r="D34" s="445">
        <f>'Tab. 14'!D6-'Tab. 14'!D7</f>
        <v>20</v>
      </c>
      <c r="E34" s="445">
        <f>'Tab. 14'!E6-'Tab. 14'!E7</f>
        <v>23</v>
      </c>
      <c r="F34" s="445">
        <f>'Tab. 14'!F6-'Tab. 14'!F7</f>
        <v>21</v>
      </c>
      <c r="G34" s="445">
        <f>'Tab. 14'!G6-'Tab. 14'!G7</f>
        <v>21</v>
      </c>
      <c r="H34" s="445">
        <f>'Tab. 14'!H6-'Tab. 14'!H7</f>
        <v>22</v>
      </c>
      <c r="I34" s="445">
        <f>'Tab. 14'!I6-'Tab. 14'!I7</f>
        <v>22</v>
      </c>
      <c r="J34" s="445">
        <f>'Tab. 14'!J6-'Tab. 14'!J7</f>
        <v>12</v>
      </c>
      <c r="K34" s="445">
        <f>'Tab. 14'!K6-'Tab. 14'!K7</f>
        <v>22</v>
      </c>
      <c r="L34" s="445">
        <f>'Tab. 14'!L6-'Tab. 14'!L7</f>
        <v>21</v>
      </c>
      <c r="M34" s="445">
        <f>'Tab. 14'!M6-'Tab. 14'!M7</f>
        <v>21</v>
      </c>
      <c r="N34" s="445">
        <f>'Tab. 14'!N6-'Tab. 14'!N7</f>
        <v>12</v>
      </c>
      <c r="O34" s="444">
        <f>SUM(C34:N34)</f>
        <v>235</v>
      </c>
    </row>
    <row r="35" spans="2:15" ht="16" x14ac:dyDescent="0.2">
      <c r="B35" s="363" t="s">
        <v>687</v>
      </c>
      <c r="C35" s="462">
        <f>-'All. 3'!$D$9/12</f>
        <v>-1</v>
      </c>
      <c r="D35" s="462">
        <f>-'All. 3'!$D$9/12</f>
        <v>-1</v>
      </c>
      <c r="E35" s="462">
        <f>-'All. 3'!$D$9/12</f>
        <v>-1</v>
      </c>
      <c r="F35" s="462">
        <f>-'All. 3'!$D$9/12</f>
        <v>-1</v>
      </c>
      <c r="G35" s="462">
        <f>-'All. 3'!$D$9/12</f>
        <v>-1</v>
      </c>
      <c r="H35" s="462">
        <f>-'All. 3'!$D$9/12</f>
        <v>-1</v>
      </c>
      <c r="I35" s="462">
        <f>-'All. 3'!$D$9/12</f>
        <v>-1</v>
      </c>
      <c r="J35" s="462">
        <f>-'All. 3'!$D$9/12</f>
        <v>-1</v>
      </c>
      <c r="K35" s="462">
        <f>-'All. 3'!$D$9/12</f>
        <v>-1</v>
      </c>
      <c r="L35" s="462">
        <f>-'All. 3'!$D$9/12</f>
        <v>-1</v>
      </c>
      <c r="M35" s="462">
        <f>-'All. 3'!$D$9/12</f>
        <v>-1</v>
      </c>
      <c r="N35" s="462">
        <f>-'All. 3'!$D$9/12</f>
        <v>-1</v>
      </c>
      <c r="O35" s="448">
        <f>SUM(C35:N35)</f>
        <v>-12</v>
      </c>
    </row>
    <row r="36" spans="2:15" ht="16" x14ac:dyDescent="0.2">
      <c r="B36" s="363" t="s">
        <v>5</v>
      </c>
      <c r="C36" s="443"/>
      <c r="D36" s="443"/>
      <c r="E36" s="443"/>
      <c r="F36" s="443"/>
      <c r="G36" s="443"/>
      <c r="H36" s="443"/>
      <c r="I36" s="445">
        <f>'All. 2'!$D$8/2</f>
        <v>-2.5</v>
      </c>
      <c r="J36" s="443"/>
      <c r="K36" s="443"/>
      <c r="L36" s="443"/>
      <c r="M36" s="443"/>
      <c r="N36" s="445">
        <f>'All. 2'!$D$8/2</f>
        <v>-2.5</v>
      </c>
      <c r="O36" s="444">
        <f>SUM(C36:N36)</f>
        <v>-5</v>
      </c>
    </row>
    <row r="37" spans="2:15" ht="16" x14ac:dyDescent="0.2">
      <c r="B37" s="363" t="s">
        <v>688</v>
      </c>
      <c r="C37" s="462">
        <f>'All. 3'!$D$7</f>
        <v>1</v>
      </c>
      <c r="D37" s="462">
        <f>'All. 3'!$D$7</f>
        <v>1</v>
      </c>
      <c r="E37" s="462">
        <f>'All. 3'!$D$7</f>
        <v>1</v>
      </c>
      <c r="F37" s="462">
        <f>'All. 3'!$D$7</f>
        <v>1</v>
      </c>
      <c r="G37" s="462">
        <f>'All. 3'!$D$7</f>
        <v>1</v>
      </c>
      <c r="H37" s="462">
        <f>'All. 3'!$D$7</f>
        <v>1</v>
      </c>
      <c r="I37" s="462">
        <f>'All. 3'!$D$7</f>
        <v>1</v>
      </c>
      <c r="J37" s="462">
        <f>'All. 3'!$D$7</f>
        <v>1</v>
      </c>
      <c r="K37" s="462">
        <f>'All. 3'!$D$7</f>
        <v>1</v>
      </c>
      <c r="L37" s="462">
        <f>'All. 3'!$D$7</f>
        <v>1</v>
      </c>
      <c r="M37" s="462">
        <f>'All. 3'!$D$7</f>
        <v>1</v>
      </c>
      <c r="N37" s="462">
        <f>'All. 3'!$D$7</f>
        <v>1</v>
      </c>
      <c r="O37" s="446"/>
    </row>
    <row r="38" spans="2:15" ht="16" x14ac:dyDescent="0.2">
      <c r="B38" s="363" t="s">
        <v>8</v>
      </c>
      <c r="C38" s="462">
        <f>'All. 3'!$D$10</f>
        <v>2</v>
      </c>
      <c r="D38" s="462">
        <f>'All. 3'!$D$10</f>
        <v>2</v>
      </c>
      <c r="E38" s="462">
        <f>'All. 3'!$D$10</f>
        <v>2</v>
      </c>
      <c r="F38" s="462">
        <f>'All. 3'!$D$10</f>
        <v>2</v>
      </c>
      <c r="G38" s="462">
        <f>'All. 3'!$D$10</f>
        <v>2</v>
      </c>
      <c r="H38" s="462">
        <f>'All. 3'!$D$10</f>
        <v>2</v>
      </c>
      <c r="I38" s="462">
        <f>'All. 3'!$D$10</f>
        <v>2</v>
      </c>
      <c r="J38" s="462">
        <f>'All. 3'!$D$10</f>
        <v>2</v>
      </c>
      <c r="K38" s="462">
        <f>'All. 3'!$D$10</f>
        <v>2</v>
      </c>
      <c r="L38" s="462">
        <f>'All. 3'!$D$10</f>
        <v>2</v>
      </c>
      <c r="M38" s="462">
        <f>'All. 3'!$D$10</f>
        <v>2</v>
      </c>
      <c r="N38" s="462">
        <f>'All. 3'!$D$10</f>
        <v>2</v>
      </c>
      <c r="O38" s="446"/>
    </row>
    <row r="39" spans="2:15" ht="16" x14ac:dyDescent="0.2">
      <c r="B39" s="363" t="s">
        <v>689</v>
      </c>
      <c r="C39" s="462">
        <f>'All. 3'!$D$11</f>
        <v>8</v>
      </c>
      <c r="D39" s="462">
        <f>'All. 3'!$D$11</f>
        <v>8</v>
      </c>
      <c r="E39" s="462">
        <f>'All. 3'!$D$11</f>
        <v>8</v>
      </c>
      <c r="F39" s="462">
        <f>'All. 3'!$D$11</f>
        <v>8</v>
      </c>
      <c r="G39" s="462">
        <f>'All. 3'!$D$11</f>
        <v>8</v>
      </c>
      <c r="H39" s="462">
        <f>'All. 3'!$D$11</f>
        <v>8</v>
      </c>
      <c r="I39" s="462">
        <f>'All. 3'!$D$11</f>
        <v>8</v>
      </c>
      <c r="J39" s="462">
        <f>'All. 3'!$D$11</f>
        <v>8</v>
      </c>
      <c r="K39" s="462">
        <f>'All. 3'!$D$11</f>
        <v>8</v>
      </c>
      <c r="L39" s="462">
        <f>'All. 3'!$D$11</f>
        <v>8</v>
      </c>
      <c r="M39" s="462">
        <f>'All. 3'!$D$11</f>
        <v>8</v>
      </c>
      <c r="N39" s="462">
        <f>'All. 3'!$D$11</f>
        <v>8</v>
      </c>
      <c r="O39" s="446"/>
    </row>
    <row r="40" spans="2:15" ht="17" thickBot="1" x14ac:dyDescent="0.25">
      <c r="B40" s="363" t="s">
        <v>675</v>
      </c>
      <c r="C40" s="231">
        <f>(C34+C35+C36)*C37*C38*C39</f>
        <v>272</v>
      </c>
      <c r="D40" s="231">
        <f t="shared" ref="D40:N40" si="5">(D34+D35+D36)*D37*D38*D39</f>
        <v>304</v>
      </c>
      <c r="E40" s="231">
        <f t="shared" si="5"/>
        <v>352</v>
      </c>
      <c r="F40" s="231">
        <f t="shared" si="5"/>
        <v>320</v>
      </c>
      <c r="G40" s="231">
        <f t="shared" si="5"/>
        <v>320</v>
      </c>
      <c r="H40" s="231">
        <f t="shared" si="5"/>
        <v>336</v>
      </c>
      <c r="I40" s="231">
        <f t="shared" si="5"/>
        <v>296</v>
      </c>
      <c r="J40" s="231">
        <f t="shared" si="5"/>
        <v>176</v>
      </c>
      <c r="K40" s="231">
        <f t="shared" si="5"/>
        <v>336</v>
      </c>
      <c r="L40" s="231">
        <f t="shared" si="5"/>
        <v>320</v>
      </c>
      <c r="M40" s="231">
        <f t="shared" si="5"/>
        <v>320</v>
      </c>
      <c r="N40" s="231">
        <f t="shared" si="5"/>
        <v>136</v>
      </c>
      <c r="O40" s="442">
        <f>SUM(C40:N40)</f>
        <v>3488</v>
      </c>
    </row>
    <row r="41" spans="2:15" ht="17" thickBot="1" x14ac:dyDescent="0.25">
      <c r="B41" s="364" t="s">
        <v>676</v>
      </c>
      <c r="C41" s="235">
        <f>C40-C32</f>
        <v>139.69298014705996</v>
      </c>
      <c r="D41" s="235">
        <f t="shared" ref="D41:O41" si="6">D40-D32</f>
        <v>166.82381198888081</v>
      </c>
      <c r="E41" s="235">
        <f t="shared" si="6"/>
        <v>208.29161255977996</v>
      </c>
      <c r="F41" s="235">
        <f t="shared" si="6"/>
        <v>176.2916125597805</v>
      </c>
      <c r="G41" s="235">
        <f t="shared" si="6"/>
        <v>228.20773700535327</v>
      </c>
      <c r="H41" s="235">
        <f t="shared" si="6"/>
        <v>169.105815602837</v>
      </c>
      <c r="I41" s="235">
        <f t="shared" si="6"/>
        <v>149.27248226950357</v>
      </c>
      <c r="J41" s="235">
        <f t="shared" si="6"/>
        <v>84.966808510638302</v>
      </c>
      <c r="K41" s="235">
        <f t="shared" si="6"/>
        <v>225.68955979057151</v>
      </c>
      <c r="L41" s="235">
        <f t="shared" si="6"/>
        <v>160.69191489361705</v>
      </c>
      <c r="M41" s="235">
        <f t="shared" si="6"/>
        <v>160.69191489361705</v>
      </c>
      <c r="N41" s="235">
        <f t="shared" si="6"/>
        <v>65.133475177304959</v>
      </c>
      <c r="O41" s="245">
        <f t="shared" si="6"/>
        <v>1934.8597253989437</v>
      </c>
    </row>
    <row r="42" spans="2:15" ht="17" customHeight="1" x14ac:dyDescent="0.2">
      <c r="B42" s="363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237"/>
    </row>
    <row r="43" spans="2:15" ht="16" x14ac:dyDescent="0.2">
      <c r="B43" s="449" t="s">
        <v>677</v>
      </c>
      <c r="C43" s="450">
        <f>'Tab. 5'!C54</f>
        <v>3608.3732687165466</v>
      </c>
      <c r="D43" s="450">
        <f>'Tab. 5'!D54</f>
        <v>3741.1687639396214</v>
      </c>
      <c r="E43" s="450">
        <f>'Tab. 5'!E54</f>
        <v>3919.3196574605463</v>
      </c>
      <c r="F43" s="450">
        <f>'Tab. 5'!F54</f>
        <v>3919.3196574605317</v>
      </c>
      <c r="G43" s="450">
        <f>'Tab. 5'!G54</f>
        <v>2503.4253543994564</v>
      </c>
      <c r="H43" s="450">
        <f>'Tab. 5'!H54</f>
        <v>4551.6595744680817</v>
      </c>
      <c r="I43" s="450">
        <f>'Tab. 5'!I54</f>
        <v>4001.6595744680844</v>
      </c>
      <c r="J43" s="450">
        <f>'Tab. 5'!J54</f>
        <v>2482.7234042553191</v>
      </c>
      <c r="K43" s="450">
        <f>'Tab. 5'!K54</f>
        <v>3008.4665511662315</v>
      </c>
      <c r="L43" s="450">
        <f>'Tab. 5'!L54</f>
        <v>4344.765957446808</v>
      </c>
      <c r="M43" s="450">
        <f>'Tab. 5'!M54</f>
        <v>4344.765957446808</v>
      </c>
      <c r="N43" s="450">
        <f>'Tab. 5'!N54</f>
        <v>1932.7234042553191</v>
      </c>
      <c r="O43" s="451">
        <f>SUM(C43:N43)</f>
        <v>42358.371125483347</v>
      </c>
    </row>
    <row r="44" spans="2:15" ht="16" x14ac:dyDescent="0.2">
      <c r="B44" s="363" t="s">
        <v>690</v>
      </c>
      <c r="C44" s="231">
        <f>'All. 1'!$D$17/60*C43</f>
        <v>132.30701985294004</v>
      </c>
      <c r="D44" s="231">
        <f>'All. 1'!$D$17/60*D43</f>
        <v>137.17618801111945</v>
      </c>
      <c r="E44" s="231">
        <f>'All. 1'!$D$17/60*E43</f>
        <v>143.70838744022004</v>
      </c>
      <c r="F44" s="231">
        <f>'All. 1'!$D$17/60*F43</f>
        <v>143.7083874402195</v>
      </c>
      <c r="G44" s="231">
        <f>'All. 1'!$D$17/60*G43</f>
        <v>91.792262994646734</v>
      </c>
      <c r="H44" s="231">
        <f>'All. 1'!$D$17/60*H43</f>
        <v>166.894184397163</v>
      </c>
      <c r="I44" s="231">
        <f>'All. 1'!$D$17/60*I43</f>
        <v>146.72751773049643</v>
      </c>
      <c r="J44" s="231">
        <f>'All. 1'!$D$17/60*J43</f>
        <v>91.033191489361698</v>
      </c>
      <c r="K44" s="231">
        <f>'All. 1'!$D$17/60*K43</f>
        <v>110.31044020942849</v>
      </c>
      <c r="L44" s="231">
        <f>'All. 1'!$D$17/60*L43</f>
        <v>159.30808510638295</v>
      </c>
      <c r="M44" s="231">
        <f>'All. 1'!$D$17/60*M43</f>
        <v>159.30808510638295</v>
      </c>
      <c r="N44" s="231">
        <f>'All. 1'!$D$17/60*N43</f>
        <v>70.866524822695041</v>
      </c>
      <c r="O44" s="442">
        <f>SUM(C44:N44)</f>
        <v>1553.1402746010565</v>
      </c>
    </row>
    <row r="45" spans="2:15" ht="16" x14ac:dyDescent="0.2">
      <c r="B45" s="363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237"/>
    </row>
    <row r="46" spans="2:15" ht="16" x14ac:dyDescent="0.2">
      <c r="B46" s="363" t="s">
        <v>678</v>
      </c>
      <c r="C46" s="447">
        <f t="shared" ref="C46:N46" si="7">C40</f>
        <v>272</v>
      </c>
      <c r="D46" s="447">
        <f t="shared" si="7"/>
        <v>304</v>
      </c>
      <c r="E46" s="447">
        <f t="shared" si="7"/>
        <v>352</v>
      </c>
      <c r="F46" s="447">
        <f t="shared" si="7"/>
        <v>320</v>
      </c>
      <c r="G46" s="447">
        <f t="shared" si="7"/>
        <v>320</v>
      </c>
      <c r="H46" s="447">
        <f t="shared" si="7"/>
        <v>336</v>
      </c>
      <c r="I46" s="447">
        <f t="shared" si="7"/>
        <v>296</v>
      </c>
      <c r="J46" s="447">
        <f t="shared" si="7"/>
        <v>176</v>
      </c>
      <c r="K46" s="447">
        <f t="shared" si="7"/>
        <v>336</v>
      </c>
      <c r="L46" s="447">
        <f t="shared" si="7"/>
        <v>320</v>
      </c>
      <c r="M46" s="447">
        <f t="shared" si="7"/>
        <v>320</v>
      </c>
      <c r="N46" s="447">
        <f t="shared" si="7"/>
        <v>136</v>
      </c>
      <c r="O46" s="444">
        <f>SUM(C46:N46)</f>
        <v>3488</v>
      </c>
    </row>
    <row r="47" spans="2:15" ht="16" x14ac:dyDescent="0.2">
      <c r="B47" s="363" t="s">
        <v>679</v>
      </c>
      <c r="C47" s="447"/>
      <c r="D47" s="447"/>
      <c r="E47" s="443"/>
      <c r="F47" s="443"/>
      <c r="G47" s="443"/>
      <c r="H47" s="443"/>
      <c r="I47" s="443"/>
      <c r="J47" s="443"/>
      <c r="K47" s="443"/>
      <c r="L47" s="443"/>
      <c r="M47" s="443"/>
      <c r="N47" s="443"/>
      <c r="O47" s="444">
        <f>SUM(C47:N47)</f>
        <v>0</v>
      </c>
    </row>
    <row r="48" spans="2:15" ht="17" thickBot="1" x14ac:dyDescent="0.25">
      <c r="B48" s="363" t="s">
        <v>680</v>
      </c>
      <c r="C48" s="447">
        <f>C46+C47</f>
        <v>272</v>
      </c>
      <c r="D48" s="447">
        <f t="shared" ref="D48:N48" si="8">D46+D47</f>
        <v>304</v>
      </c>
      <c r="E48" s="447">
        <f t="shared" si="8"/>
        <v>352</v>
      </c>
      <c r="F48" s="447">
        <f t="shared" si="8"/>
        <v>320</v>
      </c>
      <c r="G48" s="447">
        <f t="shared" si="8"/>
        <v>320</v>
      </c>
      <c r="H48" s="447">
        <f t="shared" si="8"/>
        <v>336</v>
      </c>
      <c r="I48" s="447">
        <f t="shared" si="8"/>
        <v>296</v>
      </c>
      <c r="J48" s="447">
        <f t="shared" si="8"/>
        <v>176</v>
      </c>
      <c r="K48" s="447">
        <f t="shared" si="8"/>
        <v>336</v>
      </c>
      <c r="L48" s="447">
        <f t="shared" si="8"/>
        <v>320</v>
      </c>
      <c r="M48" s="447">
        <f t="shared" si="8"/>
        <v>320</v>
      </c>
      <c r="N48" s="447">
        <f t="shared" si="8"/>
        <v>136</v>
      </c>
      <c r="O48" s="444">
        <f>SUM(C48:N48)</f>
        <v>3488</v>
      </c>
    </row>
    <row r="49" spans="2:15" ht="17" thickBot="1" x14ac:dyDescent="0.25">
      <c r="B49" s="364" t="s">
        <v>676</v>
      </c>
      <c r="C49" s="235">
        <f>C48-C44</f>
        <v>139.69298014705996</v>
      </c>
      <c r="D49" s="235">
        <f t="shared" ref="D49:N49" si="9">D48-D44</f>
        <v>166.82381198888055</v>
      </c>
      <c r="E49" s="235">
        <f t="shared" si="9"/>
        <v>208.29161255977996</v>
      </c>
      <c r="F49" s="235">
        <f t="shared" si="9"/>
        <v>176.2916125597805</v>
      </c>
      <c r="G49" s="235">
        <f t="shared" si="9"/>
        <v>228.20773700535327</v>
      </c>
      <c r="H49" s="235">
        <f t="shared" si="9"/>
        <v>169.105815602837</v>
      </c>
      <c r="I49" s="235">
        <f t="shared" si="9"/>
        <v>149.27248226950357</v>
      </c>
      <c r="J49" s="235">
        <f t="shared" si="9"/>
        <v>84.966808510638302</v>
      </c>
      <c r="K49" s="235">
        <f t="shared" si="9"/>
        <v>225.68955979057151</v>
      </c>
      <c r="L49" s="235">
        <f t="shared" si="9"/>
        <v>160.69191489361705</v>
      </c>
      <c r="M49" s="235">
        <f t="shared" si="9"/>
        <v>160.69191489361705</v>
      </c>
      <c r="N49" s="235">
        <f t="shared" si="9"/>
        <v>65.133475177304959</v>
      </c>
      <c r="O49" s="245">
        <f>SUM(C49:N49)</f>
        <v>1934.8597253989435</v>
      </c>
    </row>
    <row r="50" spans="2:15" hidden="1" x14ac:dyDescent="0.15">
      <c r="B50" s="452"/>
      <c r="C50" s="453"/>
      <c r="D50" s="453"/>
      <c r="E50" s="453"/>
      <c r="F50" s="453"/>
      <c r="G50" s="453"/>
      <c r="H50" s="453"/>
      <c r="I50" s="453"/>
      <c r="J50" s="453"/>
      <c r="K50" s="453"/>
      <c r="L50" s="453"/>
      <c r="M50" s="453"/>
      <c r="N50" s="453"/>
      <c r="O50" s="454"/>
    </row>
    <row r="51" spans="2:15" hidden="1" x14ac:dyDescent="0.15">
      <c r="B51" s="455"/>
      <c r="O51" s="456"/>
    </row>
    <row r="52" spans="2:15" hidden="1" x14ac:dyDescent="0.15">
      <c r="B52" s="457" t="s">
        <v>682</v>
      </c>
      <c r="C52" s="1">
        <f>+C31</f>
        <v>3608.3732687165466</v>
      </c>
      <c r="D52" s="1">
        <f t="shared" ref="D52:N52" si="10">+D31+C52</f>
        <v>7349.5420326561607</v>
      </c>
      <c r="E52" s="1">
        <f t="shared" si="10"/>
        <v>11268.861690116708</v>
      </c>
      <c r="F52" s="1">
        <f t="shared" si="10"/>
        <v>15188.18134757724</v>
      </c>
      <c r="G52" s="1">
        <f t="shared" si="10"/>
        <v>17691.606701976696</v>
      </c>
      <c r="H52" s="1">
        <f t="shared" si="10"/>
        <v>22243.266276444778</v>
      </c>
      <c r="I52" s="1">
        <f t="shared" si="10"/>
        <v>26244.925850912863</v>
      </c>
      <c r="J52" s="1">
        <f t="shared" si="10"/>
        <v>28727.64925516818</v>
      </c>
      <c r="K52" s="1">
        <f t="shared" si="10"/>
        <v>31736.115806334412</v>
      </c>
      <c r="L52" s="1">
        <f t="shared" si="10"/>
        <v>36080.881763781217</v>
      </c>
      <c r="M52" s="1">
        <f t="shared" si="10"/>
        <v>40425.647721228022</v>
      </c>
      <c r="N52" s="1">
        <f t="shared" si="10"/>
        <v>42358.37112548334</v>
      </c>
      <c r="O52" s="456"/>
    </row>
    <row r="53" spans="2:15" hidden="1" x14ac:dyDescent="0.15">
      <c r="B53" s="457" t="s">
        <v>683</v>
      </c>
      <c r="C53" s="1" t="e">
        <f>+#REF!</f>
        <v>#REF!</v>
      </c>
      <c r="D53" s="1" t="e">
        <f>+C53+#REF!</f>
        <v>#REF!</v>
      </c>
      <c r="E53" s="1" t="e">
        <f>+D53+#REF!</f>
        <v>#REF!</v>
      </c>
      <c r="F53" s="1" t="e">
        <f>+E53+#REF!</f>
        <v>#REF!</v>
      </c>
      <c r="G53" s="1" t="e">
        <f>+F53+#REF!</f>
        <v>#REF!</v>
      </c>
      <c r="H53" s="1" t="e">
        <f>+G53+#REF!</f>
        <v>#REF!</v>
      </c>
      <c r="I53" s="1" t="e">
        <f>+H53+#REF!</f>
        <v>#REF!</v>
      </c>
      <c r="J53" s="1" t="e">
        <f>+I53+#REF!</f>
        <v>#REF!</v>
      </c>
      <c r="K53" s="1" t="e">
        <f>+J53+#REF!</f>
        <v>#REF!</v>
      </c>
      <c r="L53" s="1" t="e">
        <f>+K53+#REF!</f>
        <v>#REF!</v>
      </c>
      <c r="M53" s="1" t="e">
        <f>+L53+#REF!</f>
        <v>#REF!</v>
      </c>
      <c r="N53" s="1" t="e">
        <f>+M53+#REF!</f>
        <v>#REF!</v>
      </c>
      <c r="O53" s="456"/>
    </row>
    <row r="54" spans="2:15" hidden="1" x14ac:dyDescent="0.15">
      <c r="B54" s="455"/>
      <c r="C54" s="1">
        <f>+C43</f>
        <v>3608.3732687165466</v>
      </c>
      <c r="D54" s="1">
        <f>+D43+C43</f>
        <v>7349.542032656168</v>
      </c>
      <c r="E54" s="1">
        <f>+E43+D54</f>
        <v>11268.861690116715</v>
      </c>
      <c r="F54" s="1">
        <f t="shared" ref="F54:N54" si="11">+F43+E54</f>
        <v>15188.181347577247</v>
      </c>
      <c r="G54" s="1">
        <f t="shared" si="11"/>
        <v>17691.606701976703</v>
      </c>
      <c r="H54" s="1">
        <f t="shared" si="11"/>
        <v>22243.266276444785</v>
      </c>
      <c r="I54" s="1">
        <f t="shared" si="11"/>
        <v>26244.92585091287</v>
      </c>
      <c r="J54" s="1">
        <f t="shared" si="11"/>
        <v>28727.649255168188</v>
      </c>
      <c r="K54" s="1">
        <f t="shared" si="11"/>
        <v>31736.115806334419</v>
      </c>
      <c r="L54" s="1">
        <f t="shared" si="11"/>
        <v>36080.881763781224</v>
      </c>
      <c r="M54" s="1">
        <f t="shared" si="11"/>
        <v>40425.64772122803</v>
      </c>
      <c r="N54" s="1">
        <f t="shared" si="11"/>
        <v>42358.371125483347</v>
      </c>
      <c r="O54" s="456"/>
    </row>
    <row r="55" spans="2:15" hidden="1" x14ac:dyDescent="0.15">
      <c r="B55" s="45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456"/>
    </row>
    <row r="56" spans="2:15" ht="14" hidden="1" thickBot="1" x14ac:dyDescent="0.2">
      <c r="B56" s="458"/>
      <c r="C56" s="459" t="e">
        <f>+IF(C53&lt;C52,C52-C53,0)</f>
        <v>#REF!</v>
      </c>
      <c r="D56" s="459" t="e">
        <f>+IF(D53&lt;D52,D52-D53,0)</f>
        <v>#REF!</v>
      </c>
      <c r="E56" s="460"/>
      <c r="F56" s="460"/>
      <c r="G56" s="460"/>
      <c r="H56" s="460"/>
      <c r="I56" s="460"/>
      <c r="J56" s="460"/>
      <c r="K56" s="460"/>
      <c r="L56" s="460"/>
      <c r="M56" s="460"/>
      <c r="N56" s="460"/>
      <c r="O56" s="461"/>
    </row>
    <row r="59" spans="2:15" x14ac:dyDescent="0.15">
      <c r="C59" s="1">
        <f>+C43-'Tab 4 v2'!C28</f>
        <v>0</v>
      </c>
      <c r="D59" s="1">
        <f>+D43-'Tab 4 v2'!D28</f>
        <v>7.2759576141834259E-12</v>
      </c>
      <c r="E59" s="1">
        <f>+E43-'Tab 4 v2'!E28</f>
        <v>0</v>
      </c>
      <c r="F59" s="1">
        <f>+F43-'Tab 4 v2'!F28</f>
        <v>0</v>
      </c>
      <c r="G59" s="1">
        <f>+G43-'Tab 4 v2'!G28</f>
        <v>0</v>
      </c>
      <c r="H59" s="1">
        <f>+H43-'Tab 4 v2'!H28</f>
        <v>0</v>
      </c>
      <c r="I59" s="1">
        <f>+I43-'Tab 4 v2'!I28</f>
        <v>0</v>
      </c>
      <c r="J59" s="1">
        <f>+J43-'Tab 4 v2'!J28</f>
        <v>0</v>
      </c>
      <c r="K59" s="1">
        <f>+K43-'Tab 4 v2'!K28</f>
        <v>0</v>
      </c>
      <c r="L59" s="1">
        <f>+L43-'Tab 4 v2'!L28</f>
        <v>0</v>
      </c>
      <c r="M59" s="1">
        <f>+M43-'Tab 4 v2'!M28</f>
        <v>0</v>
      </c>
      <c r="N59" s="1">
        <f>+N43-'Tab 4 v2'!N28</f>
        <v>0</v>
      </c>
    </row>
  </sheetData>
  <mergeCells count="1">
    <mergeCell ref="C4:O4"/>
  </mergeCells>
  <conditionalFormatting sqref="C19:N19 C27:N27">
    <cfRule type="cellIs" dxfId="1" priority="2" operator="lessThan">
      <formula>0</formula>
    </cfRule>
  </conditionalFormatting>
  <conditionalFormatting sqref="C41:N41 C49:N49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FA06-582A-B84B-98EE-753FE41B7B7F}">
  <sheetPr codeName="Foglio11">
    <tabColor theme="0" tint="-0.499984740745262"/>
  </sheetPr>
  <dimension ref="B1:F48"/>
  <sheetViews>
    <sheetView showGridLines="0" zoomScale="158" zoomScaleNormal="140" workbookViewId="0">
      <selection activeCell="F24" sqref="F24"/>
    </sheetView>
  </sheetViews>
  <sheetFormatPr baseColWidth="10" defaultColWidth="9.1640625" defaultRowHeight="19" x14ac:dyDescent="0.15"/>
  <cols>
    <col min="1" max="1" width="9.1640625" style="259"/>
    <col min="2" max="2" width="29" style="259" bestFit="1" customWidth="1"/>
    <col min="3" max="3" width="20.6640625" style="259" customWidth="1"/>
    <col min="4" max="4" width="13.1640625" style="259" customWidth="1"/>
    <col min="5" max="5" width="12.33203125" style="259" bestFit="1" customWidth="1"/>
    <col min="6" max="6" width="11.5" style="259" customWidth="1"/>
    <col min="7" max="7" width="2.6640625" style="259" customWidth="1"/>
    <col min="8" max="16384" width="9.1640625" style="259"/>
  </cols>
  <sheetData>
    <row r="1" spans="2:6" x14ac:dyDescent="0.15">
      <c r="B1" s="259" t="s">
        <v>174</v>
      </c>
    </row>
    <row r="2" spans="2:6" ht="20" thickBot="1" x14ac:dyDescent="0.2"/>
    <row r="3" spans="2:6" x14ac:dyDescent="0.15">
      <c r="B3" s="705" t="s">
        <v>144</v>
      </c>
      <c r="C3" s="707" t="s">
        <v>72</v>
      </c>
      <c r="D3" s="708"/>
      <c r="E3" s="708"/>
      <c r="F3" s="709"/>
    </row>
    <row r="4" spans="2:6" x14ac:dyDescent="0.15">
      <c r="B4" s="706"/>
      <c r="C4" s="263" t="s">
        <v>145</v>
      </c>
      <c r="D4" s="264" t="s">
        <v>146</v>
      </c>
      <c r="E4" s="264" t="s">
        <v>154</v>
      </c>
      <c r="F4" s="265" t="s">
        <v>155</v>
      </c>
    </row>
    <row r="5" spans="2:6" x14ac:dyDescent="0.15">
      <c r="B5" s="261" t="s">
        <v>141</v>
      </c>
      <c r="C5" s="258" t="s">
        <v>147</v>
      </c>
      <c r="D5" s="260">
        <v>0.75</v>
      </c>
      <c r="E5" s="270">
        <f>0.005*1000</f>
        <v>5</v>
      </c>
      <c r="F5" s="267">
        <f>E5*D5</f>
        <v>3.75</v>
      </c>
    </row>
    <row r="6" spans="2:6" x14ac:dyDescent="0.15">
      <c r="B6" s="261" t="s">
        <v>142</v>
      </c>
      <c r="C6" s="258" t="s">
        <v>147</v>
      </c>
      <c r="D6" s="260">
        <v>1</v>
      </c>
      <c r="E6" s="270">
        <f>0.078947*1000</f>
        <v>78.947000000000003</v>
      </c>
      <c r="F6" s="267">
        <f t="shared" ref="F6:F7" si="0">E6*D6</f>
        <v>78.947000000000003</v>
      </c>
    </row>
    <row r="7" spans="2:6" x14ac:dyDescent="0.15">
      <c r="B7" s="261" t="s">
        <v>143</v>
      </c>
      <c r="C7" s="258" t="s">
        <v>147</v>
      </c>
      <c r="D7" s="260">
        <v>1</v>
      </c>
      <c r="E7" s="270">
        <f>0.03*1000</f>
        <v>30</v>
      </c>
      <c r="F7" s="267">
        <f t="shared" si="0"/>
        <v>30</v>
      </c>
    </row>
    <row r="8" spans="2:6" ht="20" thickBot="1" x14ac:dyDescent="0.2">
      <c r="B8" s="262"/>
      <c r="C8" s="268"/>
      <c r="D8" s="268"/>
      <c r="E8" s="268"/>
      <c r="F8" s="269">
        <f>SUM(F5:F7)</f>
        <v>112.697</v>
      </c>
    </row>
    <row r="9" spans="2:6" ht="41" customHeight="1" thickBot="1" x14ac:dyDescent="0.2">
      <c r="C9" s="258"/>
      <c r="D9" s="258"/>
      <c r="E9" s="258"/>
      <c r="F9" s="258"/>
    </row>
    <row r="10" spans="2:6" x14ac:dyDescent="0.15">
      <c r="B10" s="705" t="s">
        <v>148</v>
      </c>
      <c r="C10" s="707" t="s">
        <v>72</v>
      </c>
      <c r="D10" s="708"/>
      <c r="E10" s="708"/>
      <c r="F10" s="709"/>
    </row>
    <row r="11" spans="2:6" x14ac:dyDescent="0.15">
      <c r="B11" s="706"/>
      <c r="C11" s="263" t="s">
        <v>145</v>
      </c>
      <c r="D11" s="264" t="s">
        <v>146</v>
      </c>
      <c r="E11" s="264" t="s">
        <v>154</v>
      </c>
      <c r="F11" s="265" t="s">
        <v>155</v>
      </c>
    </row>
    <row r="12" spans="2:6" x14ac:dyDescent="0.15">
      <c r="B12" s="261" t="s">
        <v>92</v>
      </c>
      <c r="C12" s="258" t="s">
        <v>147</v>
      </c>
      <c r="D12" s="260">
        <v>0.5</v>
      </c>
      <c r="E12" s="270">
        <f>0.05*1000</f>
        <v>50</v>
      </c>
      <c r="F12" s="267">
        <f>E12*D12</f>
        <v>25</v>
      </c>
    </row>
    <row r="13" spans="2:6" x14ac:dyDescent="0.15">
      <c r="B13" s="261" t="s">
        <v>149</v>
      </c>
      <c r="C13" s="258" t="s">
        <v>152</v>
      </c>
      <c r="D13" s="260">
        <v>2.2200000000000002</v>
      </c>
      <c r="E13" s="270">
        <f>0.015*1000</f>
        <v>15</v>
      </c>
      <c r="F13" s="267">
        <f t="shared" ref="F13:F16" si="1">E13*D13</f>
        <v>33.300000000000004</v>
      </c>
    </row>
    <row r="14" spans="2:6" x14ac:dyDescent="0.15">
      <c r="B14" s="261" t="s">
        <v>143</v>
      </c>
      <c r="C14" s="258" t="s">
        <v>147</v>
      </c>
      <c r="D14" s="260">
        <v>0.8</v>
      </c>
      <c r="E14" s="270">
        <f>0.03*1000</f>
        <v>30</v>
      </c>
      <c r="F14" s="267">
        <f t="shared" si="1"/>
        <v>24</v>
      </c>
    </row>
    <row r="15" spans="2:6" x14ac:dyDescent="0.15">
      <c r="B15" s="261" t="s">
        <v>150</v>
      </c>
      <c r="C15" s="258" t="s">
        <v>153</v>
      </c>
      <c r="D15" s="260">
        <v>3</v>
      </c>
      <c r="E15" s="270">
        <f>0.02*1000</f>
        <v>20</v>
      </c>
      <c r="F15" s="267">
        <f t="shared" si="1"/>
        <v>60</v>
      </c>
    </row>
    <row r="16" spans="2:6" x14ac:dyDescent="0.15">
      <c r="B16" s="261" t="s">
        <v>151</v>
      </c>
      <c r="C16" s="258" t="s">
        <v>153</v>
      </c>
      <c r="D16" s="260">
        <v>1</v>
      </c>
      <c r="E16" s="270">
        <f>0.045*1000</f>
        <v>45</v>
      </c>
      <c r="F16" s="267">
        <f t="shared" si="1"/>
        <v>45</v>
      </c>
    </row>
    <row r="17" spans="2:6" ht="20" thickBot="1" x14ac:dyDescent="0.2">
      <c r="B17" s="262"/>
      <c r="C17" s="268"/>
      <c r="D17" s="268"/>
      <c r="E17" s="268"/>
      <c r="F17" s="269">
        <f>SUM(F12:F16)</f>
        <v>187.3</v>
      </c>
    </row>
    <row r="18" spans="2:6" x14ac:dyDescent="0.15">
      <c r="F18" s="266"/>
    </row>
    <row r="19" spans="2:6" x14ac:dyDescent="0.15">
      <c r="F19" s="266"/>
    </row>
    <row r="20" spans="2:6" x14ac:dyDescent="0.15">
      <c r="F20" s="266"/>
    </row>
    <row r="21" spans="2:6" x14ac:dyDescent="0.15">
      <c r="B21" s="259" t="s">
        <v>173</v>
      </c>
      <c r="F21" s="266"/>
    </row>
    <row r="22" spans="2:6" ht="20" thickBot="1" x14ac:dyDescent="0.2">
      <c r="F22" s="266"/>
    </row>
    <row r="23" spans="2:6" x14ac:dyDescent="0.15">
      <c r="B23" s="272"/>
      <c r="C23" s="703" t="s">
        <v>72</v>
      </c>
      <c r="D23" s="704"/>
      <c r="F23" s="266"/>
    </row>
    <row r="24" spans="2:6" ht="38" customHeight="1" x14ac:dyDescent="0.15">
      <c r="B24" s="432"/>
      <c r="C24" s="271" t="s">
        <v>157</v>
      </c>
      <c r="D24" s="265" t="s">
        <v>158</v>
      </c>
      <c r="F24" s="266"/>
    </row>
    <row r="25" spans="2:6" x14ac:dyDescent="0.15">
      <c r="B25" s="261" t="s">
        <v>141</v>
      </c>
      <c r="C25" s="433">
        <v>30</v>
      </c>
      <c r="D25" s="296">
        <v>45000</v>
      </c>
      <c r="F25" s="266"/>
    </row>
    <row r="26" spans="2:6" x14ac:dyDescent="0.15">
      <c r="B26" s="261" t="s">
        <v>142</v>
      </c>
      <c r="C26" s="433">
        <v>15</v>
      </c>
      <c r="D26" s="296">
        <v>60000</v>
      </c>
      <c r="F26" s="266"/>
    </row>
    <row r="27" spans="2:6" x14ac:dyDescent="0.15">
      <c r="B27" s="261" t="s">
        <v>143</v>
      </c>
      <c r="C27" s="433">
        <v>15</v>
      </c>
      <c r="D27" s="296">
        <v>62800</v>
      </c>
      <c r="F27" s="266"/>
    </row>
    <row r="28" spans="2:6" x14ac:dyDescent="0.15">
      <c r="B28" s="261" t="s">
        <v>92</v>
      </c>
      <c r="C28" s="433">
        <v>30</v>
      </c>
      <c r="D28" s="296">
        <v>3500</v>
      </c>
      <c r="F28" s="266"/>
    </row>
    <row r="29" spans="2:6" x14ac:dyDescent="0.15">
      <c r="B29" s="261" t="s">
        <v>149</v>
      </c>
      <c r="C29" s="433">
        <v>30</v>
      </c>
      <c r="D29" s="296">
        <v>7777.78</v>
      </c>
      <c r="F29" s="266"/>
    </row>
    <row r="30" spans="2:6" x14ac:dyDescent="0.15">
      <c r="B30" s="261" t="s">
        <v>150</v>
      </c>
      <c r="C30" s="433">
        <v>30</v>
      </c>
      <c r="D30" s="296">
        <v>21000</v>
      </c>
      <c r="F30" s="266"/>
    </row>
    <row r="31" spans="2:6" ht="20" thickBot="1" x14ac:dyDescent="0.2">
      <c r="B31" s="262" t="s">
        <v>151</v>
      </c>
      <c r="C31" s="434">
        <v>30</v>
      </c>
      <c r="D31" s="297">
        <v>3500</v>
      </c>
      <c r="F31" s="266"/>
    </row>
    <row r="32" spans="2:6" x14ac:dyDescent="0.15">
      <c r="F32" s="266"/>
    </row>
    <row r="33" spans="2:6" x14ac:dyDescent="0.15">
      <c r="F33" s="266"/>
    </row>
    <row r="34" spans="2:6" x14ac:dyDescent="0.15">
      <c r="F34" s="266"/>
    </row>
    <row r="35" spans="2:6" x14ac:dyDescent="0.15">
      <c r="B35" s="259" t="s">
        <v>175</v>
      </c>
      <c r="F35" s="266"/>
    </row>
    <row r="36" spans="2:6" ht="20" thickBot="1" x14ac:dyDescent="0.2">
      <c r="F36" s="266"/>
    </row>
    <row r="37" spans="2:6" x14ac:dyDescent="0.15">
      <c r="B37" s="429"/>
      <c r="C37" s="274" t="s">
        <v>98</v>
      </c>
      <c r="E37" s="266"/>
    </row>
    <row r="38" spans="2:6" x14ac:dyDescent="0.15">
      <c r="B38" s="261" t="s">
        <v>141</v>
      </c>
      <c r="C38" s="430">
        <v>49000</v>
      </c>
      <c r="E38" s="266"/>
    </row>
    <row r="39" spans="2:6" x14ac:dyDescent="0.15">
      <c r="B39" s="261" t="s">
        <v>142</v>
      </c>
      <c r="C39" s="430">
        <v>60000</v>
      </c>
      <c r="E39" s="266"/>
    </row>
    <row r="40" spans="2:6" x14ac:dyDescent="0.15">
      <c r="B40" s="261" t="s">
        <v>143</v>
      </c>
      <c r="C40" s="430">
        <v>62800</v>
      </c>
      <c r="E40" s="266"/>
    </row>
    <row r="41" spans="2:6" x14ac:dyDescent="0.15">
      <c r="B41" s="261" t="s">
        <v>92</v>
      </c>
      <c r="C41" s="430">
        <v>3500</v>
      </c>
      <c r="E41" s="266"/>
    </row>
    <row r="42" spans="2:6" x14ac:dyDescent="0.15">
      <c r="B42" s="261" t="s">
        <v>149</v>
      </c>
      <c r="C42" s="430">
        <v>7000</v>
      </c>
      <c r="E42" s="266"/>
    </row>
    <row r="43" spans="2:6" x14ac:dyDescent="0.15">
      <c r="B43" s="261" t="s">
        <v>150</v>
      </c>
      <c r="C43" s="430">
        <v>21000</v>
      </c>
      <c r="E43" s="266"/>
    </row>
    <row r="44" spans="2:6" ht="20" thickBot="1" x14ac:dyDescent="0.2">
      <c r="B44" s="262" t="s">
        <v>151</v>
      </c>
      <c r="C44" s="431">
        <v>3500</v>
      </c>
      <c r="E44" s="266"/>
    </row>
    <row r="45" spans="2:6" x14ac:dyDescent="0.15">
      <c r="F45" s="266"/>
    </row>
    <row r="46" spans="2:6" x14ac:dyDescent="0.15">
      <c r="F46" s="266"/>
    </row>
    <row r="47" spans="2:6" x14ac:dyDescent="0.15">
      <c r="F47" s="266"/>
    </row>
    <row r="48" spans="2:6" x14ac:dyDescent="0.15">
      <c r="F48" s="266"/>
    </row>
  </sheetData>
  <mergeCells count="5">
    <mergeCell ref="C23:D23"/>
    <mergeCell ref="B3:B4"/>
    <mergeCell ref="C3:F3"/>
    <mergeCell ref="B10:B11"/>
    <mergeCell ref="C10:F10"/>
  </mergeCells>
  <pageMargins left="0.75" right="0.75" top="1" bottom="1" header="0.5" footer="0.5"/>
  <pageSetup paperSize="9" orientation="portrait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2">
    <pageSetUpPr fitToPage="1"/>
  </sheetPr>
  <dimension ref="B1:I48"/>
  <sheetViews>
    <sheetView showGridLines="0" zoomScale="140" zoomScaleNormal="140" workbookViewId="0">
      <selection activeCell="E16" sqref="E16"/>
    </sheetView>
  </sheetViews>
  <sheetFormatPr baseColWidth="10" defaultColWidth="9.1640625" defaultRowHeight="19" x14ac:dyDescent="0.15"/>
  <cols>
    <col min="1" max="1" width="9.1640625" style="259"/>
    <col min="2" max="2" width="29" style="259" bestFit="1" customWidth="1"/>
    <col min="3" max="3" width="20.6640625" style="259" customWidth="1"/>
    <col min="4" max="4" width="13.1640625" style="259" customWidth="1"/>
    <col min="5" max="5" width="12.33203125" style="259" bestFit="1" customWidth="1"/>
    <col min="6" max="6" width="11.5" style="259" customWidth="1"/>
    <col min="7" max="7" width="2.6640625" style="259" customWidth="1"/>
    <col min="8" max="8" width="9.1640625" style="259" customWidth="1"/>
    <col min="9" max="9" width="11.83203125" style="259" customWidth="1"/>
    <col min="10" max="10" width="2.6640625" style="259" customWidth="1"/>
    <col min="11" max="16384" width="9.1640625" style="259"/>
  </cols>
  <sheetData>
    <row r="1" spans="2:9" x14ac:dyDescent="0.15">
      <c r="B1" s="259" t="s">
        <v>166</v>
      </c>
    </row>
    <row r="2" spans="2:9" ht="20" thickBot="1" x14ac:dyDescent="0.2"/>
    <row r="3" spans="2:9" x14ac:dyDescent="0.15">
      <c r="B3" s="705" t="s">
        <v>144</v>
      </c>
      <c r="C3" s="710" t="s">
        <v>98</v>
      </c>
      <c r="D3" s="711"/>
      <c r="E3" s="711"/>
      <c r="F3" s="712"/>
    </row>
    <row r="4" spans="2:9" x14ac:dyDescent="0.15">
      <c r="B4" s="706"/>
      <c r="C4" s="263" t="s">
        <v>145</v>
      </c>
      <c r="D4" s="264" t="s">
        <v>146</v>
      </c>
      <c r="E4" s="264" t="s">
        <v>154</v>
      </c>
      <c r="F4" s="265" t="s">
        <v>155</v>
      </c>
      <c r="H4" s="258" t="s">
        <v>164</v>
      </c>
      <c r="I4" s="258" t="s">
        <v>165</v>
      </c>
    </row>
    <row r="5" spans="2:9" x14ac:dyDescent="0.15">
      <c r="B5" s="261" t="s">
        <v>141</v>
      </c>
      <c r="C5" s="258" t="s">
        <v>147</v>
      </c>
      <c r="D5" s="260">
        <v>0.75</v>
      </c>
      <c r="E5" s="270">
        <f>0.005*1000</f>
        <v>5</v>
      </c>
      <c r="F5" s="267">
        <f>E5*D5</f>
        <v>3.75</v>
      </c>
    </row>
    <row r="6" spans="2:9" x14ac:dyDescent="0.15">
      <c r="B6" s="261" t="s">
        <v>142</v>
      </c>
      <c r="C6" s="258" t="s">
        <v>147</v>
      </c>
      <c r="D6" s="260">
        <v>1</v>
      </c>
      <c r="E6" s="292">
        <f>'All. 4-5-6'!E6*(1+'Distinta base agg'!I6)</f>
        <v>74.999650000000003</v>
      </c>
      <c r="F6" s="267">
        <f t="shared" ref="F6:F7" si="0">E6*D6</f>
        <v>74.999650000000003</v>
      </c>
      <c r="I6" s="291">
        <v>-0.05</v>
      </c>
    </row>
    <row r="7" spans="2:9" x14ac:dyDescent="0.15">
      <c r="B7" s="261" t="s">
        <v>143</v>
      </c>
      <c r="C7" s="258" t="s">
        <v>147</v>
      </c>
      <c r="D7" s="260">
        <v>1</v>
      </c>
      <c r="E7" s="270">
        <f>0.03*1000</f>
        <v>30</v>
      </c>
      <c r="F7" s="267">
        <f t="shared" si="0"/>
        <v>30</v>
      </c>
    </row>
    <row r="8" spans="2:9" ht="20" thickBot="1" x14ac:dyDescent="0.2">
      <c r="B8" s="262"/>
      <c r="C8" s="268"/>
      <c r="D8" s="268"/>
      <c r="E8" s="268"/>
      <c r="F8" s="269">
        <f>SUM(F5:F7)</f>
        <v>108.74965</v>
      </c>
    </row>
    <row r="9" spans="2:9" ht="41" customHeight="1" thickBot="1" x14ac:dyDescent="0.2">
      <c r="C9" s="258"/>
      <c r="D9" s="258"/>
      <c r="E9" s="258"/>
      <c r="F9" s="258"/>
    </row>
    <row r="10" spans="2:9" x14ac:dyDescent="0.15">
      <c r="B10" s="705" t="s">
        <v>148</v>
      </c>
      <c r="C10" s="710" t="s">
        <v>98</v>
      </c>
      <c r="D10" s="711"/>
      <c r="E10" s="711"/>
      <c r="F10" s="712"/>
    </row>
    <row r="11" spans="2:9" x14ac:dyDescent="0.15">
      <c r="B11" s="706"/>
      <c r="C11" s="263" t="s">
        <v>145</v>
      </c>
      <c r="D11" s="264" t="s">
        <v>146</v>
      </c>
      <c r="E11" s="264" t="s">
        <v>154</v>
      </c>
      <c r="F11" s="265" t="s">
        <v>155</v>
      </c>
    </row>
    <row r="12" spans="2:9" x14ac:dyDescent="0.15">
      <c r="B12" s="261" t="s">
        <v>92</v>
      </c>
      <c r="C12" s="258" t="s">
        <v>147</v>
      </c>
      <c r="D12" s="260">
        <v>0.5</v>
      </c>
      <c r="E12" s="270">
        <f>0.05*1000</f>
        <v>50</v>
      </c>
      <c r="F12" s="267">
        <f>E12*D12</f>
        <v>25</v>
      </c>
    </row>
    <row r="13" spans="2:9" x14ac:dyDescent="0.15">
      <c r="B13" s="261" t="s">
        <v>149</v>
      </c>
      <c r="C13" s="258" t="s">
        <v>152</v>
      </c>
      <c r="D13" s="294">
        <f>ROUND('All. 4-5-6'!D13*(1+'Distinta base agg'!H13),0)</f>
        <v>2</v>
      </c>
      <c r="E13" s="270">
        <f>0.015*1000</f>
        <v>15</v>
      </c>
      <c r="F13" s="267">
        <f t="shared" ref="F13:F16" si="1">E13*D13</f>
        <v>30</v>
      </c>
      <c r="H13" s="291">
        <v>-0.1</v>
      </c>
    </row>
    <row r="14" spans="2:9" x14ac:dyDescent="0.15">
      <c r="B14" s="261" t="s">
        <v>143</v>
      </c>
      <c r="C14" s="258" t="s">
        <v>147</v>
      </c>
      <c r="D14" s="260">
        <v>0.8</v>
      </c>
      <c r="E14" s="270">
        <f>0.03*1000</f>
        <v>30</v>
      </c>
      <c r="F14" s="267">
        <f t="shared" si="1"/>
        <v>24</v>
      </c>
    </row>
    <row r="15" spans="2:9" x14ac:dyDescent="0.15">
      <c r="B15" s="261" t="s">
        <v>150</v>
      </c>
      <c r="C15" s="258" t="s">
        <v>153</v>
      </c>
      <c r="D15" s="260">
        <v>3</v>
      </c>
      <c r="E15" s="270">
        <f>0.02*1000</f>
        <v>20</v>
      </c>
      <c r="F15" s="267">
        <f t="shared" si="1"/>
        <v>60</v>
      </c>
    </row>
    <row r="16" spans="2:9" x14ac:dyDescent="0.15">
      <c r="B16" s="261" t="s">
        <v>151</v>
      </c>
      <c r="C16" s="258" t="s">
        <v>153</v>
      </c>
      <c r="D16" s="260">
        <v>1</v>
      </c>
      <c r="E16" s="292">
        <f>'All. 4-5-6'!E16+'Distinta base agg'!I16</f>
        <v>50</v>
      </c>
      <c r="F16" s="267">
        <f t="shared" si="1"/>
        <v>50</v>
      </c>
      <c r="I16" s="293">
        <v>5</v>
      </c>
    </row>
    <row r="17" spans="2:8" ht="20" thickBot="1" x14ac:dyDescent="0.2">
      <c r="B17" s="262"/>
      <c r="C17" s="268"/>
      <c r="D17" s="268"/>
      <c r="E17" s="268"/>
      <c r="F17" s="269">
        <f>SUM(F12:F16)</f>
        <v>189</v>
      </c>
    </row>
    <row r="18" spans="2:8" x14ac:dyDescent="0.15">
      <c r="F18" s="266"/>
    </row>
    <row r="19" spans="2:8" x14ac:dyDescent="0.15">
      <c r="F19" s="266"/>
    </row>
    <row r="20" spans="2:8" x14ac:dyDescent="0.15">
      <c r="F20" s="266"/>
    </row>
    <row r="21" spans="2:8" x14ac:dyDescent="0.15">
      <c r="B21" s="259" t="s">
        <v>156</v>
      </c>
      <c r="F21" s="266"/>
    </row>
    <row r="22" spans="2:8" ht="20" thickBot="1" x14ac:dyDescent="0.2">
      <c r="F22" s="266"/>
    </row>
    <row r="23" spans="2:8" x14ac:dyDescent="0.15">
      <c r="B23" s="272"/>
      <c r="C23" s="710" t="s">
        <v>98</v>
      </c>
      <c r="D23" s="712"/>
      <c r="F23" s="266"/>
    </row>
    <row r="24" spans="2:8" ht="38" customHeight="1" x14ac:dyDescent="0.15">
      <c r="B24" s="273"/>
      <c r="C24" s="271" t="s">
        <v>157</v>
      </c>
      <c r="D24" s="265" t="s">
        <v>158</v>
      </c>
      <c r="F24" s="266"/>
    </row>
    <row r="25" spans="2:8" x14ac:dyDescent="0.15">
      <c r="B25" s="261" t="s">
        <v>141</v>
      </c>
      <c r="C25" s="258">
        <v>30</v>
      </c>
      <c r="D25" s="289">
        <v>45000</v>
      </c>
      <c r="F25" s="266"/>
    </row>
    <row r="26" spans="2:8" x14ac:dyDescent="0.15">
      <c r="B26" s="261" t="s">
        <v>142</v>
      </c>
      <c r="C26" s="258">
        <v>15</v>
      </c>
      <c r="D26" s="289">
        <v>60000</v>
      </c>
      <c r="F26" s="266"/>
    </row>
    <row r="27" spans="2:8" x14ac:dyDescent="0.15">
      <c r="B27" s="261" t="s">
        <v>143</v>
      </c>
      <c r="C27" s="258">
        <v>15</v>
      </c>
      <c r="D27" s="289">
        <v>62800</v>
      </c>
      <c r="F27" s="266"/>
    </row>
    <row r="28" spans="2:8" x14ac:dyDescent="0.15">
      <c r="B28" s="261" t="s">
        <v>92</v>
      </c>
      <c r="C28" s="258">
        <v>30</v>
      </c>
      <c r="D28" s="289">
        <v>3500</v>
      </c>
      <c r="F28" s="266"/>
    </row>
    <row r="29" spans="2:8" x14ac:dyDescent="0.15">
      <c r="B29" s="261" t="s">
        <v>149</v>
      </c>
      <c r="C29" s="258">
        <v>30</v>
      </c>
      <c r="D29" s="298">
        <f>'All. 4-5-6'!D29*(1+'Distinta base agg'!H29)</f>
        <v>7000.0019999999995</v>
      </c>
      <c r="F29" s="266"/>
      <c r="H29" s="291">
        <v>-0.1</v>
      </c>
    </row>
    <row r="30" spans="2:8" x14ac:dyDescent="0.15">
      <c r="B30" s="261" t="s">
        <v>150</v>
      </c>
      <c r="C30" s="258">
        <v>30</v>
      </c>
      <c r="D30" s="289">
        <v>21000</v>
      </c>
      <c r="F30" s="266"/>
    </row>
    <row r="31" spans="2:8" ht="20" thickBot="1" x14ac:dyDescent="0.2">
      <c r="B31" s="262" t="s">
        <v>151</v>
      </c>
      <c r="C31" s="268">
        <v>30</v>
      </c>
      <c r="D31" s="290">
        <v>3500</v>
      </c>
      <c r="F31" s="266"/>
    </row>
    <row r="32" spans="2:8" x14ac:dyDescent="0.15">
      <c r="F32" s="266"/>
    </row>
    <row r="33" spans="2:6" x14ac:dyDescent="0.15">
      <c r="F33" s="266"/>
    </row>
    <row r="34" spans="2:6" x14ac:dyDescent="0.15">
      <c r="F34" s="266"/>
    </row>
    <row r="35" spans="2:6" x14ac:dyDescent="0.15">
      <c r="B35" s="259" t="s">
        <v>159</v>
      </c>
      <c r="F35" s="266"/>
    </row>
    <row r="36" spans="2:6" ht="20" thickBot="1" x14ac:dyDescent="0.2">
      <c r="F36" s="266"/>
    </row>
    <row r="37" spans="2:6" x14ac:dyDescent="0.15">
      <c r="B37" s="272"/>
      <c r="C37" s="295" t="s">
        <v>98</v>
      </c>
      <c r="E37" s="266"/>
    </row>
    <row r="38" spans="2:6" x14ac:dyDescent="0.15">
      <c r="B38" s="261" t="s">
        <v>141</v>
      </c>
      <c r="C38" s="289">
        <v>49000</v>
      </c>
      <c r="E38" s="266"/>
    </row>
    <row r="39" spans="2:6" x14ac:dyDescent="0.15">
      <c r="B39" s="261" t="s">
        <v>142</v>
      </c>
      <c r="C39" s="289">
        <v>60000</v>
      </c>
      <c r="E39" s="266"/>
    </row>
    <row r="40" spans="2:6" x14ac:dyDescent="0.15">
      <c r="B40" s="261" t="s">
        <v>143</v>
      </c>
      <c r="C40" s="289">
        <v>62800</v>
      </c>
      <c r="E40" s="266"/>
    </row>
    <row r="41" spans="2:6" x14ac:dyDescent="0.15">
      <c r="B41" s="261" t="s">
        <v>92</v>
      </c>
      <c r="C41" s="289">
        <v>3500</v>
      </c>
      <c r="E41" s="266"/>
    </row>
    <row r="42" spans="2:6" x14ac:dyDescent="0.15">
      <c r="B42" s="261" t="s">
        <v>149</v>
      </c>
      <c r="C42" s="289">
        <v>7000</v>
      </c>
      <c r="E42" s="266"/>
    </row>
    <row r="43" spans="2:6" x14ac:dyDescent="0.15">
      <c r="B43" s="261" t="s">
        <v>150</v>
      </c>
      <c r="C43" s="289">
        <v>21000</v>
      </c>
      <c r="E43" s="266"/>
    </row>
    <row r="44" spans="2:6" ht="20" thickBot="1" x14ac:dyDescent="0.2">
      <c r="B44" s="262" t="s">
        <v>151</v>
      </c>
      <c r="C44" s="290">
        <v>3500</v>
      </c>
      <c r="E44" s="266"/>
    </row>
    <row r="45" spans="2:6" x14ac:dyDescent="0.15">
      <c r="F45" s="266"/>
    </row>
    <row r="46" spans="2:6" x14ac:dyDescent="0.15">
      <c r="F46" s="266"/>
    </row>
    <row r="47" spans="2:6" x14ac:dyDescent="0.15">
      <c r="F47" s="266"/>
    </row>
    <row r="48" spans="2:6" x14ac:dyDescent="0.15">
      <c r="F48" s="266"/>
    </row>
  </sheetData>
  <mergeCells count="5">
    <mergeCell ref="C3:F3"/>
    <mergeCell ref="B3:B4"/>
    <mergeCell ref="B10:B11"/>
    <mergeCell ref="C10:F10"/>
    <mergeCell ref="C23:D23"/>
  </mergeCells>
  <phoneticPr fontId="4" type="noConversion"/>
  <pageMargins left="0.75" right="0.75" top="1" bottom="1" header="0.5" footer="0.5"/>
  <pageSetup paperSize="9" scale="67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31A5-BAFB-DE47-BE8E-D3BC4B9059E2}">
  <dimension ref="B1:P52"/>
  <sheetViews>
    <sheetView showGridLines="0" zoomScale="150" workbookViewId="0">
      <pane xSplit="2" ySplit="3" topLeftCell="C29" activePane="bottomRight" state="frozen"/>
      <selection pane="topRight" activeCell="C1" sqref="C1"/>
      <selection pane="bottomLeft" activeCell="A4" sqref="A4"/>
      <selection pane="bottomRight" activeCell="H49" sqref="H49"/>
    </sheetView>
  </sheetViews>
  <sheetFormatPr baseColWidth="10" defaultRowHeight="13" x14ac:dyDescent="0.15"/>
  <cols>
    <col min="2" max="2" width="37.33203125" customWidth="1"/>
    <col min="3" max="15" width="16.5" customWidth="1"/>
  </cols>
  <sheetData>
    <row r="1" spans="2:15" ht="14" thickBot="1" x14ac:dyDescent="0.2"/>
    <row r="2" spans="2:15" ht="16" x14ac:dyDescent="0.15">
      <c r="B2" s="229"/>
      <c r="C2" s="695" t="s">
        <v>98</v>
      </c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713"/>
    </row>
    <row r="3" spans="2:15" ht="16" x14ac:dyDescent="0.15">
      <c r="B3" s="238"/>
      <c r="C3" s="236" t="s">
        <v>113</v>
      </c>
      <c r="D3" s="236" t="s">
        <v>114</v>
      </c>
      <c r="E3" s="236" t="s">
        <v>115</v>
      </c>
      <c r="F3" s="236" t="s">
        <v>116</v>
      </c>
      <c r="G3" s="236" t="s">
        <v>117</v>
      </c>
      <c r="H3" s="560" t="s">
        <v>118</v>
      </c>
      <c r="I3" s="236" t="s">
        <v>119</v>
      </c>
      <c r="J3" s="236" t="s">
        <v>120</v>
      </c>
      <c r="K3" s="236" t="s">
        <v>121</v>
      </c>
      <c r="L3" s="236" t="s">
        <v>122</v>
      </c>
      <c r="M3" s="236" t="s">
        <v>123</v>
      </c>
      <c r="N3" s="236" t="s">
        <v>124</v>
      </c>
      <c r="O3" s="241" t="s">
        <v>81</v>
      </c>
    </row>
    <row r="4" spans="2:15" ht="16" x14ac:dyDescent="0.15">
      <c r="B4" s="275"/>
      <c r="C4" s="106"/>
      <c r="D4" s="106"/>
      <c r="E4" s="106"/>
      <c r="F4" s="106"/>
      <c r="G4" s="106"/>
      <c r="H4" s="561"/>
      <c r="I4" s="106"/>
      <c r="J4" s="106"/>
      <c r="K4" s="106"/>
      <c r="L4" s="106"/>
      <c r="M4" s="106"/>
      <c r="N4" s="106"/>
      <c r="O4" s="237"/>
    </row>
    <row r="5" spans="2:15" ht="16" x14ac:dyDescent="0.15">
      <c r="B5" s="549" t="s">
        <v>758</v>
      </c>
      <c r="C5" s="276">
        <f>'Tab 4 v2'!C15</f>
        <v>53085.140425531914</v>
      </c>
      <c r="D5" s="276">
        <f>'Tab 4 v2'!D15</f>
        <v>60115.491160451427</v>
      </c>
      <c r="E5" s="276">
        <f>'Tab 4 v2'!E15</f>
        <v>67407.192253488931</v>
      </c>
      <c r="F5" s="276">
        <f>'Tab 4 v2'!F15</f>
        <v>61932.663829787234</v>
      </c>
      <c r="G5" s="276">
        <f>'Tab 4 v2'!G15</f>
        <v>61932.663829787227</v>
      </c>
      <c r="H5" s="562">
        <f>'Tab 4 v2'!H15</f>
        <v>64881.83829787228</v>
      </c>
      <c r="I5" s="276">
        <f>'Tab 4 v2'!I15</f>
        <v>57041.838297872338</v>
      </c>
      <c r="J5" s="276">
        <f>'Tab 4 v2'!J15</f>
        <v>35390.093617021274</v>
      </c>
      <c r="K5" s="276">
        <f>'Tab 4 v2'!K15</f>
        <v>61002.600772020145</v>
      </c>
      <c r="L5" s="276">
        <f>'Tab 4 v2'!L15</f>
        <v>53809.840677835746</v>
      </c>
      <c r="M5" s="276">
        <f>'Tab 4 v2'!M15</f>
        <v>61932.663829787227</v>
      </c>
      <c r="N5" s="276">
        <f>'Tab 4 v2'!N15</f>
        <v>27550.093617021277</v>
      </c>
      <c r="O5" s="442">
        <f>SUM(C5:N5)</f>
        <v>666082.12060847704</v>
      </c>
    </row>
    <row r="6" spans="2:15" ht="16" x14ac:dyDescent="0.15">
      <c r="B6" s="141"/>
      <c r="C6" s="106"/>
      <c r="D6" s="106"/>
      <c r="E6" s="106"/>
      <c r="F6" s="106"/>
      <c r="G6" s="106"/>
      <c r="H6" s="561"/>
      <c r="I6" s="106"/>
      <c r="J6" s="106"/>
      <c r="K6" s="106"/>
      <c r="L6" s="106"/>
      <c r="M6" s="106"/>
      <c r="N6" s="106"/>
      <c r="O6" s="237"/>
    </row>
    <row r="7" spans="2:15" ht="16" x14ac:dyDescent="0.15">
      <c r="B7" s="239" t="s">
        <v>759</v>
      </c>
      <c r="C7" s="231">
        <f>'Distinta base agg'!$D5*Tab.7!C$5</f>
        <v>39813.855319148934</v>
      </c>
      <c r="D7" s="231">
        <f>'Distinta base agg'!$D5*Tab.7!D$5</f>
        <v>45086.618370338569</v>
      </c>
      <c r="E7" s="231">
        <f>'Distinta base agg'!$D5*Tab.7!E$5</f>
        <v>50555.394190116698</v>
      </c>
      <c r="F7" s="231">
        <f>'Distinta base agg'!$D5*Tab.7!F$5</f>
        <v>46449.497872340427</v>
      </c>
      <c r="G7" s="231">
        <f>'Distinta base agg'!$D5*Tab.7!G$5</f>
        <v>46449.49787234042</v>
      </c>
      <c r="H7" s="563">
        <f>'Distinta base agg'!$D5*Tab.7!H$5</f>
        <v>48661.37872340421</v>
      </c>
      <c r="I7" s="231">
        <f>'Distinta base agg'!$D5*Tab.7!I$5</f>
        <v>42781.378723404254</v>
      </c>
      <c r="J7" s="231">
        <f>'Distinta base agg'!$D5*Tab.7!J$5</f>
        <v>26542.570212765953</v>
      </c>
      <c r="K7" s="231">
        <f>'Distinta base agg'!$D5*Tab.7!K$5</f>
        <v>45751.950579015109</v>
      </c>
      <c r="L7" s="231">
        <f>'Distinta base agg'!$D5*Tab.7!L$5</f>
        <v>40357.380508376809</v>
      </c>
      <c r="M7" s="231">
        <f>'Distinta base agg'!$D5*Tab.7!M$5</f>
        <v>46449.49787234042</v>
      </c>
      <c r="N7" s="231">
        <f>'Distinta base agg'!$D5*Tab.7!N$5</f>
        <v>20662.570212765957</v>
      </c>
      <c r="O7" s="158">
        <f>SUM(C7:N7)</f>
        <v>499561.59045635775</v>
      </c>
    </row>
    <row r="8" spans="2:15" ht="16" x14ac:dyDescent="0.15">
      <c r="B8" s="239" t="s">
        <v>760</v>
      </c>
      <c r="C8" s="231">
        <f>'Distinta base agg'!$D6*Tab.7!C$5</f>
        <v>53085.140425531914</v>
      </c>
      <c r="D8" s="231">
        <f>'Distinta base agg'!$D6*Tab.7!D$5</f>
        <v>60115.491160451427</v>
      </c>
      <c r="E8" s="231">
        <f>'Distinta base agg'!$D6*Tab.7!E$5</f>
        <v>67407.192253488931</v>
      </c>
      <c r="F8" s="231">
        <f>'Distinta base agg'!$D6*Tab.7!F$5</f>
        <v>61932.663829787234</v>
      </c>
      <c r="G8" s="231">
        <f>'Distinta base agg'!$D6*Tab.7!G$5</f>
        <v>61932.663829787227</v>
      </c>
      <c r="H8" s="563">
        <f>'Distinta base agg'!$D6*Tab.7!H$5</f>
        <v>64881.83829787228</v>
      </c>
      <c r="I8" s="231">
        <f>'Distinta base agg'!$D6*Tab.7!I$5</f>
        <v>57041.838297872338</v>
      </c>
      <c r="J8" s="231">
        <f>'Distinta base agg'!$D6*Tab.7!J$5</f>
        <v>35390.093617021274</v>
      </c>
      <c r="K8" s="231">
        <f>'Distinta base agg'!$D6*Tab.7!K$5</f>
        <v>61002.600772020145</v>
      </c>
      <c r="L8" s="231">
        <f>'Distinta base agg'!$D6*Tab.7!L$5</f>
        <v>53809.840677835746</v>
      </c>
      <c r="M8" s="231">
        <f>'Distinta base agg'!$D6*Tab.7!M$5</f>
        <v>61932.663829787227</v>
      </c>
      <c r="N8" s="231">
        <f>'Distinta base agg'!$D6*Tab.7!N$5</f>
        <v>27550.093617021277</v>
      </c>
      <c r="O8" s="158">
        <f t="shared" ref="O8:O13" si="0">SUM(C8:N8)</f>
        <v>666082.12060847704</v>
      </c>
    </row>
    <row r="9" spans="2:15" ht="16" x14ac:dyDescent="0.15">
      <c r="B9" s="239" t="s">
        <v>761</v>
      </c>
      <c r="C9" s="231">
        <f>'Distinta base agg'!$D7*Tab.7!C$5</f>
        <v>53085.140425531914</v>
      </c>
      <c r="D9" s="231">
        <f>'Distinta base agg'!$D7*Tab.7!D$5</f>
        <v>60115.491160451427</v>
      </c>
      <c r="E9" s="231">
        <f>'Distinta base agg'!$D7*Tab.7!E$5</f>
        <v>67407.192253488931</v>
      </c>
      <c r="F9" s="231">
        <f>'Distinta base agg'!$D7*Tab.7!F$5</f>
        <v>61932.663829787234</v>
      </c>
      <c r="G9" s="231">
        <f>'Distinta base agg'!$D7*Tab.7!G$5</f>
        <v>61932.663829787227</v>
      </c>
      <c r="H9" s="563">
        <f>'Distinta base agg'!$D7*Tab.7!H$5</f>
        <v>64881.83829787228</v>
      </c>
      <c r="I9" s="231">
        <f>'Distinta base agg'!$D7*Tab.7!I$5</f>
        <v>57041.838297872338</v>
      </c>
      <c r="J9" s="231">
        <f>'Distinta base agg'!$D7*Tab.7!J$5</f>
        <v>35390.093617021274</v>
      </c>
      <c r="K9" s="231">
        <f>'Distinta base agg'!$D7*Tab.7!K$5</f>
        <v>61002.600772020145</v>
      </c>
      <c r="L9" s="231">
        <f>'Distinta base agg'!$D7*Tab.7!L$5</f>
        <v>53809.840677835746</v>
      </c>
      <c r="M9" s="231">
        <f>'Distinta base agg'!$D7*Tab.7!M$5</f>
        <v>61932.663829787227</v>
      </c>
      <c r="N9" s="231">
        <f>'Distinta base agg'!$D7*Tab.7!N$5</f>
        <v>27550.093617021277</v>
      </c>
      <c r="O9" s="158">
        <f t="shared" si="0"/>
        <v>666082.12060847704</v>
      </c>
    </row>
    <row r="10" spans="2:15" ht="16" x14ac:dyDescent="0.15">
      <c r="B10" s="239"/>
      <c r="H10" s="512"/>
      <c r="O10" s="158">
        <f t="shared" si="0"/>
        <v>0</v>
      </c>
    </row>
    <row r="11" spans="2:15" ht="16" x14ac:dyDescent="0.15">
      <c r="B11" s="239" t="s">
        <v>762</v>
      </c>
      <c r="C11" s="301">
        <f>C7*'Distinta base agg'!$E5</f>
        <v>199069.27659574465</v>
      </c>
      <c r="D11" s="301">
        <f>D7*'Distinta base agg'!$E5</f>
        <v>225433.09185169285</v>
      </c>
      <c r="E11" s="301">
        <f>E7*'Distinta base agg'!$E5</f>
        <v>252776.97095058349</v>
      </c>
      <c r="F11" s="301">
        <f>F7*'Distinta base agg'!$E5</f>
        <v>232247.48936170214</v>
      </c>
      <c r="G11" s="301">
        <f>G7*'Distinta base agg'!$E5</f>
        <v>232247.48936170212</v>
      </c>
      <c r="H11" s="564">
        <f>H7*'Distinta base agg'!$E5</f>
        <v>243306.89361702104</v>
      </c>
      <c r="I11" s="301">
        <f>I7*'Distinta base agg'!$E5</f>
        <v>213906.89361702127</v>
      </c>
      <c r="J11" s="301">
        <f>J7*'Distinta base agg'!$E5</f>
        <v>132712.85106382976</v>
      </c>
      <c r="K11" s="301">
        <f>K7*'Distinta base agg'!$E5</f>
        <v>228759.75289507554</v>
      </c>
      <c r="L11" s="301">
        <f>L7*'Distinta base agg'!$E5</f>
        <v>201786.90254188405</v>
      </c>
      <c r="M11" s="301">
        <f>M7*'Distinta base agg'!$E5</f>
        <v>232247.48936170212</v>
      </c>
      <c r="N11" s="301">
        <f>N7*'Distinta base agg'!$E5</f>
        <v>103312.85106382979</v>
      </c>
      <c r="O11" s="162">
        <f t="shared" si="0"/>
        <v>2497807.9522817889</v>
      </c>
    </row>
    <row r="12" spans="2:15" ht="16" x14ac:dyDescent="0.15">
      <c r="B12" s="239" t="s">
        <v>763</v>
      </c>
      <c r="C12" s="301">
        <f>C8*'Distinta base agg'!$E6</f>
        <v>3981366.9521157448</v>
      </c>
      <c r="D12" s="301">
        <f>D8*'Distinta base agg'!$E6</f>
        <v>4508640.7966119507</v>
      </c>
      <c r="E12" s="301">
        <f>E8*'Distinta base agg'!$E6</f>
        <v>5055515.8264943808</v>
      </c>
      <c r="F12" s="301">
        <f>F8*'Distinta base agg'!$E6</f>
        <v>4644928.1108017024</v>
      </c>
      <c r="G12" s="301">
        <f>G8*'Distinta base agg'!$E6</f>
        <v>4644928.1108017014</v>
      </c>
      <c r="H12" s="564">
        <f>H8*'Distinta base agg'!$E6</f>
        <v>4866115.1636970174</v>
      </c>
      <c r="I12" s="301">
        <f>I8*'Distinta base agg'!$E6</f>
        <v>4278117.907697021</v>
      </c>
      <c r="J12" s="301">
        <f>J8*'Distinta base agg'!$E6</f>
        <v>2654244.6347438297</v>
      </c>
      <c r="K12" s="301">
        <f>K8*'Distinta base agg'!$E6</f>
        <v>4575173.7069912404</v>
      </c>
      <c r="L12" s="301">
        <f>L8*'Distinta base agg'!$E6</f>
        <v>4035719.2173934439</v>
      </c>
      <c r="M12" s="301">
        <f>M8*'Distinta base agg'!$E6</f>
        <v>4644928.1108017014</v>
      </c>
      <c r="N12" s="301">
        <f>N8*'Distinta base agg'!$E6</f>
        <v>2066247.3787438299</v>
      </c>
      <c r="O12" s="162">
        <f t="shared" si="0"/>
        <v>49955925.916893564</v>
      </c>
    </row>
    <row r="13" spans="2:15" ht="16" x14ac:dyDescent="0.15">
      <c r="B13" s="239" t="s">
        <v>764</v>
      </c>
      <c r="C13" s="301">
        <f>C9*'Distinta base agg'!$E7</f>
        <v>1592554.2127659575</v>
      </c>
      <c r="D13" s="301">
        <f>D9*'Distinta base agg'!$E7</f>
        <v>1803464.7348135428</v>
      </c>
      <c r="E13" s="301">
        <f>E9*'Distinta base agg'!$E7</f>
        <v>2022215.7676046679</v>
      </c>
      <c r="F13" s="301">
        <f>F9*'Distinta base agg'!$E7</f>
        <v>1857979.9148936169</v>
      </c>
      <c r="G13" s="301">
        <f>G9*'Distinta base agg'!$E7</f>
        <v>1857979.9148936169</v>
      </c>
      <c r="H13" s="564">
        <f>H9*'Distinta base agg'!$E7</f>
        <v>1946455.1489361683</v>
      </c>
      <c r="I13" s="301">
        <f>I9*'Distinta base agg'!$E7</f>
        <v>1711255.1489361702</v>
      </c>
      <c r="J13" s="301">
        <f>J9*'Distinta base agg'!$E7</f>
        <v>1061702.8085106383</v>
      </c>
      <c r="K13" s="301">
        <f>K9*'Distinta base agg'!$E7</f>
        <v>1830078.0231606043</v>
      </c>
      <c r="L13" s="301">
        <f>L9*'Distinta base agg'!$E7</f>
        <v>1614295.2203350724</v>
      </c>
      <c r="M13" s="301">
        <f>M9*'Distinta base agg'!$E7</f>
        <v>1857979.9148936169</v>
      </c>
      <c r="N13" s="301">
        <f>N9*'Distinta base agg'!$E7</f>
        <v>826502.80851063831</v>
      </c>
      <c r="O13" s="162">
        <f t="shared" si="0"/>
        <v>19982463.618254311</v>
      </c>
    </row>
    <row r="14" spans="2:15" ht="17" thickBot="1" x14ac:dyDescent="0.2">
      <c r="B14" s="551" t="s">
        <v>777</v>
      </c>
      <c r="C14" s="552">
        <f>SUM(C11:C13)</f>
        <v>5772990.4414774468</v>
      </c>
      <c r="D14" s="552">
        <f>SUM(D11:D13)</f>
        <v>6537538.6232771864</v>
      </c>
      <c r="E14" s="552">
        <f t="shared" ref="E14:O14" si="1">SUM(E11:E13)</f>
        <v>7330508.5650496325</v>
      </c>
      <c r="F14" s="552">
        <f t="shared" si="1"/>
        <v>6735155.5150570218</v>
      </c>
      <c r="G14" s="552">
        <f t="shared" si="1"/>
        <v>6735155.5150570208</v>
      </c>
      <c r="H14" s="565">
        <f t="shared" si="1"/>
        <v>7055877.2062502066</v>
      </c>
      <c r="I14" s="552">
        <f t="shared" si="1"/>
        <v>6203279.9502502121</v>
      </c>
      <c r="J14" s="552">
        <f t="shared" si="1"/>
        <v>3848660.2943182979</v>
      </c>
      <c r="K14" s="552">
        <f t="shared" si="1"/>
        <v>6634011.483046921</v>
      </c>
      <c r="L14" s="552">
        <f t="shared" si="1"/>
        <v>5851801.3402704</v>
      </c>
      <c r="M14" s="552">
        <f t="shared" si="1"/>
        <v>6735155.5150570208</v>
      </c>
      <c r="N14" s="552">
        <f t="shared" si="1"/>
        <v>2996063.0383182978</v>
      </c>
      <c r="O14" s="553">
        <f t="shared" si="1"/>
        <v>72436197.487429664</v>
      </c>
    </row>
    <row r="15" spans="2:15" ht="14" thickBot="1" x14ac:dyDescent="0.2"/>
    <row r="16" spans="2:15" ht="17" thickBot="1" x14ac:dyDescent="0.2">
      <c r="B16" s="554" t="s">
        <v>765</v>
      </c>
      <c r="C16" s="555">
        <f>C14/C5</f>
        <v>108.74965</v>
      </c>
      <c r="D16" s="555">
        <f t="shared" ref="D16:O16" si="2">D14/D5</f>
        <v>108.74965</v>
      </c>
      <c r="E16" s="555">
        <f t="shared" si="2"/>
        <v>108.74965</v>
      </c>
      <c r="F16" s="555">
        <f t="shared" si="2"/>
        <v>108.74965</v>
      </c>
      <c r="G16" s="555">
        <f t="shared" si="2"/>
        <v>108.74965</v>
      </c>
      <c r="H16" s="566">
        <f t="shared" si="2"/>
        <v>108.74965</v>
      </c>
      <c r="I16" s="555">
        <f t="shared" si="2"/>
        <v>108.74964999999999</v>
      </c>
      <c r="J16" s="555">
        <f t="shared" si="2"/>
        <v>108.74965</v>
      </c>
      <c r="K16" s="555">
        <f t="shared" si="2"/>
        <v>108.74965</v>
      </c>
      <c r="L16" s="555">
        <f t="shared" si="2"/>
        <v>108.74965</v>
      </c>
      <c r="M16" s="555">
        <f t="shared" si="2"/>
        <v>108.74965</v>
      </c>
      <c r="N16" s="555">
        <f t="shared" si="2"/>
        <v>108.74965</v>
      </c>
      <c r="O16" s="556">
        <f t="shared" si="2"/>
        <v>108.74965</v>
      </c>
    </row>
    <row r="18" spans="2:15" ht="14" thickBot="1" x14ac:dyDescent="0.2"/>
    <row r="19" spans="2:15" ht="16" x14ac:dyDescent="0.15">
      <c r="B19" s="229"/>
      <c r="C19" s="695" t="s">
        <v>98</v>
      </c>
      <c r="D19" s="653"/>
      <c r="E19" s="653"/>
      <c r="F19" s="653"/>
      <c r="G19" s="653"/>
      <c r="H19" s="653"/>
      <c r="I19" s="653"/>
      <c r="J19" s="653"/>
      <c r="K19" s="653"/>
      <c r="L19" s="653"/>
      <c r="M19" s="653"/>
      <c r="N19" s="653"/>
      <c r="O19" s="654"/>
    </row>
    <row r="20" spans="2:15" ht="16" x14ac:dyDescent="0.15">
      <c r="B20" s="238"/>
      <c r="C20" s="236" t="s">
        <v>113</v>
      </c>
      <c r="D20" s="236" t="s">
        <v>114</v>
      </c>
      <c r="E20" s="236" t="s">
        <v>115</v>
      </c>
      <c r="F20" s="236" t="s">
        <v>116</v>
      </c>
      <c r="G20" s="236" t="s">
        <v>117</v>
      </c>
      <c r="H20" s="560" t="s">
        <v>118</v>
      </c>
      <c r="I20" s="236" t="s">
        <v>119</v>
      </c>
      <c r="J20" s="236" t="s">
        <v>120</v>
      </c>
      <c r="K20" s="236" t="s">
        <v>121</v>
      </c>
      <c r="L20" s="236" t="s">
        <v>122</v>
      </c>
      <c r="M20" s="236" t="s">
        <v>123</v>
      </c>
      <c r="N20" s="236" t="s">
        <v>124</v>
      </c>
      <c r="O20" s="241" t="s">
        <v>81</v>
      </c>
    </row>
    <row r="21" spans="2:15" ht="16" x14ac:dyDescent="0.15">
      <c r="B21" s="275"/>
      <c r="C21" s="106"/>
      <c r="D21" s="106"/>
      <c r="E21" s="106"/>
      <c r="F21" s="106"/>
      <c r="G21" s="106"/>
      <c r="H21" s="561"/>
      <c r="I21" s="106"/>
      <c r="J21" s="106"/>
      <c r="K21" s="106"/>
      <c r="L21" s="106"/>
      <c r="M21" s="106"/>
      <c r="N21" s="106"/>
      <c r="O21" s="237"/>
    </row>
    <row r="22" spans="2:15" ht="16" x14ac:dyDescent="0.15">
      <c r="B22" s="549" t="s">
        <v>766</v>
      </c>
      <c r="C22" s="276">
        <f>'Tab 4 v2'!C28</f>
        <v>3608.3732687165466</v>
      </c>
      <c r="D22" s="276">
        <f>'Tab 4 v2'!D28</f>
        <v>3741.1687639396141</v>
      </c>
      <c r="E22" s="276">
        <f>'Tab 4 v2'!E28</f>
        <v>3919.3196574605463</v>
      </c>
      <c r="F22" s="276">
        <f>'Tab 4 v2'!F28</f>
        <v>3919.3196574605317</v>
      </c>
      <c r="G22" s="276">
        <f>'Tab 4 v2'!G28</f>
        <v>2503.4253543994564</v>
      </c>
      <c r="H22" s="562">
        <f>'Tab 4 v2'!H28</f>
        <v>4551.6595744680817</v>
      </c>
      <c r="I22" s="276">
        <f>'Tab 4 v2'!I28</f>
        <v>4001.6595744680844</v>
      </c>
      <c r="J22" s="276">
        <f>'Tab 4 v2'!J28</f>
        <v>2482.7234042553191</v>
      </c>
      <c r="K22" s="276">
        <f>'Tab 4 v2'!K28</f>
        <v>3008.4665511662315</v>
      </c>
      <c r="L22" s="276">
        <f>'Tab 4 v2'!L28</f>
        <v>4344.765957446808</v>
      </c>
      <c r="M22" s="276">
        <f>'Tab 4 v2'!M28</f>
        <v>4344.765957446808</v>
      </c>
      <c r="N22" s="276">
        <f>'Tab 4 v2'!N28</f>
        <v>1932.7234042553191</v>
      </c>
      <c r="O22" s="442">
        <f>SUM(C22:N22)</f>
        <v>42358.37112548334</v>
      </c>
    </row>
    <row r="23" spans="2:15" ht="16" x14ac:dyDescent="0.15">
      <c r="B23" s="141"/>
      <c r="C23" s="106"/>
      <c r="D23" s="106"/>
      <c r="E23" s="106"/>
      <c r="F23" s="106"/>
      <c r="G23" s="106"/>
      <c r="H23" s="561"/>
      <c r="I23" s="106"/>
      <c r="J23" s="106"/>
      <c r="K23" s="106"/>
      <c r="L23" s="106"/>
      <c r="M23" s="106"/>
      <c r="N23" s="106"/>
      <c r="O23" s="237"/>
    </row>
    <row r="24" spans="2:15" ht="16" x14ac:dyDescent="0.15">
      <c r="B24" s="239" t="s">
        <v>767</v>
      </c>
      <c r="C24" s="231">
        <f>'Distinta base agg'!$D12*Tab.7!C$22</f>
        <v>1804.1866343582733</v>
      </c>
      <c r="D24" s="231">
        <f>'Distinta base agg'!$D12*Tab.7!D$22</f>
        <v>1870.5843819698071</v>
      </c>
      <c r="E24" s="231">
        <f>'Distinta base agg'!$D12*Tab.7!E$22</f>
        <v>1959.6598287302731</v>
      </c>
      <c r="F24" s="231">
        <f>'Distinta base agg'!$D12*Tab.7!F$22</f>
        <v>1959.6598287302659</v>
      </c>
      <c r="G24" s="231">
        <f>'Distinta base agg'!$D12*Tab.7!G$22</f>
        <v>1251.7126771997282</v>
      </c>
      <c r="H24" s="563">
        <f>'Distinta base agg'!$D12*Tab.7!H$22</f>
        <v>2275.8297872340409</v>
      </c>
      <c r="I24" s="231">
        <f>'Distinta base agg'!$D12*Tab.7!I$22</f>
        <v>2000.8297872340422</v>
      </c>
      <c r="J24" s="231">
        <f>'Distinta base agg'!$D12*Tab.7!J$22</f>
        <v>1241.3617021276596</v>
      </c>
      <c r="K24" s="231">
        <f>'Distinta base agg'!$D12*Tab.7!K$22</f>
        <v>1504.2332755831158</v>
      </c>
      <c r="L24" s="231">
        <f>'Distinta base agg'!$D12*Tab.7!L$22</f>
        <v>2172.382978723404</v>
      </c>
      <c r="M24" s="231">
        <f>'Distinta base agg'!$D12*Tab.7!M$22</f>
        <v>2172.382978723404</v>
      </c>
      <c r="N24" s="231">
        <f>'Distinta base agg'!$D12*Tab.7!N$22</f>
        <v>966.36170212765956</v>
      </c>
      <c r="O24" s="158">
        <f>SUM(C24:N24)</f>
        <v>21179.18556274167</v>
      </c>
    </row>
    <row r="25" spans="2:15" ht="16" x14ac:dyDescent="0.15">
      <c r="B25" s="239" t="s">
        <v>768</v>
      </c>
      <c r="C25" s="231">
        <f>'Distinta base agg'!$D13*Tab.7!C$22</f>
        <v>7216.7465374330932</v>
      </c>
      <c r="D25" s="231">
        <f>'Distinta base agg'!$D13*Tab.7!D$22</f>
        <v>7482.3375278792282</v>
      </c>
      <c r="E25" s="231">
        <f>'Distinta base agg'!$D13*Tab.7!E$22</f>
        <v>7838.6393149210926</v>
      </c>
      <c r="F25" s="231">
        <f>'Distinta base agg'!$D13*Tab.7!F$22</f>
        <v>7838.6393149210635</v>
      </c>
      <c r="G25" s="231">
        <f>'Distinta base agg'!$D13*Tab.7!G$22</f>
        <v>5006.8507087989128</v>
      </c>
      <c r="H25" s="563">
        <f>'Distinta base agg'!$D13*Tab.7!H$22</f>
        <v>9103.3191489361634</v>
      </c>
      <c r="I25" s="231">
        <f>'Distinta base agg'!$D13*Tab.7!I$22</f>
        <v>8003.3191489361689</v>
      </c>
      <c r="J25" s="231">
        <f>'Distinta base agg'!$D13*Tab.7!J$22</f>
        <v>4965.4468085106382</v>
      </c>
      <c r="K25" s="231">
        <f>'Distinta base agg'!$D13*Tab.7!K$22</f>
        <v>6016.933102332463</v>
      </c>
      <c r="L25" s="231">
        <f>'Distinta base agg'!$D13*Tab.7!L$22</f>
        <v>8689.531914893616</v>
      </c>
      <c r="M25" s="231">
        <f>'Distinta base agg'!$D13*Tab.7!M$22</f>
        <v>8689.531914893616</v>
      </c>
      <c r="N25" s="231">
        <f>'Distinta base agg'!$D13*Tab.7!N$22</f>
        <v>3865.4468085106382</v>
      </c>
      <c r="O25" s="158">
        <f t="shared" ref="O25:O34" si="3">SUM(C25:N25)</f>
        <v>84716.742250966679</v>
      </c>
    </row>
    <row r="26" spans="2:15" ht="16" x14ac:dyDescent="0.15">
      <c r="B26" s="239" t="s">
        <v>761</v>
      </c>
      <c r="C26" s="231">
        <f>'Distinta base agg'!$D14*Tab.7!C$22</f>
        <v>2886.6986149732375</v>
      </c>
      <c r="D26" s="231">
        <f>'Distinta base agg'!$D14*Tab.7!D$22</f>
        <v>2992.9350111516915</v>
      </c>
      <c r="E26" s="231">
        <f>'Distinta base agg'!$D14*Tab.7!E$22</f>
        <v>3135.455725968437</v>
      </c>
      <c r="F26" s="231">
        <f>'Distinta base agg'!$D14*Tab.7!F$22</f>
        <v>3135.4557259684257</v>
      </c>
      <c r="G26" s="231">
        <f>'Distinta base agg'!$D14*Tab.7!G$22</f>
        <v>2002.7402835195653</v>
      </c>
      <c r="H26" s="563">
        <f>'Distinta base agg'!$D14*Tab.7!H$22</f>
        <v>3641.3276595744655</v>
      </c>
      <c r="I26" s="231">
        <f>'Distinta base agg'!$D14*Tab.7!I$22</f>
        <v>3201.3276595744678</v>
      </c>
      <c r="J26" s="231">
        <f>'Distinta base agg'!$D14*Tab.7!J$22</f>
        <v>1986.1787234042554</v>
      </c>
      <c r="K26" s="231">
        <f>'Distinta base agg'!$D14*Tab.7!K$22</f>
        <v>2406.7732409329851</v>
      </c>
      <c r="L26" s="231">
        <f>'Distinta base agg'!$D14*Tab.7!L$22</f>
        <v>3475.8127659574466</v>
      </c>
      <c r="M26" s="231">
        <f>'Distinta base agg'!$D14*Tab.7!M$22</f>
        <v>3475.8127659574466</v>
      </c>
      <c r="N26" s="231">
        <f>'Distinta base agg'!$D14*Tab.7!N$22</f>
        <v>1546.1787234042554</v>
      </c>
      <c r="O26" s="158">
        <f t="shared" si="3"/>
        <v>33886.696900386676</v>
      </c>
    </row>
    <row r="27" spans="2:15" ht="16" x14ac:dyDescent="0.15">
      <c r="B27" s="239" t="s">
        <v>769</v>
      </c>
      <c r="C27" s="231">
        <f>'Distinta base agg'!$D15*Tab.7!C$22</f>
        <v>10825.11980614964</v>
      </c>
      <c r="D27" s="231">
        <f>'Distinta base agg'!$D15*Tab.7!D$22</f>
        <v>11223.506291818841</v>
      </c>
      <c r="E27" s="231">
        <f>'Distinta base agg'!$D15*Tab.7!E$22</f>
        <v>11757.958972381639</v>
      </c>
      <c r="F27" s="231">
        <f>'Distinta base agg'!$D15*Tab.7!F$22</f>
        <v>11757.958972381595</v>
      </c>
      <c r="G27" s="231">
        <f>'Distinta base agg'!$D15*Tab.7!G$22</f>
        <v>7510.2760631983692</v>
      </c>
      <c r="H27" s="563">
        <f>'Distinta base agg'!$D15*Tab.7!H$22</f>
        <v>13654.978723404245</v>
      </c>
      <c r="I27" s="231">
        <f>'Distinta base agg'!$D15*Tab.7!I$22</f>
        <v>12004.978723404252</v>
      </c>
      <c r="J27" s="231">
        <f>'Distinta base agg'!$D15*Tab.7!J$22</f>
        <v>7448.1702127659573</v>
      </c>
      <c r="K27" s="231">
        <f>'Distinta base agg'!$D15*Tab.7!K$22</f>
        <v>9025.3996534986945</v>
      </c>
      <c r="L27" s="231">
        <f>'Distinta base agg'!$D15*Tab.7!L$22</f>
        <v>13034.297872340423</v>
      </c>
      <c r="M27" s="231">
        <f>'Distinta base agg'!$D15*Tab.7!M$22</f>
        <v>13034.297872340423</v>
      </c>
      <c r="N27" s="231">
        <f>'Distinta base agg'!$D15*Tab.7!N$22</f>
        <v>5798.1702127659573</v>
      </c>
      <c r="O27" s="158">
        <f t="shared" si="3"/>
        <v>127075.11337645003</v>
      </c>
    </row>
    <row r="28" spans="2:15" ht="16" x14ac:dyDescent="0.15">
      <c r="B28" s="239" t="s">
        <v>770</v>
      </c>
      <c r="C28" s="231">
        <f>'Distinta base agg'!$D16*Tab.7!C$22</f>
        <v>3608.3732687165466</v>
      </c>
      <c r="D28" s="231">
        <f>'Distinta base agg'!$D16*Tab.7!D$22</f>
        <v>3741.1687639396141</v>
      </c>
      <c r="E28" s="231">
        <f>'Distinta base agg'!$D16*Tab.7!E$22</f>
        <v>3919.3196574605463</v>
      </c>
      <c r="F28" s="231">
        <f>'Distinta base agg'!$D16*Tab.7!F$22</f>
        <v>3919.3196574605317</v>
      </c>
      <c r="G28" s="231">
        <f>'Distinta base agg'!$D16*Tab.7!G$22</f>
        <v>2503.4253543994564</v>
      </c>
      <c r="H28" s="563">
        <f>'Distinta base agg'!$D16*Tab.7!H$22</f>
        <v>4551.6595744680817</v>
      </c>
      <c r="I28" s="231">
        <f>'Distinta base agg'!$D16*Tab.7!I$22</f>
        <v>4001.6595744680844</v>
      </c>
      <c r="J28" s="231">
        <f>'Distinta base agg'!$D16*Tab.7!J$22</f>
        <v>2482.7234042553191</v>
      </c>
      <c r="K28" s="231">
        <f>'Distinta base agg'!$D16*Tab.7!K$22</f>
        <v>3008.4665511662315</v>
      </c>
      <c r="L28" s="231">
        <f>'Distinta base agg'!$D16*Tab.7!L$22</f>
        <v>4344.765957446808</v>
      </c>
      <c r="M28" s="231">
        <f>'Distinta base agg'!$D16*Tab.7!M$22</f>
        <v>4344.765957446808</v>
      </c>
      <c r="N28" s="231">
        <f>'Distinta base agg'!$D16*Tab.7!N$22</f>
        <v>1932.7234042553191</v>
      </c>
      <c r="O28" s="158">
        <f t="shared" si="3"/>
        <v>42358.37112548334</v>
      </c>
    </row>
    <row r="29" spans="2:15" ht="16" x14ac:dyDescent="0.15">
      <c r="B29" s="239"/>
      <c r="H29" s="512"/>
      <c r="O29" s="158"/>
    </row>
    <row r="30" spans="2:15" ht="16" x14ac:dyDescent="0.15">
      <c r="B30" s="239" t="s">
        <v>771</v>
      </c>
      <c r="C30" s="301">
        <f>C24*'Distinta base agg'!$E12</f>
        <v>90209.331717913665</v>
      </c>
      <c r="D30" s="301">
        <f>D24*'Distinta base agg'!$E12</f>
        <v>93529.219098490357</v>
      </c>
      <c r="E30" s="301">
        <f>E24*'Distinta base agg'!$E12</f>
        <v>97982.991436513665</v>
      </c>
      <c r="F30" s="301">
        <f>F24*'Distinta base agg'!$E12</f>
        <v>97982.991436513286</v>
      </c>
      <c r="G30" s="301">
        <f>G24*'Distinta base agg'!$E12</f>
        <v>62585.63385998641</v>
      </c>
      <c r="H30" s="564">
        <f>H24*'Distinta base agg'!$E12</f>
        <v>113791.48936170204</v>
      </c>
      <c r="I30" s="301">
        <f>I24*'Distinta base agg'!$E12</f>
        <v>100041.48936170212</v>
      </c>
      <c r="J30" s="301">
        <f>J24*'Distinta base agg'!$E12</f>
        <v>62068.085106382976</v>
      </c>
      <c r="K30" s="301">
        <f>K24*'Distinta base agg'!$E12</f>
        <v>75211.663779155788</v>
      </c>
      <c r="L30" s="301">
        <f>L24*'Distinta base agg'!$E12</f>
        <v>108619.1489361702</v>
      </c>
      <c r="M30" s="301">
        <f>M24*'Distinta base agg'!$E12</f>
        <v>108619.1489361702</v>
      </c>
      <c r="N30" s="301">
        <f>N24*'Distinta base agg'!$E12</f>
        <v>48318.085106382976</v>
      </c>
      <c r="O30" s="162">
        <f t="shared" si="3"/>
        <v>1058959.2781370836</v>
      </c>
    </row>
    <row r="31" spans="2:15" ht="16" x14ac:dyDescent="0.15">
      <c r="B31" s="239" t="s">
        <v>772</v>
      </c>
      <c r="C31" s="301">
        <f>C25*'Distinta base agg'!$E13</f>
        <v>108251.1980614964</v>
      </c>
      <c r="D31" s="301">
        <f>D25*'Distinta base agg'!$E13</f>
        <v>112235.06291818843</v>
      </c>
      <c r="E31" s="301">
        <f>E25*'Distinta base agg'!$E13</f>
        <v>117579.58972381639</v>
      </c>
      <c r="F31" s="301">
        <f>F25*'Distinta base agg'!$E13</f>
        <v>117579.58972381595</v>
      </c>
      <c r="G31" s="301">
        <f>G25*'Distinta base agg'!$E13</f>
        <v>75102.760631983692</v>
      </c>
      <c r="H31" s="564">
        <f>H25*'Distinta base agg'!$E13</f>
        <v>136549.78723404245</v>
      </c>
      <c r="I31" s="301">
        <f>I25*'Distinta base agg'!$E13</f>
        <v>120049.78723404254</v>
      </c>
      <c r="J31" s="301">
        <f>J25*'Distinta base agg'!$E13</f>
        <v>74481.702127659577</v>
      </c>
      <c r="K31" s="301">
        <f>K25*'Distinta base agg'!$E13</f>
        <v>90253.996534986945</v>
      </c>
      <c r="L31" s="301">
        <f>L25*'Distinta base agg'!$E13</f>
        <v>130342.97872340425</v>
      </c>
      <c r="M31" s="301">
        <f>M25*'Distinta base agg'!$E13</f>
        <v>130342.97872340425</v>
      </c>
      <c r="N31" s="301">
        <f>N25*'Distinta base agg'!$E13</f>
        <v>57981.702127659577</v>
      </c>
      <c r="O31" s="162">
        <f t="shared" si="3"/>
        <v>1270751.1337645003</v>
      </c>
    </row>
    <row r="32" spans="2:15" ht="16" x14ac:dyDescent="0.15">
      <c r="B32" s="239" t="s">
        <v>764</v>
      </c>
      <c r="C32" s="301">
        <f>C26*'Distinta base agg'!$E14</f>
        <v>86600.958449197118</v>
      </c>
      <c r="D32" s="301">
        <f>D26*'Distinta base agg'!$E14</f>
        <v>89788.050334550746</v>
      </c>
      <c r="E32" s="301">
        <f>E26*'Distinta base agg'!$E14</f>
        <v>94063.671779053111</v>
      </c>
      <c r="F32" s="301">
        <f>F26*'Distinta base agg'!$E14</f>
        <v>94063.671779052776</v>
      </c>
      <c r="G32" s="301">
        <f>G26*'Distinta base agg'!$E14</f>
        <v>60082.208505586961</v>
      </c>
      <c r="H32" s="564">
        <f>H26*'Distinta base agg'!$E14</f>
        <v>109239.82978723396</v>
      </c>
      <c r="I32" s="301">
        <f>I26*'Distinta base agg'!$E14</f>
        <v>96039.829787234034</v>
      </c>
      <c r="J32" s="301">
        <f>J26*'Distinta base agg'!$E14</f>
        <v>59585.361702127659</v>
      </c>
      <c r="K32" s="301">
        <f>K26*'Distinta base agg'!$E14</f>
        <v>72203.197227989556</v>
      </c>
      <c r="L32" s="301">
        <f>L26*'Distinta base agg'!$E14</f>
        <v>104274.3829787234</v>
      </c>
      <c r="M32" s="301">
        <f>M26*'Distinta base agg'!$E14</f>
        <v>104274.3829787234</v>
      </c>
      <c r="N32" s="301">
        <f>N26*'Distinta base agg'!$E14</f>
        <v>46385.361702127659</v>
      </c>
      <c r="O32" s="162">
        <f t="shared" si="3"/>
        <v>1016600.9070116002</v>
      </c>
    </row>
    <row r="33" spans="2:16" ht="16" x14ac:dyDescent="0.15">
      <c r="B33" s="239" t="s">
        <v>773</v>
      </c>
      <c r="C33" s="301">
        <f>C27*'Distinta base agg'!$E15</f>
        <v>216502.3961229928</v>
      </c>
      <c r="D33" s="301">
        <f>D27*'Distinta base agg'!$E15</f>
        <v>224470.12583637683</v>
      </c>
      <c r="E33" s="301">
        <f>E27*'Distinta base agg'!$E15</f>
        <v>235159.17944763278</v>
      </c>
      <c r="F33" s="301">
        <f>F27*'Distinta base agg'!$E15</f>
        <v>235159.1794476319</v>
      </c>
      <c r="G33" s="301">
        <f>G27*'Distinta base agg'!$E15</f>
        <v>150205.52126396738</v>
      </c>
      <c r="H33" s="564">
        <f>H27*'Distinta base agg'!$E15</f>
        <v>273099.5744680849</v>
      </c>
      <c r="I33" s="301">
        <f>I27*'Distinta base agg'!$E15</f>
        <v>240099.57446808505</v>
      </c>
      <c r="J33" s="301">
        <f>J27*'Distinta base agg'!$E15</f>
        <v>148963.40425531915</v>
      </c>
      <c r="K33" s="301">
        <f>K27*'Distinta base agg'!$E15</f>
        <v>180507.99306997389</v>
      </c>
      <c r="L33" s="301">
        <f>L27*'Distinta base agg'!$E15</f>
        <v>260685.95744680846</v>
      </c>
      <c r="M33" s="301">
        <f>M27*'Distinta base agg'!$E15</f>
        <v>260685.95744680846</v>
      </c>
      <c r="N33" s="301">
        <f>N27*'Distinta base agg'!$E15</f>
        <v>115963.40425531915</v>
      </c>
      <c r="O33" s="162">
        <f t="shared" si="3"/>
        <v>2541502.2675290005</v>
      </c>
    </row>
    <row r="34" spans="2:16" ht="16" x14ac:dyDescent="0.15">
      <c r="B34" s="239" t="s">
        <v>774</v>
      </c>
      <c r="C34" s="301">
        <f>C28*'Distinta base agg'!$E16</f>
        <v>180418.66343582733</v>
      </c>
      <c r="D34" s="301">
        <f>D28*'Distinta base agg'!$E16</f>
        <v>187058.43819698071</v>
      </c>
      <c r="E34" s="301">
        <f>E28*'Distinta base agg'!$E16</f>
        <v>195965.98287302733</v>
      </c>
      <c r="F34" s="301">
        <f>F28*'Distinta base agg'!$E16</f>
        <v>195965.98287302657</v>
      </c>
      <c r="G34" s="301">
        <f>G28*'Distinta base agg'!$E16</f>
        <v>125171.26771997282</v>
      </c>
      <c r="H34" s="564">
        <f>H28*'Distinta base agg'!$E16</f>
        <v>227582.97872340409</v>
      </c>
      <c r="I34" s="301">
        <f>I28*'Distinta base agg'!$E16</f>
        <v>200082.97872340423</v>
      </c>
      <c r="J34" s="301">
        <f>J28*'Distinta base agg'!$E16</f>
        <v>124136.17021276595</v>
      </c>
      <c r="K34" s="301">
        <f>K28*'Distinta base agg'!$E16</f>
        <v>150423.32755831158</v>
      </c>
      <c r="L34" s="301">
        <f>L28*'Distinta base agg'!$E16</f>
        <v>217238.29787234039</v>
      </c>
      <c r="M34" s="301">
        <f>M28*'Distinta base agg'!$E16</f>
        <v>217238.29787234039</v>
      </c>
      <c r="N34" s="301">
        <f>N28*'Distinta base agg'!$E16</f>
        <v>96636.170212765952</v>
      </c>
      <c r="O34" s="162">
        <f t="shared" si="3"/>
        <v>2117918.5562741673</v>
      </c>
    </row>
    <row r="35" spans="2:16" ht="17" thickBot="1" x14ac:dyDescent="0.2">
      <c r="B35" s="551" t="s">
        <v>776</v>
      </c>
      <c r="C35" s="552">
        <f t="shared" ref="C35:N35" si="4">SUM(C30:C34)</f>
        <v>681982.54778742732</v>
      </c>
      <c r="D35" s="552">
        <f t="shared" si="4"/>
        <v>707080.89638458705</v>
      </c>
      <c r="E35" s="552">
        <f t="shared" si="4"/>
        <v>740751.41526004323</v>
      </c>
      <c r="F35" s="552">
        <f t="shared" si="4"/>
        <v>740751.41526004043</v>
      </c>
      <c r="G35" s="552">
        <f t="shared" si="4"/>
        <v>473147.39198149723</v>
      </c>
      <c r="H35" s="565">
        <f t="shared" si="4"/>
        <v>860263.65957446746</v>
      </c>
      <c r="I35" s="552">
        <f t="shared" si="4"/>
        <v>756313.65957446792</v>
      </c>
      <c r="J35" s="552">
        <f t="shared" si="4"/>
        <v>469234.72340425535</v>
      </c>
      <c r="K35" s="552">
        <f t="shared" si="4"/>
        <v>568600.17817041767</v>
      </c>
      <c r="L35" s="552">
        <f t="shared" si="4"/>
        <v>821160.76595744665</v>
      </c>
      <c r="M35" s="552">
        <f t="shared" si="4"/>
        <v>821160.76595744665</v>
      </c>
      <c r="N35" s="552">
        <f t="shared" si="4"/>
        <v>365284.72340425535</v>
      </c>
      <c r="O35" s="553">
        <f>SUM(O30:O34)</f>
        <v>8005732.1427163519</v>
      </c>
    </row>
    <row r="36" spans="2:16" ht="14" thickBot="1" x14ac:dyDescent="0.2">
      <c r="H36" s="512"/>
    </row>
    <row r="37" spans="2:16" ht="17" thickBot="1" x14ac:dyDescent="0.2">
      <c r="B37" s="554" t="s">
        <v>765</v>
      </c>
      <c r="C37" s="555">
        <f>C35/C22</f>
        <v>189</v>
      </c>
      <c r="D37" s="555">
        <f t="shared" ref="D37:O37" si="5">D35/D22</f>
        <v>189</v>
      </c>
      <c r="E37" s="555">
        <f t="shared" si="5"/>
        <v>189</v>
      </c>
      <c r="F37" s="555">
        <f t="shared" si="5"/>
        <v>188.99999999999997</v>
      </c>
      <c r="G37" s="555">
        <f t="shared" si="5"/>
        <v>189</v>
      </c>
      <c r="H37" s="566">
        <f t="shared" si="5"/>
        <v>189</v>
      </c>
      <c r="I37" s="555">
        <f t="shared" si="5"/>
        <v>189</v>
      </c>
      <c r="J37" s="555">
        <f t="shared" si="5"/>
        <v>189</v>
      </c>
      <c r="K37" s="555">
        <f t="shared" si="5"/>
        <v>188.99999999999997</v>
      </c>
      <c r="L37" s="555">
        <f t="shared" si="5"/>
        <v>189</v>
      </c>
      <c r="M37" s="555">
        <f t="shared" si="5"/>
        <v>189</v>
      </c>
      <c r="N37" s="555">
        <f t="shared" si="5"/>
        <v>189.00000000000003</v>
      </c>
      <c r="O37" s="556">
        <f t="shared" si="5"/>
        <v>189.00000000000003</v>
      </c>
    </row>
    <row r="39" spans="2:16" ht="14" thickBot="1" x14ac:dyDescent="0.2"/>
    <row r="40" spans="2:16" ht="16" x14ac:dyDescent="0.15">
      <c r="B40" s="535"/>
      <c r="C40" s="653" t="s">
        <v>98</v>
      </c>
      <c r="D40" s="653"/>
      <c r="E40" s="653"/>
      <c r="F40" s="653"/>
      <c r="G40" s="653"/>
      <c r="H40" s="653"/>
      <c r="I40" s="653"/>
      <c r="J40" s="653"/>
      <c r="K40" s="653"/>
      <c r="L40" s="653"/>
      <c r="M40" s="653"/>
      <c r="N40" s="653"/>
      <c r="O40" s="713"/>
      <c r="P40" s="511"/>
    </row>
    <row r="41" spans="2:16" ht="17" thickBot="1" x14ac:dyDescent="0.2">
      <c r="B41" s="238"/>
      <c r="C41" s="236" t="s">
        <v>113</v>
      </c>
      <c r="D41" s="236" t="s">
        <v>114</v>
      </c>
      <c r="E41" s="236" t="s">
        <v>115</v>
      </c>
      <c r="F41" s="236" t="s">
        <v>116</v>
      </c>
      <c r="G41" s="236" t="s">
        <v>117</v>
      </c>
      <c r="H41" s="560" t="s">
        <v>118</v>
      </c>
      <c r="I41" s="236" t="s">
        <v>119</v>
      </c>
      <c r="J41" s="236" t="s">
        <v>120</v>
      </c>
      <c r="K41" s="236" t="s">
        <v>121</v>
      </c>
      <c r="L41" s="236" t="s">
        <v>122</v>
      </c>
      <c r="M41" s="236" t="s">
        <v>123</v>
      </c>
      <c r="N41" s="236" t="s">
        <v>124</v>
      </c>
      <c r="O41" s="567" t="s">
        <v>81</v>
      </c>
    </row>
    <row r="42" spans="2:16" ht="16" x14ac:dyDescent="0.15">
      <c r="B42" s="557" t="s">
        <v>763</v>
      </c>
      <c r="C42" s="558">
        <f t="shared" ref="C42:N42" si="6">C12</f>
        <v>3981366.9521157448</v>
      </c>
      <c r="D42" s="558">
        <f t="shared" si="6"/>
        <v>4508640.7966119507</v>
      </c>
      <c r="E42" s="558">
        <f t="shared" si="6"/>
        <v>5055515.8264943808</v>
      </c>
      <c r="F42" s="558">
        <f t="shared" si="6"/>
        <v>4644928.1108017024</v>
      </c>
      <c r="G42" s="558">
        <f t="shared" si="6"/>
        <v>4644928.1108017014</v>
      </c>
      <c r="H42" s="570">
        <f t="shared" si="6"/>
        <v>4866115.1636970174</v>
      </c>
      <c r="I42" s="558">
        <f t="shared" si="6"/>
        <v>4278117.907697021</v>
      </c>
      <c r="J42" s="558">
        <f t="shared" si="6"/>
        <v>2654244.6347438297</v>
      </c>
      <c r="K42" s="558">
        <f t="shared" si="6"/>
        <v>4575173.7069912404</v>
      </c>
      <c r="L42" s="558">
        <f t="shared" si="6"/>
        <v>4035719.2173934439</v>
      </c>
      <c r="M42" s="558">
        <f t="shared" si="6"/>
        <v>4644928.1108017014</v>
      </c>
      <c r="N42" s="558">
        <f t="shared" si="6"/>
        <v>2066247.3787438299</v>
      </c>
      <c r="O42" s="568">
        <f t="shared" ref="O42:O48" si="7">SUM(C42:N42)</f>
        <v>49955925.916893564</v>
      </c>
    </row>
    <row r="43" spans="2:16" ht="16" x14ac:dyDescent="0.15">
      <c r="B43" s="239" t="s">
        <v>764</v>
      </c>
      <c r="C43" s="301">
        <f t="shared" ref="C43:N43" si="8">C13+C32</f>
        <v>1679155.1712151547</v>
      </c>
      <c r="D43" s="301">
        <f t="shared" si="8"/>
        <v>1893252.7851480935</v>
      </c>
      <c r="E43" s="301">
        <f t="shared" si="8"/>
        <v>2116279.439383721</v>
      </c>
      <c r="F43" s="301">
        <f t="shared" si="8"/>
        <v>1952043.5866726697</v>
      </c>
      <c r="G43" s="301">
        <f t="shared" si="8"/>
        <v>1918062.1233992039</v>
      </c>
      <c r="H43" s="564">
        <f t="shared" si="8"/>
        <v>2055694.9787234021</v>
      </c>
      <c r="I43" s="301">
        <f t="shared" si="8"/>
        <v>1807294.9787234042</v>
      </c>
      <c r="J43" s="301">
        <f t="shared" si="8"/>
        <v>1121288.1702127659</v>
      </c>
      <c r="K43" s="301">
        <f t="shared" si="8"/>
        <v>1902281.2203885939</v>
      </c>
      <c r="L43" s="301">
        <f t="shared" si="8"/>
        <v>1718569.6033137958</v>
      </c>
      <c r="M43" s="301">
        <f t="shared" si="8"/>
        <v>1962254.2978723403</v>
      </c>
      <c r="N43" s="301">
        <f t="shared" si="8"/>
        <v>872888.17021276592</v>
      </c>
      <c r="O43" s="550">
        <f t="shared" si="7"/>
        <v>20999064.525265906</v>
      </c>
    </row>
    <row r="44" spans="2:16" ht="16" x14ac:dyDescent="0.15">
      <c r="B44" s="239" t="s">
        <v>773</v>
      </c>
      <c r="C44" s="301">
        <f t="shared" ref="C44:N44" si="9">C33</f>
        <v>216502.3961229928</v>
      </c>
      <c r="D44" s="301">
        <f t="shared" si="9"/>
        <v>224470.12583637683</v>
      </c>
      <c r="E44" s="301">
        <f t="shared" si="9"/>
        <v>235159.17944763278</v>
      </c>
      <c r="F44" s="301">
        <f t="shared" si="9"/>
        <v>235159.1794476319</v>
      </c>
      <c r="G44" s="301">
        <f t="shared" si="9"/>
        <v>150205.52126396738</v>
      </c>
      <c r="H44" s="564">
        <f t="shared" si="9"/>
        <v>273099.5744680849</v>
      </c>
      <c r="I44" s="301">
        <f t="shared" si="9"/>
        <v>240099.57446808505</v>
      </c>
      <c r="J44" s="301">
        <f t="shared" si="9"/>
        <v>148963.40425531915</v>
      </c>
      <c r="K44" s="301">
        <f t="shared" si="9"/>
        <v>180507.99306997389</v>
      </c>
      <c r="L44" s="301">
        <f t="shared" si="9"/>
        <v>260685.95744680846</v>
      </c>
      <c r="M44" s="301">
        <f t="shared" si="9"/>
        <v>260685.95744680846</v>
      </c>
      <c r="N44" s="301">
        <f t="shared" si="9"/>
        <v>115963.40425531915</v>
      </c>
      <c r="O44" s="550">
        <f>SUM(C44:N44)</f>
        <v>2541502.2675290005</v>
      </c>
    </row>
    <row r="45" spans="2:16" ht="16" x14ac:dyDescent="0.15">
      <c r="B45" s="239" t="s">
        <v>762</v>
      </c>
      <c r="C45" s="301">
        <f t="shared" ref="C45:N45" si="10">C11</f>
        <v>199069.27659574465</v>
      </c>
      <c r="D45" s="301">
        <f t="shared" si="10"/>
        <v>225433.09185169285</v>
      </c>
      <c r="E45" s="301">
        <f t="shared" si="10"/>
        <v>252776.97095058349</v>
      </c>
      <c r="F45" s="301">
        <f t="shared" si="10"/>
        <v>232247.48936170214</v>
      </c>
      <c r="G45" s="301">
        <f t="shared" si="10"/>
        <v>232247.48936170212</v>
      </c>
      <c r="H45" s="564">
        <f t="shared" si="10"/>
        <v>243306.89361702104</v>
      </c>
      <c r="I45" s="301">
        <f t="shared" si="10"/>
        <v>213906.89361702127</v>
      </c>
      <c r="J45" s="301">
        <f t="shared" si="10"/>
        <v>132712.85106382976</v>
      </c>
      <c r="K45" s="301">
        <f t="shared" si="10"/>
        <v>228759.75289507554</v>
      </c>
      <c r="L45" s="301">
        <f t="shared" si="10"/>
        <v>201786.90254188405</v>
      </c>
      <c r="M45" s="301">
        <f t="shared" si="10"/>
        <v>232247.48936170212</v>
      </c>
      <c r="N45" s="301">
        <f t="shared" si="10"/>
        <v>103312.85106382979</v>
      </c>
      <c r="O45" s="550">
        <f>SUM(C45:N45)</f>
        <v>2497807.9522817889</v>
      </c>
    </row>
    <row r="46" spans="2:16" ht="16" x14ac:dyDescent="0.15">
      <c r="B46" s="239" t="s">
        <v>774</v>
      </c>
      <c r="C46" s="301">
        <f t="shared" ref="C46:N46" si="11">C34</f>
        <v>180418.66343582733</v>
      </c>
      <c r="D46" s="301">
        <f t="shared" si="11"/>
        <v>187058.43819698071</v>
      </c>
      <c r="E46" s="301">
        <f t="shared" si="11"/>
        <v>195965.98287302733</v>
      </c>
      <c r="F46" s="301">
        <f t="shared" si="11"/>
        <v>195965.98287302657</v>
      </c>
      <c r="G46" s="301">
        <f t="shared" si="11"/>
        <v>125171.26771997282</v>
      </c>
      <c r="H46" s="564">
        <f t="shared" si="11"/>
        <v>227582.97872340409</v>
      </c>
      <c r="I46" s="301">
        <f t="shared" si="11"/>
        <v>200082.97872340423</v>
      </c>
      <c r="J46" s="301">
        <f t="shared" si="11"/>
        <v>124136.17021276595</v>
      </c>
      <c r="K46" s="301">
        <f t="shared" si="11"/>
        <v>150423.32755831158</v>
      </c>
      <c r="L46" s="301">
        <f t="shared" si="11"/>
        <v>217238.29787234039</v>
      </c>
      <c r="M46" s="301">
        <f t="shared" si="11"/>
        <v>217238.29787234039</v>
      </c>
      <c r="N46" s="301">
        <f t="shared" si="11"/>
        <v>96636.170212765952</v>
      </c>
      <c r="O46" s="550">
        <f>SUM(C46:N46)</f>
        <v>2117918.5562741673</v>
      </c>
    </row>
    <row r="47" spans="2:16" ht="16" x14ac:dyDescent="0.15">
      <c r="B47" s="239" t="s">
        <v>772</v>
      </c>
      <c r="C47" s="301">
        <f t="shared" ref="C47:N47" si="12">C31</f>
        <v>108251.1980614964</v>
      </c>
      <c r="D47" s="301">
        <f t="shared" si="12"/>
        <v>112235.06291818843</v>
      </c>
      <c r="E47" s="301">
        <f t="shared" si="12"/>
        <v>117579.58972381639</v>
      </c>
      <c r="F47" s="301">
        <f t="shared" si="12"/>
        <v>117579.58972381595</v>
      </c>
      <c r="G47" s="301">
        <f t="shared" si="12"/>
        <v>75102.760631983692</v>
      </c>
      <c r="H47" s="564">
        <f t="shared" si="12"/>
        <v>136549.78723404245</v>
      </c>
      <c r="I47" s="301">
        <f t="shared" si="12"/>
        <v>120049.78723404254</v>
      </c>
      <c r="J47" s="301">
        <f t="shared" si="12"/>
        <v>74481.702127659577</v>
      </c>
      <c r="K47" s="301">
        <f t="shared" si="12"/>
        <v>90253.996534986945</v>
      </c>
      <c r="L47" s="301">
        <f t="shared" si="12"/>
        <v>130342.97872340425</v>
      </c>
      <c r="M47" s="301">
        <f t="shared" si="12"/>
        <v>130342.97872340425</v>
      </c>
      <c r="N47" s="301">
        <f t="shared" si="12"/>
        <v>57981.702127659577</v>
      </c>
      <c r="O47" s="550">
        <f>SUM(C47:N47)</f>
        <v>1270751.1337645003</v>
      </c>
    </row>
    <row r="48" spans="2:16" ht="16" x14ac:dyDescent="0.15">
      <c r="B48" s="239" t="s">
        <v>771</v>
      </c>
      <c r="C48" s="301">
        <f>C30</f>
        <v>90209.331717913665</v>
      </c>
      <c r="D48" s="301">
        <f t="shared" ref="D48:N48" si="13">D30</f>
        <v>93529.219098490357</v>
      </c>
      <c r="E48" s="301">
        <f t="shared" si="13"/>
        <v>97982.991436513665</v>
      </c>
      <c r="F48" s="301">
        <f t="shared" si="13"/>
        <v>97982.991436513286</v>
      </c>
      <c r="G48" s="301">
        <f t="shared" si="13"/>
        <v>62585.63385998641</v>
      </c>
      <c r="H48" s="564">
        <f t="shared" si="13"/>
        <v>113791.48936170204</v>
      </c>
      <c r="I48" s="301">
        <f t="shared" si="13"/>
        <v>100041.48936170212</v>
      </c>
      <c r="J48" s="301">
        <f t="shared" si="13"/>
        <v>62068.085106382976</v>
      </c>
      <c r="K48" s="301">
        <f t="shared" si="13"/>
        <v>75211.663779155788</v>
      </c>
      <c r="L48" s="301">
        <f t="shared" si="13"/>
        <v>108619.1489361702</v>
      </c>
      <c r="M48" s="301">
        <f t="shared" si="13"/>
        <v>108619.1489361702</v>
      </c>
      <c r="N48" s="301">
        <f t="shared" si="13"/>
        <v>48318.085106382976</v>
      </c>
      <c r="O48" s="550">
        <f t="shared" si="7"/>
        <v>1058959.2781370836</v>
      </c>
    </row>
    <row r="49" spans="2:15" ht="17" thickBot="1" x14ac:dyDescent="0.2">
      <c r="B49" s="551" t="s">
        <v>775</v>
      </c>
      <c r="C49" s="552">
        <f t="shared" ref="C49:O49" si="14">SUM(C42:C48)</f>
        <v>6454972.9892648738</v>
      </c>
      <c r="D49" s="552">
        <f t="shared" si="14"/>
        <v>7244619.519661773</v>
      </c>
      <c r="E49" s="552">
        <f t="shared" si="14"/>
        <v>8071259.9803096764</v>
      </c>
      <c r="F49" s="552">
        <f t="shared" si="14"/>
        <v>7475906.930317062</v>
      </c>
      <c r="G49" s="552">
        <f t="shared" si="14"/>
        <v>7208302.9070385182</v>
      </c>
      <c r="H49" s="565">
        <f t="shared" si="14"/>
        <v>7916140.8658246743</v>
      </c>
      <c r="I49" s="552">
        <f t="shared" si="14"/>
        <v>6959593.6098246798</v>
      </c>
      <c r="J49" s="552">
        <f t="shared" si="14"/>
        <v>4317895.0177225536</v>
      </c>
      <c r="K49" s="552">
        <f t="shared" si="14"/>
        <v>7202611.6612173384</v>
      </c>
      <c r="L49" s="552">
        <f t="shared" si="14"/>
        <v>6672962.1062278459</v>
      </c>
      <c r="M49" s="552">
        <f t="shared" si="14"/>
        <v>7556316.2810144676</v>
      </c>
      <c r="N49" s="552">
        <f t="shared" si="14"/>
        <v>3361347.7617225535</v>
      </c>
      <c r="O49" s="569">
        <f t="shared" si="14"/>
        <v>80441929.630146012</v>
      </c>
    </row>
    <row r="52" spans="2:15" x14ac:dyDescent="0.15">
      <c r="O52" s="559" t="e">
        <f>+O49-#REF!</f>
        <v>#REF!</v>
      </c>
    </row>
  </sheetData>
  <mergeCells count="3">
    <mergeCell ref="C2:O2"/>
    <mergeCell ref="C19:O19"/>
    <mergeCell ref="C40:O4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B70EB-2C20-7349-B059-1C993E213A2F}">
  <sheetPr codeName="Foglio13">
    <pageSetUpPr fitToPage="1"/>
  </sheetPr>
  <dimension ref="B2:Q69"/>
  <sheetViews>
    <sheetView showGridLines="0" zoomScale="116" zoomScaleNormal="170" workbookViewId="0">
      <selection activeCell="B3" sqref="B3"/>
    </sheetView>
  </sheetViews>
  <sheetFormatPr baseColWidth="10" defaultRowHeight="13" x14ac:dyDescent="0.15"/>
  <cols>
    <col min="2" max="2" width="29" bestFit="1" customWidth="1"/>
    <col min="6" max="15" width="10.83203125" customWidth="1"/>
    <col min="16" max="16" width="2.1640625" customWidth="1"/>
    <col min="17" max="17" width="10.83203125" customWidth="1"/>
  </cols>
  <sheetData>
    <row r="2" spans="2:17" ht="16" x14ac:dyDescent="0.15">
      <c r="B2" s="77" t="s">
        <v>815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</row>
    <row r="3" spans="2:17" x14ac:dyDescent="0.15"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</row>
    <row r="4" spans="2:17" ht="14" thickBot="1" x14ac:dyDescent="0.2"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</row>
    <row r="5" spans="2:17" ht="16" x14ac:dyDescent="0.15">
      <c r="B5" s="229"/>
      <c r="C5" s="695" t="s">
        <v>98</v>
      </c>
      <c r="D5" s="653"/>
      <c r="E5" s="653"/>
      <c r="F5" s="653"/>
      <c r="G5" s="653"/>
      <c r="H5" s="653"/>
      <c r="I5" s="653"/>
      <c r="J5" s="653"/>
      <c r="K5" s="653"/>
      <c r="L5" s="653"/>
      <c r="M5" s="653"/>
      <c r="N5" s="653"/>
      <c r="O5" s="654"/>
      <c r="Q5" s="285" t="s">
        <v>139</v>
      </c>
    </row>
    <row r="6" spans="2:17" ht="16" x14ac:dyDescent="0.15">
      <c r="B6" s="238"/>
      <c r="C6" s="236" t="s">
        <v>113</v>
      </c>
      <c r="D6" s="236" t="s">
        <v>114</v>
      </c>
      <c r="E6" s="236" t="s">
        <v>115</v>
      </c>
      <c r="F6" s="236" t="s">
        <v>116</v>
      </c>
      <c r="G6" s="236" t="s">
        <v>117</v>
      </c>
      <c r="H6" s="236" t="s">
        <v>118</v>
      </c>
      <c r="I6" s="236" t="s">
        <v>119</v>
      </c>
      <c r="J6" s="236" t="s">
        <v>120</v>
      </c>
      <c r="K6" s="236" t="s">
        <v>121</v>
      </c>
      <c r="L6" s="236" t="s">
        <v>122</v>
      </c>
      <c r="M6" s="236" t="s">
        <v>123</v>
      </c>
      <c r="N6" s="236" t="s">
        <v>124</v>
      </c>
      <c r="O6" s="241" t="s">
        <v>81</v>
      </c>
      <c r="Q6" s="286" t="s">
        <v>113</v>
      </c>
    </row>
    <row r="7" spans="2:17" ht="16" x14ac:dyDescent="0.15">
      <c r="B7" s="275" t="s">
        <v>141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237"/>
      <c r="Q7" s="149"/>
    </row>
    <row r="8" spans="2:17" ht="16" x14ac:dyDescent="0.15">
      <c r="B8" s="277" t="s">
        <v>131</v>
      </c>
      <c r="C8" s="276">
        <f>VLOOKUP(B7,'Distinta base agg'!$B$38:$C$44,2,0)</f>
        <v>49000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237"/>
      <c r="Q8" s="149"/>
    </row>
    <row r="9" spans="2:17" ht="16" x14ac:dyDescent="0.15">
      <c r="B9" s="277" t="s">
        <v>160</v>
      </c>
      <c r="C9" s="276">
        <f>VLOOKUP(B7,'Distinta base agg'!$B$25:$D$31,2,0)</f>
        <v>30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237"/>
      <c r="Q9" s="149"/>
    </row>
    <row r="10" spans="2:17" ht="16" x14ac:dyDescent="0.15">
      <c r="B10" s="277" t="s">
        <v>161</v>
      </c>
      <c r="C10" s="276">
        <f>VLOOKUP(B7,'Distinta base agg'!$B$25:$D$31,3,0)</f>
        <v>45000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237"/>
      <c r="Q10" s="149"/>
    </row>
    <row r="11" spans="2:17" ht="16" x14ac:dyDescent="0.15">
      <c r="B11" s="141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237"/>
      <c r="Q11" s="149"/>
    </row>
    <row r="12" spans="2:17" ht="16" x14ac:dyDescent="0.15">
      <c r="B12" s="141" t="s">
        <v>130</v>
      </c>
      <c r="C12" s="246">
        <f>+C8</f>
        <v>49000</v>
      </c>
      <c r="D12" s="231">
        <f>+C14</f>
        <v>45086.618370338569</v>
      </c>
      <c r="E12" s="231">
        <f t="shared" ref="E12:N12" si="0">+D14</f>
        <v>50555.394190116698</v>
      </c>
      <c r="F12" s="231">
        <f t="shared" si="0"/>
        <v>46449.497872340427</v>
      </c>
      <c r="G12" s="231">
        <f t="shared" si="0"/>
        <v>46449.49787234042</v>
      </c>
      <c r="H12" s="231">
        <f t="shared" si="0"/>
        <v>48661.37872340421</v>
      </c>
      <c r="I12" s="231">
        <f t="shared" si="0"/>
        <v>45000</v>
      </c>
      <c r="J12" s="231">
        <f t="shared" si="0"/>
        <v>45000</v>
      </c>
      <c r="K12" s="231">
        <f t="shared" si="0"/>
        <v>45751.950579015109</v>
      </c>
      <c r="L12" s="231">
        <f t="shared" si="0"/>
        <v>45000</v>
      </c>
      <c r="M12" s="231">
        <f t="shared" si="0"/>
        <v>46449.49787234042</v>
      </c>
      <c r="N12" s="231">
        <f t="shared" si="0"/>
        <v>45000</v>
      </c>
      <c r="O12" s="158"/>
      <c r="Q12" s="287"/>
    </row>
    <row r="13" spans="2:17" ht="16" x14ac:dyDescent="0.15">
      <c r="B13" s="239" t="s">
        <v>162</v>
      </c>
      <c r="C13" s="231">
        <f>IFERROR(VLOOKUP($B7,'Distinta base agg'!$B$5:$D$7,3,0),0)*'Tab 4 v2'!C$15+IFERROR(VLOOKUP($B7,'Distinta base agg'!$B$12:$D$16,3,0),0)*'Tab 4 v2'!C$28</f>
        <v>39813.855319148934</v>
      </c>
      <c r="D13" s="231">
        <f>IFERROR(VLOOKUP($B7,'Distinta base agg'!$B$5:$D$7,3,0),0)*'Tab 4 v2'!D$15+IFERROR(VLOOKUP($B7,'Distinta base agg'!$B$12:$D$16,3,0),0)*'Tab 4 v2'!D$28</f>
        <v>45086.618370338569</v>
      </c>
      <c r="E13" s="231">
        <f>IFERROR(VLOOKUP($B7,'Distinta base agg'!$B$5:$D$7,3,0),0)*'Tab 4 v2'!E$15+IFERROR(VLOOKUP($B7,'Distinta base agg'!$B$12:$D$16,3,0),0)*'Tab 4 v2'!E$28</f>
        <v>50555.394190116698</v>
      </c>
      <c r="F13" s="231">
        <f>IFERROR(VLOOKUP($B7,'Distinta base agg'!$B$5:$D$7,3,0),0)*'Tab 4 v2'!F$15+IFERROR(VLOOKUP($B7,'Distinta base agg'!$B$12:$D$16,3,0),0)*'Tab 4 v2'!F$28</f>
        <v>46449.497872340427</v>
      </c>
      <c r="G13" s="231">
        <f>IFERROR(VLOOKUP($B7,'Distinta base agg'!$B$5:$D$7,3,0),0)*'Tab 4 v2'!G$15+IFERROR(VLOOKUP($B7,'Distinta base agg'!$B$12:$D$16,3,0),0)*'Tab 4 v2'!G$28</f>
        <v>46449.49787234042</v>
      </c>
      <c r="H13" s="231">
        <f>IFERROR(VLOOKUP($B7,'Distinta base agg'!$B$5:$D$7,3,0),0)*'Tab 4 v2'!H$15+IFERROR(VLOOKUP($B7,'Distinta base agg'!$B$12:$D$16,3,0),0)*'Tab 4 v2'!H$28</f>
        <v>48661.37872340421</v>
      </c>
      <c r="I13" s="231">
        <f>IFERROR(VLOOKUP($B7,'Distinta base agg'!$B$5:$D$7,3,0),0)*'Tab 4 v2'!I$15+IFERROR(VLOOKUP($B7,'Distinta base agg'!$B$12:$D$16,3,0),0)*'Tab 4 v2'!I$28</f>
        <v>42781.378723404254</v>
      </c>
      <c r="J13" s="231">
        <f>IFERROR(VLOOKUP($B7,'Distinta base agg'!$B$5:$D$7,3,0),0)*'Tab 4 v2'!J$15+IFERROR(VLOOKUP($B7,'Distinta base agg'!$B$12:$D$16,3,0),0)*'Tab 4 v2'!J$28</f>
        <v>26542.570212765953</v>
      </c>
      <c r="K13" s="231">
        <f>IFERROR(VLOOKUP($B7,'Distinta base agg'!$B$5:$D$7,3,0),0)*'Tab 4 v2'!K$15+IFERROR(VLOOKUP($B7,'Distinta base agg'!$B$12:$D$16,3,0),0)*'Tab 4 v2'!K$28</f>
        <v>45751.950579015109</v>
      </c>
      <c r="L13" s="231">
        <f>IFERROR(VLOOKUP($B7,'Distinta base agg'!$B$5:$D$7,3,0),0)*'Tab 4 v2'!L$15+IFERROR(VLOOKUP($B7,'Distinta base agg'!$B$12:$D$16,3,0),0)*'Tab 4 v2'!L$28</f>
        <v>40357.380508376809</v>
      </c>
      <c r="M13" s="231">
        <f>IFERROR(VLOOKUP($B7,'Distinta base agg'!$B$5:$D$7,3,0),0)*'Tab 4 v2'!M$15+IFERROR(VLOOKUP($B7,'Distinta base agg'!$B$12:$D$16,3,0),0)*'Tab 4 v2'!M$28</f>
        <v>46449.49787234042</v>
      </c>
      <c r="N13" s="231">
        <f>IFERROR(VLOOKUP($B7,'Distinta base agg'!$B$5:$D$7,3,0),0)*'Tab 4 v2'!N$15+IFERROR(VLOOKUP($B7,'Distinta base agg'!$B$12:$D$16,3,0),0)*'Tab 4 v2'!N$28</f>
        <v>20662.570212765957</v>
      </c>
      <c r="O13" s="158">
        <f>SUM(C13:N13)</f>
        <v>499561.59045635775</v>
      </c>
      <c r="Q13" s="287">
        <f>IFERROR(VLOOKUP($B7,'Distinta base agg'!$B$5:$D$7,3,0),0)*'Tab 4 v2'!Q$15+IFERROR(VLOOKUP($B7,'Distinta base agg'!$B$12:$D$16,3,0),0)*'Tab 4 v2'!Q$28</f>
        <v>49223.314925869949</v>
      </c>
    </row>
    <row r="14" spans="2:17" ht="17" thickBot="1" x14ac:dyDescent="0.2">
      <c r="B14" s="239" t="s">
        <v>135</v>
      </c>
      <c r="C14" s="231">
        <f>+IF(D13&gt;=$C10,D13,$C10)</f>
        <v>45086.618370338569</v>
      </c>
      <c r="D14" s="231">
        <f t="shared" ref="D14:G14" si="1">+IF(E13&gt;=$C10,E13,$C10)</f>
        <v>50555.394190116698</v>
      </c>
      <c r="E14" s="231">
        <f t="shared" si="1"/>
        <v>46449.497872340427</v>
      </c>
      <c r="F14" s="231">
        <f t="shared" si="1"/>
        <v>46449.49787234042</v>
      </c>
      <c r="G14" s="231">
        <f t="shared" si="1"/>
        <v>48661.37872340421</v>
      </c>
      <c r="H14" s="231">
        <f>+IF(I13&gt;=$C10,I13,$C10)</f>
        <v>45000</v>
      </c>
      <c r="I14" s="231">
        <f>+IF(J13&gt;=$C10,J13,$C10)</f>
        <v>45000</v>
      </c>
      <c r="J14" s="231">
        <f>+IF(K13&gt;=$C10,K13,$C10)</f>
        <v>45751.950579015109</v>
      </c>
      <c r="K14" s="231">
        <f t="shared" ref="K14" si="2">+IF(L13&gt;=$C10,L13,$C10)</f>
        <v>45000</v>
      </c>
      <c r="L14" s="231">
        <f>+IF(M13&gt;=$C10,M13,$C10)</f>
        <v>46449.49787234042</v>
      </c>
      <c r="M14" s="231">
        <f t="shared" ref="M14" si="3">+IF(N13&gt;=$C10,N13,$C10)</f>
        <v>45000</v>
      </c>
      <c r="N14" s="231">
        <f>+IF(Q13&gt;=$C10,Q13,$C10)</f>
        <v>49223.314925869949</v>
      </c>
      <c r="O14" s="158"/>
      <c r="Q14" s="288"/>
    </row>
    <row r="15" spans="2:17" ht="17" thickBot="1" x14ac:dyDescent="0.2">
      <c r="B15" s="240" t="s">
        <v>163</v>
      </c>
      <c r="C15" s="235">
        <f>(C14-C12+C13)</f>
        <v>35900.473689487502</v>
      </c>
      <c r="D15" s="235">
        <f t="shared" ref="D15:N15" si="4">(D14-D12+D13)</f>
        <v>50555.394190116698</v>
      </c>
      <c r="E15" s="235">
        <f t="shared" si="4"/>
        <v>46449.497872340427</v>
      </c>
      <c r="F15" s="235">
        <f t="shared" si="4"/>
        <v>46449.49787234042</v>
      </c>
      <c r="G15" s="235">
        <f t="shared" si="4"/>
        <v>48661.37872340421</v>
      </c>
      <c r="H15" s="235">
        <f>(H14-H12+H13)</f>
        <v>45000</v>
      </c>
      <c r="I15" s="235">
        <f t="shared" si="4"/>
        <v>42781.378723404254</v>
      </c>
      <c r="J15" s="235">
        <f t="shared" si="4"/>
        <v>27294.520791781062</v>
      </c>
      <c r="K15" s="235">
        <f t="shared" si="4"/>
        <v>45000</v>
      </c>
      <c r="L15" s="235">
        <f t="shared" si="4"/>
        <v>41806.878380717229</v>
      </c>
      <c r="M15" s="235">
        <f t="shared" si="4"/>
        <v>45000</v>
      </c>
      <c r="N15" s="235">
        <f t="shared" si="4"/>
        <v>24885.885138635906</v>
      </c>
      <c r="O15" s="245">
        <f>SUM(C15:N15)</f>
        <v>499784.90538222773</v>
      </c>
    </row>
    <row r="16" spans="2:17" ht="16" x14ac:dyDescent="0.15">
      <c r="B16" s="275" t="s">
        <v>142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237"/>
      <c r="Q16" s="148"/>
    </row>
    <row r="17" spans="2:17" ht="16" x14ac:dyDescent="0.15">
      <c r="B17" s="277" t="s">
        <v>131</v>
      </c>
      <c r="C17" s="276">
        <f>VLOOKUP(B16,'Distinta base agg'!$B$38:$C$44,2,0)</f>
        <v>60000</v>
      </c>
      <c r="D17" s="106"/>
      <c r="E17" s="106"/>
      <c r="F17" s="106"/>
      <c r="G17" s="106"/>
      <c r="H17" s="305"/>
      <c r="I17" s="305"/>
      <c r="J17" s="106"/>
      <c r="K17" s="106"/>
      <c r="L17" s="106"/>
      <c r="M17" s="106"/>
      <c r="N17" s="106"/>
      <c r="O17" s="237"/>
      <c r="Q17" s="149"/>
    </row>
    <row r="18" spans="2:17" ht="16" x14ac:dyDescent="0.15">
      <c r="B18" s="277" t="s">
        <v>160</v>
      </c>
      <c r="C18" s="276">
        <f>VLOOKUP(B16,'Distinta base agg'!$B$25:$D$31,2,0)</f>
        <v>15</v>
      </c>
      <c r="D18" s="106"/>
      <c r="E18" s="106"/>
      <c r="F18" s="106"/>
      <c r="G18" s="106"/>
      <c r="H18" s="305"/>
      <c r="I18" s="106"/>
      <c r="J18" s="106"/>
      <c r="K18" s="106"/>
      <c r="L18" s="106"/>
      <c r="M18" s="106"/>
      <c r="N18" s="106"/>
      <c r="O18" s="237"/>
      <c r="Q18" s="149"/>
    </row>
    <row r="19" spans="2:17" ht="16" x14ac:dyDescent="0.15">
      <c r="B19" s="277" t="s">
        <v>161</v>
      </c>
      <c r="C19" s="276">
        <f>VLOOKUP(B16,'Distinta base agg'!$B$25:$D$31,3,0)</f>
        <v>60000</v>
      </c>
      <c r="D19" s="106"/>
      <c r="E19" s="106"/>
      <c r="F19" s="106"/>
      <c r="G19" s="106"/>
      <c r="H19" s="305"/>
      <c r="I19" s="106"/>
      <c r="J19" s="106"/>
      <c r="K19" s="106"/>
      <c r="L19" s="106"/>
      <c r="M19" s="106"/>
      <c r="N19" s="106"/>
      <c r="O19" s="237"/>
      <c r="Q19" s="149"/>
    </row>
    <row r="20" spans="2:17" ht="16" x14ac:dyDescent="0.15">
      <c r="B20" s="141"/>
      <c r="C20" s="106"/>
      <c r="D20" s="106"/>
      <c r="E20" s="106"/>
      <c r="F20" s="106"/>
      <c r="G20" s="106"/>
      <c r="H20" s="305"/>
      <c r="I20" s="106"/>
      <c r="J20" s="106"/>
      <c r="K20" s="106"/>
      <c r="L20" s="106"/>
      <c r="M20" s="106"/>
      <c r="N20" s="106"/>
      <c r="O20" s="237"/>
      <c r="Q20" s="149"/>
    </row>
    <row r="21" spans="2:17" ht="16" x14ac:dyDescent="0.15">
      <c r="B21" s="141" t="s">
        <v>130</v>
      </c>
      <c r="C21" s="246">
        <f>+C17</f>
        <v>60000</v>
      </c>
      <c r="D21" s="231">
        <f>+C23</f>
        <v>60000</v>
      </c>
      <c r="E21" s="231">
        <f t="shared" ref="E21" si="5">+D23</f>
        <v>60000</v>
      </c>
      <c r="F21" s="231">
        <f t="shared" ref="F21" si="6">+E23</f>
        <v>60000</v>
      </c>
      <c r="G21" s="231">
        <f t="shared" ref="G21" si="7">+F23</f>
        <v>60000</v>
      </c>
      <c r="H21" s="231">
        <f t="shared" ref="H21" si="8">+G23</f>
        <v>60000</v>
      </c>
      <c r="I21" s="231">
        <f t="shared" ref="I21" si="9">+H23</f>
        <v>60000</v>
      </c>
      <c r="J21" s="231">
        <f t="shared" ref="J21" si="10">+I23</f>
        <v>60000</v>
      </c>
      <c r="K21" s="231">
        <f t="shared" ref="K21" si="11">+J23</f>
        <v>60000</v>
      </c>
      <c r="L21" s="231">
        <f t="shared" ref="L21" si="12">+K23</f>
        <v>60000</v>
      </c>
      <c r="M21" s="231">
        <f t="shared" ref="M21" si="13">+L23</f>
        <v>60000</v>
      </c>
      <c r="N21" s="231">
        <f t="shared" ref="N21" si="14">+M23</f>
        <v>60000</v>
      </c>
      <c r="O21" s="158"/>
      <c r="Q21" s="287"/>
    </row>
    <row r="22" spans="2:17" ht="16" x14ac:dyDescent="0.15">
      <c r="B22" s="239" t="s">
        <v>162</v>
      </c>
      <c r="C22" s="231">
        <f>IFERROR(VLOOKUP($B16,'Distinta base agg'!$B$5:$D$7,3,0),0)*'Tab 4 v2'!C$15+IFERROR(VLOOKUP($B16,'Distinta base agg'!$B$12:$D$16,3,0),0)*'Tab 4 v2'!C$28</f>
        <v>53085.140425531914</v>
      </c>
      <c r="D22" s="231">
        <f>IFERROR(VLOOKUP($B16,'Distinta base agg'!$B$5:$D$7,3,0),0)*'Tab 4 v2'!D$15+IFERROR(VLOOKUP($B16,'Distinta base agg'!$B$12:$D$16,3,0),0)*'Tab 4 v2'!D$28</f>
        <v>60115.491160451427</v>
      </c>
      <c r="E22" s="231">
        <f>IFERROR(VLOOKUP($B16,'Distinta base agg'!$B$5:$D$7,3,0),0)*'Tab 4 v2'!E$15+IFERROR(VLOOKUP($B16,'Distinta base agg'!$B$12:$D$16,3,0),0)*'Tab 4 v2'!E$28</f>
        <v>67407.192253488931</v>
      </c>
      <c r="F22" s="231">
        <f>IFERROR(VLOOKUP($B16,'Distinta base agg'!$B$5:$D$7,3,0),0)*'Tab 4 v2'!F$15+IFERROR(VLOOKUP($B16,'Distinta base agg'!$B$12:$D$16,3,0),0)*'Tab 4 v2'!F$28</f>
        <v>61932.663829787234</v>
      </c>
      <c r="G22" s="231">
        <f>IFERROR(VLOOKUP($B16,'Distinta base agg'!$B$5:$D$7,3,0),0)*'Tab 4 v2'!G$15+IFERROR(VLOOKUP($B16,'Distinta base agg'!$B$12:$D$16,3,0),0)*'Tab 4 v2'!G$28</f>
        <v>61932.663829787227</v>
      </c>
      <c r="H22" s="231">
        <f>IFERROR(VLOOKUP($B16,'Distinta base agg'!$B$5:$D$7,3,0),0)*'Tab 4 v2'!H$15+IFERROR(VLOOKUP($B16,'Distinta base agg'!$B$12:$D$16,3,0),0)*'Tab 4 v2'!H$28</f>
        <v>64881.83829787228</v>
      </c>
      <c r="I22" s="231">
        <f>IFERROR(VLOOKUP($B16,'Distinta base agg'!$B$5:$D$7,3,0),0)*'Tab 4 v2'!I$15+IFERROR(VLOOKUP($B16,'Distinta base agg'!$B$12:$D$16,3,0),0)*'Tab 4 v2'!I$28</f>
        <v>57041.838297872338</v>
      </c>
      <c r="J22" s="231">
        <f>IFERROR(VLOOKUP($B16,'Distinta base agg'!$B$5:$D$7,3,0),0)*'Tab 4 v2'!J$15+IFERROR(VLOOKUP($B16,'Distinta base agg'!$B$12:$D$16,3,0),0)*'Tab 4 v2'!J$28</f>
        <v>35390.093617021274</v>
      </c>
      <c r="K22" s="231">
        <f>IFERROR(VLOOKUP($B16,'Distinta base agg'!$B$5:$D$7,3,0),0)*'Tab 4 v2'!K$15+IFERROR(VLOOKUP($B16,'Distinta base agg'!$B$12:$D$16,3,0),0)*'Tab 4 v2'!K$28</f>
        <v>61002.600772020145</v>
      </c>
      <c r="L22" s="231">
        <f>IFERROR(VLOOKUP($B16,'Distinta base agg'!$B$5:$D$7,3,0),0)*'Tab 4 v2'!L$15+IFERROR(VLOOKUP($B16,'Distinta base agg'!$B$12:$D$16,3,0),0)*'Tab 4 v2'!L$28</f>
        <v>53809.840677835746</v>
      </c>
      <c r="M22" s="231">
        <f>IFERROR(VLOOKUP($B16,'Distinta base agg'!$B$5:$D$7,3,0),0)*'Tab 4 v2'!M$15+IFERROR(VLOOKUP($B16,'Distinta base agg'!$B$12:$D$16,3,0),0)*'Tab 4 v2'!M$28</f>
        <v>61932.663829787227</v>
      </c>
      <c r="N22" s="231">
        <f>IFERROR(VLOOKUP($B16,'Distinta base agg'!$B$5:$D$7,3,0),0)*'Tab 4 v2'!N$15+IFERROR(VLOOKUP($B16,'Distinta base agg'!$B$12:$D$16,3,0),0)*'Tab 4 v2'!N$28</f>
        <v>27550.093617021277</v>
      </c>
      <c r="O22" s="158">
        <f>SUM(C22:N22)</f>
        <v>666082.12060847704</v>
      </c>
      <c r="Q22" s="287">
        <f>IFERROR(VLOOKUP($B16,'Distinta base agg'!$B$5:$D$7,3,0),0)*'Tab 4 v2'!Q$15+IFERROR(VLOOKUP($B16,'Distinta base agg'!$B$12:$D$16,3,0),0)*'Tab 4 v2'!Q$28</f>
        <v>65631.086567826598</v>
      </c>
    </row>
    <row r="23" spans="2:17" ht="17" thickBot="1" x14ac:dyDescent="0.2">
      <c r="B23" s="239" t="s">
        <v>135</v>
      </c>
      <c r="C23" s="231">
        <f>+IF(D22/2&gt;=$C19,D22/2,$C19)</f>
        <v>60000</v>
      </c>
      <c r="D23" s="231">
        <f t="shared" ref="D23:M23" si="15">+IF(E22/2&gt;=$C19,E22/2,$C19)</f>
        <v>60000</v>
      </c>
      <c r="E23" s="231">
        <f t="shared" si="15"/>
        <v>60000</v>
      </c>
      <c r="F23" s="231">
        <f t="shared" si="15"/>
        <v>60000</v>
      </c>
      <c r="G23" s="231">
        <f t="shared" si="15"/>
        <v>60000</v>
      </c>
      <c r="H23" s="231">
        <f t="shared" si="15"/>
        <v>60000</v>
      </c>
      <c r="I23" s="231">
        <f t="shared" si="15"/>
        <v>60000</v>
      </c>
      <c r="J23" s="231">
        <f t="shared" si="15"/>
        <v>60000</v>
      </c>
      <c r="K23" s="231">
        <f t="shared" si="15"/>
        <v>60000</v>
      </c>
      <c r="L23" s="231">
        <f t="shared" si="15"/>
        <v>60000</v>
      </c>
      <c r="M23" s="231">
        <f t="shared" si="15"/>
        <v>60000</v>
      </c>
      <c r="N23" s="231">
        <f>+IF(Q22/2&gt;=$C19,Q22/2,$C19)</f>
        <v>60000</v>
      </c>
      <c r="O23" s="158"/>
      <c r="Q23" s="288"/>
    </row>
    <row r="24" spans="2:17" ht="17" thickBot="1" x14ac:dyDescent="0.2">
      <c r="B24" s="240" t="s">
        <v>163</v>
      </c>
      <c r="C24" s="235">
        <f>(C23-C21+C22)</f>
        <v>53085.140425531914</v>
      </c>
      <c r="D24" s="235">
        <f t="shared" ref="D24:N24" si="16">(D23-D21+D22)</f>
        <v>60115.491160451427</v>
      </c>
      <c r="E24" s="235">
        <f t="shared" si="16"/>
        <v>67407.192253488931</v>
      </c>
      <c r="F24" s="235">
        <f t="shared" si="16"/>
        <v>61932.663829787234</v>
      </c>
      <c r="G24" s="235">
        <f t="shared" si="16"/>
        <v>61932.663829787227</v>
      </c>
      <c r="H24" s="235">
        <f t="shared" si="16"/>
        <v>64881.83829787228</v>
      </c>
      <c r="I24" s="235">
        <f t="shared" si="16"/>
        <v>57041.838297872338</v>
      </c>
      <c r="J24" s="235">
        <f t="shared" si="16"/>
        <v>35390.093617021274</v>
      </c>
      <c r="K24" s="235">
        <f t="shared" si="16"/>
        <v>61002.600772020145</v>
      </c>
      <c r="L24" s="235">
        <f t="shared" si="16"/>
        <v>53809.840677835746</v>
      </c>
      <c r="M24" s="235">
        <f t="shared" si="16"/>
        <v>61932.663829787227</v>
      </c>
      <c r="N24" s="235">
        <f t="shared" si="16"/>
        <v>27550.093617021277</v>
      </c>
      <c r="O24" s="245">
        <f>SUM(C24:N24)</f>
        <v>666082.12060847704</v>
      </c>
    </row>
    <row r="25" spans="2:17" ht="16" x14ac:dyDescent="0.15">
      <c r="B25" s="275" t="s">
        <v>143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237"/>
      <c r="Q25" s="148"/>
    </row>
    <row r="26" spans="2:17" ht="16" x14ac:dyDescent="0.15">
      <c r="B26" s="277" t="s">
        <v>131</v>
      </c>
      <c r="C26" s="276">
        <f>VLOOKUP(B25,'Distinta base agg'!$B$38:$C$44,2,0)</f>
        <v>62800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237"/>
      <c r="Q26" s="149"/>
    </row>
    <row r="27" spans="2:17" ht="16" x14ac:dyDescent="0.15">
      <c r="B27" s="277" t="s">
        <v>160</v>
      </c>
      <c r="C27" s="276">
        <f>VLOOKUP(B25,'Distinta base agg'!$B$25:$D$31,2,0)</f>
        <v>15</v>
      </c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237"/>
      <c r="Q27" s="149"/>
    </row>
    <row r="28" spans="2:17" ht="16" x14ac:dyDescent="0.15">
      <c r="B28" s="277" t="s">
        <v>161</v>
      </c>
      <c r="C28" s="276">
        <f>VLOOKUP(B25,'Distinta base agg'!$B$25:$D$31,3,0)</f>
        <v>62800</v>
      </c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237"/>
      <c r="Q28" s="149"/>
    </row>
    <row r="29" spans="2:17" ht="16" x14ac:dyDescent="0.15">
      <c r="B29" s="141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237"/>
      <c r="Q29" s="149"/>
    </row>
    <row r="30" spans="2:17" ht="16" x14ac:dyDescent="0.15">
      <c r="B30" s="141" t="s">
        <v>130</v>
      </c>
      <c r="C30" s="246">
        <f>+C26</f>
        <v>62800</v>
      </c>
      <c r="D30" s="231">
        <f>+C32</f>
        <v>62800</v>
      </c>
      <c r="E30" s="231">
        <f t="shared" ref="E30" si="17">+D32</f>
        <v>62800</v>
      </c>
      <c r="F30" s="231">
        <f t="shared" ref="F30" si="18">+E32</f>
        <v>62800</v>
      </c>
      <c r="G30" s="231">
        <f t="shared" ref="G30" si="19">+F32</f>
        <v>62800</v>
      </c>
      <c r="H30" s="231">
        <f t="shared" ref="H30" si="20">+G32</f>
        <v>62800</v>
      </c>
      <c r="I30" s="231">
        <f t="shared" ref="I30" si="21">+H32</f>
        <v>62800</v>
      </c>
      <c r="J30" s="231">
        <f t="shared" ref="J30" si="22">+I32</f>
        <v>62800</v>
      </c>
      <c r="K30" s="231">
        <f t="shared" ref="K30" si="23">+J32</f>
        <v>62800</v>
      </c>
      <c r="L30" s="231">
        <f t="shared" ref="L30" si="24">+K32</f>
        <v>62800</v>
      </c>
      <c r="M30" s="231">
        <f t="shared" ref="M30" si="25">+L32</f>
        <v>62800</v>
      </c>
      <c r="N30" s="231">
        <f t="shared" ref="N30" si="26">+M32</f>
        <v>62800</v>
      </c>
      <c r="O30" s="158"/>
      <c r="Q30" s="287"/>
    </row>
    <row r="31" spans="2:17" ht="16" x14ac:dyDescent="0.15">
      <c r="B31" s="239" t="s">
        <v>162</v>
      </c>
      <c r="C31" s="231">
        <f>IFERROR(VLOOKUP($B25,'Distinta base agg'!$B$5:$D$7,3,0),0)*'Tab 4 v2'!C$15+IFERROR(VLOOKUP($B25,'Distinta base agg'!$B$12:$D$16,3,0),0)*'Tab 4 v2'!C$28</f>
        <v>55971.839040505154</v>
      </c>
      <c r="D31" s="231">
        <f>IFERROR(VLOOKUP($B25,'Distinta base agg'!$B$5:$D$7,3,0),0)*'Tab 4 v2'!D$15+IFERROR(VLOOKUP($B25,'Distinta base agg'!$B$12:$D$16,3,0),0)*'Tab 4 v2'!D$28</f>
        <v>63108.426171603118</v>
      </c>
      <c r="E31" s="231">
        <f>IFERROR(VLOOKUP($B25,'Distinta base agg'!$B$5:$D$7,3,0),0)*'Tab 4 v2'!E$15+IFERROR(VLOOKUP($B25,'Distinta base agg'!$B$12:$D$16,3,0),0)*'Tab 4 v2'!E$28</f>
        <v>70542.647979457368</v>
      </c>
      <c r="F31" s="231">
        <f>IFERROR(VLOOKUP($B25,'Distinta base agg'!$B$5:$D$7,3,0),0)*'Tab 4 v2'!F$15+IFERROR(VLOOKUP($B25,'Distinta base agg'!$B$12:$D$16,3,0),0)*'Tab 4 v2'!F$28</f>
        <v>65068.119555755657</v>
      </c>
      <c r="G31" s="231">
        <f>IFERROR(VLOOKUP($B25,'Distinta base agg'!$B$5:$D$7,3,0),0)*'Tab 4 v2'!G$15+IFERROR(VLOOKUP($B25,'Distinta base agg'!$B$12:$D$16,3,0),0)*'Tab 4 v2'!G$28</f>
        <v>63935.404113306795</v>
      </c>
      <c r="H31" s="231">
        <f>IFERROR(VLOOKUP($B25,'Distinta base agg'!$B$5:$D$7,3,0),0)*'Tab 4 v2'!H$15+IFERROR(VLOOKUP($B25,'Distinta base agg'!$B$12:$D$16,3,0),0)*'Tab 4 v2'!H$28</f>
        <v>68523.165957446749</v>
      </c>
      <c r="I31" s="231">
        <f>IFERROR(VLOOKUP($B25,'Distinta base agg'!$B$5:$D$7,3,0),0)*'Tab 4 v2'!I$15+IFERROR(VLOOKUP($B25,'Distinta base agg'!$B$12:$D$16,3,0),0)*'Tab 4 v2'!I$28</f>
        <v>60243.165957446807</v>
      </c>
      <c r="J31" s="231">
        <f>IFERROR(VLOOKUP($B25,'Distinta base agg'!$B$5:$D$7,3,0),0)*'Tab 4 v2'!J$15+IFERROR(VLOOKUP($B25,'Distinta base agg'!$B$12:$D$16,3,0),0)*'Tab 4 v2'!J$28</f>
        <v>37376.27234042553</v>
      </c>
      <c r="K31" s="231">
        <f>IFERROR(VLOOKUP($B25,'Distinta base agg'!$B$5:$D$7,3,0),0)*'Tab 4 v2'!K$15+IFERROR(VLOOKUP($B25,'Distinta base agg'!$B$12:$D$16,3,0),0)*'Tab 4 v2'!K$28</f>
        <v>63409.374012953129</v>
      </c>
      <c r="L31" s="231">
        <f>IFERROR(VLOOKUP($B25,'Distinta base agg'!$B$5:$D$7,3,0),0)*'Tab 4 v2'!L$15+IFERROR(VLOOKUP($B25,'Distinta base agg'!$B$12:$D$16,3,0),0)*'Tab 4 v2'!L$28</f>
        <v>57285.653443793191</v>
      </c>
      <c r="M31" s="231">
        <f>IFERROR(VLOOKUP($B25,'Distinta base agg'!$B$5:$D$7,3,0),0)*'Tab 4 v2'!M$15+IFERROR(VLOOKUP($B25,'Distinta base agg'!$B$12:$D$16,3,0),0)*'Tab 4 v2'!M$28</f>
        <v>65408.476595744673</v>
      </c>
      <c r="N31" s="231">
        <f>IFERROR(VLOOKUP($B25,'Distinta base agg'!$B$5:$D$7,3,0),0)*'Tab 4 v2'!N$15+IFERROR(VLOOKUP($B25,'Distinta base agg'!$B$12:$D$16,3,0),0)*'Tab 4 v2'!N$28</f>
        <v>29096.272340425534</v>
      </c>
      <c r="O31" s="158">
        <f>SUM(C31:N31)</f>
        <v>699968.81750886363</v>
      </c>
      <c r="Q31" s="287">
        <f>IFERROR(VLOOKUP($B25,'Distinta base agg'!$B$5:$D$7,3,0),0)*'Tab 4 v2'!Q$15+IFERROR(VLOOKUP($B25,'Distinta base agg'!$B$12:$D$16,3,0),0)*'Tab 4 v2'!Q$28</f>
        <v>68796.347343031084</v>
      </c>
    </row>
    <row r="32" spans="2:17" ht="17" thickBot="1" x14ac:dyDescent="0.2">
      <c r="B32" s="239" t="s">
        <v>135</v>
      </c>
      <c r="C32" s="231">
        <f>+IF(D31/2&gt;=$C28,D31/2,$C28)</f>
        <v>62800</v>
      </c>
      <c r="D32" s="231">
        <f t="shared" ref="D32:M32" si="27">+IF(E31/2&gt;=$C28,E31/2,$C28)</f>
        <v>62800</v>
      </c>
      <c r="E32" s="231">
        <f t="shared" si="27"/>
        <v>62800</v>
      </c>
      <c r="F32" s="231">
        <f t="shared" si="27"/>
        <v>62800</v>
      </c>
      <c r="G32" s="231">
        <f t="shared" si="27"/>
        <v>62800</v>
      </c>
      <c r="H32" s="231">
        <f t="shared" si="27"/>
        <v>62800</v>
      </c>
      <c r="I32" s="231">
        <f t="shared" si="27"/>
        <v>62800</v>
      </c>
      <c r="J32" s="231">
        <f t="shared" si="27"/>
        <v>62800</v>
      </c>
      <c r="K32" s="231">
        <f t="shared" si="27"/>
        <v>62800</v>
      </c>
      <c r="L32" s="231">
        <f t="shared" si="27"/>
        <v>62800</v>
      </c>
      <c r="M32" s="231">
        <f t="shared" si="27"/>
        <v>62800</v>
      </c>
      <c r="N32" s="231">
        <f>+IF(Q31/2&gt;=$C28,Q31/2,$C28)</f>
        <v>62800</v>
      </c>
      <c r="O32" s="158"/>
      <c r="Q32" s="288"/>
    </row>
    <row r="33" spans="2:17" ht="17" thickBot="1" x14ac:dyDescent="0.2">
      <c r="B33" s="240" t="s">
        <v>163</v>
      </c>
      <c r="C33" s="235">
        <f>(C32-C30+C31)</f>
        <v>55971.839040505154</v>
      </c>
      <c r="D33" s="235">
        <f t="shared" ref="D33:N33" si="28">(D32-D30+D31)</f>
        <v>63108.426171603118</v>
      </c>
      <c r="E33" s="235">
        <f t="shared" si="28"/>
        <v>70542.647979457368</v>
      </c>
      <c r="F33" s="235">
        <f t="shared" si="28"/>
        <v>65068.119555755657</v>
      </c>
      <c r="G33" s="235">
        <f t="shared" si="28"/>
        <v>63935.404113306795</v>
      </c>
      <c r="H33" s="235">
        <f t="shared" si="28"/>
        <v>68523.165957446749</v>
      </c>
      <c r="I33" s="235">
        <f t="shared" si="28"/>
        <v>60243.165957446807</v>
      </c>
      <c r="J33" s="235">
        <f t="shared" si="28"/>
        <v>37376.27234042553</v>
      </c>
      <c r="K33" s="235">
        <f t="shared" si="28"/>
        <v>63409.374012953129</v>
      </c>
      <c r="L33" s="235">
        <f t="shared" si="28"/>
        <v>57285.653443793191</v>
      </c>
      <c r="M33" s="235">
        <f t="shared" si="28"/>
        <v>65408.476595744673</v>
      </c>
      <c r="N33" s="235">
        <f t="shared" si="28"/>
        <v>29096.272340425534</v>
      </c>
      <c r="O33" s="245">
        <f>SUM(C33:N33)</f>
        <v>699968.81750886363</v>
      </c>
    </row>
    <row r="34" spans="2:17" ht="16" x14ac:dyDescent="0.15">
      <c r="B34" s="275" t="s">
        <v>92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237"/>
      <c r="Q34" s="148"/>
    </row>
    <row r="35" spans="2:17" ht="16" x14ac:dyDescent="0.15">
      <c r="B35" s="277" t="s">
        <v>131</v>
      </c>
      <c r="C35" s="276">
        <f>VLOOKUP(B34,'Distinta base agg'!$B$38:$C$44,2,0)</f>
        <v>3500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237"/>
      <c r="Q35" s="149"/>
    </row>
    <row r="36" spans="2:17" ht="16" x14ac:dyDescent="0.15">
      <c r="B36" s="277" t="s">
        <v>160</v>
      </c>
      <c r="C36" s="276">
        <f>VLOOKUP(B34,'Distinta base agg'!$B$25:$D$31,2,0)</f>
        <v>30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237"/>
      <c r="Q36" s="149"/>
    </row>
    <row r="37" spans="2:17" ht="16" x14ac:dyDescent="0.15">
      <c r="B37" s="277" t="s">
        <v>161</v>
      </c>
      <c r="C37" s="276">
        <f>VLOOKUP(B34,'Distinta base agg'!$B$25:$D$31,3,0)</f>
        <v>3500</v>
      </c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237"/>
      <c r="Q37" s="149"/>
    </row>
    <row r="38" spans="2:17" ht="16" x14ac:dyDescent="0.15">
      <c r="B38" s="141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237"/>
      <c r="Q38" s="149"/>
    </row>
    <row r="39" spans="2:17" ht="16" x14ac:dyDescent="0.15">
      <c r="B39" s="141" t="s">
        <v>130</v>
      </c>
      <c r="C39" s="246">
        <f>+C35</f>
        <v>3500</v>
      </c>
      <c r="D39" s="231">
        <f>+C41</f>
        <v>3500</v>
      </c>
      <c r="E39" s="231">
        <f t="shared" ref="E39" si="29">+D41</f>
        <v>3500</v>
      </c>
      <c r="F39" s="231">
        <f t="shared" ref="F39" si="30">+E41</f>
        <v>3500</v>
      </c>
      <c r="G39" s="231">
        <f t="shared" ref="G39" si="31">+F41</f>
        <v>3500</v>
      </c>
      <c r="H39" s="231">
        <f t="shared" ref="H39" si="32">+G41</f>
        <v>3500</v>
      </c>
      <c r="I39" s="231">
        <f t="shared" ref="I39" si="33">+H41</f>
        <v>3500</v>
      </c>
      <c r="J39" s="231">
        <f t="shared" ref="J39" si="34">+I41</f>
        <v>3500</v>
      </c>
      <c r="K39" s="231">
        <f t="shared" ref="K39" si="35">+J41</f>
        <v>3500</v>
      </c>
      <c r="L39" s="231">
        <f t="shared" ref="L39" si="36">+K41</f>
        <v>3500</v>
      </c>
      <c r="M39" s="231">
        <f t="shared" ref="M39" si="37">+L41</f>
        <v>3500</v>
      </c>
      <c r="N39" s="231">
        <f t="shared" ref="N39" si="38">+M41</f>
        <v>3500</v>
      </c>
      <c r="O39" s="158"/>
      <c r="Q39" s="287"/>
    </row>
    <row r="40" spans="2:17" ht="16" x14ac:dyDescent="0.15">
      <c r="B40" s="239" t="s">
        <v>162</v>
      </c>
      <c r="C40" s="231">
        <f>IFERROR(VLOOKUP($B34,'Distinta base agg'!$B$5:$D$7,3,0),0)*'Tab 4 v2'!C$15+IFERROR(VLOOKUP($B34,'Distinta base agg'!$B$12:$D$16,3,0),0)*'Tab 4 v2'!C$28</f>
        <v>1804.1866343582733</v>
      </c>
      <c r="D40" s="231">
        <f>IFERROR(VLOOKUP($B34,'Distinta base agg'!$B$5:$D$7,3,0),0)*'Tab 4 v2'!D$15+IFERROR(VLOOKUP($B34,'Distinta base agg'!$B$12:$D$16,3,0),0)*'Tab 4 v2'!D$28</f>
        <v>1870.5843819698071</v>
      </c>
      <c r="E40" s="231">
        <f>IFERROR(VLOOKUP($B34,'Distinta base agg'!$B$5:$D$7,3,0),0)*'Tab 4 v2'!E$15+IFERROR(VLOOKUP($B34,'Distinta base agg'!$B$12:$D$16,3,0),0)*'Tab 4 v2'!E$28</f>
        <v>1959.6598287302731</v>
      </c>
      <c r="F40" s="231">
        <f>IFERROR(VLOOKUP($B34,'Distinta base agg'!$B$5:$D$7,3,0),0)*'Tab 4 v2'!F$15+IFERROR(VLOOKUP($B34,'Distinta base agg'!$B$12:$D$16,3,0),0)*'Tab 4 v2'!F$28</f>
        <v>1959.6598287302659</v>
      </c>
      <c r="G40" s="231">
        <f>IFERROR(VLOOKUP($B34,'Distinta base agg'!$B$5:$D$7,3,0),0)*'Tab 4 v2'!G$15+IFERROR(VLOOKUP($B34,'Distinta base agg'!$B$12:$D$16,3,0),0)*'Tab 4 v2'!G$28</f>
        <v>1251.7126771997282</v>
      </c>
      <c r="H40" s="231">
        <f>IFERROR(VLOOKUP($B34,'Distinta base agg'!$B$5:$D$7,3,0),0)*'Tab 4 v2'!H$15+IFERROR(VLOOKUP($B34,'Distinta base agg'!$B$12:$D$16,3,0),0)*'Tab 4 v2'!H$28</f>
        <v>2275.8297872340409</v>
      </c>
      <c r="I40" s="231">
        <f>IFERROR(VLOOKUP($B34,'Distinta base agg'!$B$5:$D$7,3,0),0)*'Tab 4 v2'!I$15+IFERROR(VLOOKUP($B34,'Distinta base agg'!$B$12:$D$16,3,0),0)*'Tab 4 v2'!I$28</f>
        <v>2000.8297872340422</v>
      </c>
      <c r="J40" s="231">
        <f>IFERROR(VLOOKUP($B34,'Distinta base agg'!$B$5:$D$7,3,0),0)*'Tab 4 v2'!J$15+IFERROR(VLOOKUP($B34,'Distinta base agg'!$B$12:$D$16,3,0),0)*'Tab 4 v2'!J$28</f>
        <v>1241.3617021276596</v>
      </c>
      <c r="K40" s="231">
        <f>IFERROR(VLOOKUP($B34,'Distinta base agg'!$B$5:$D$7,3,0),0)*'Tab 4 v2'!K$15+IFERROR(VLOOKUP($B34,'Distinta base agg'!$B$12:$D$16,3,0),0)*'Tab 4 v2'!K$28</f>
        <v>1504.2332755831158</v>
      </c>
      <c r="L40" s="231">
        <f>IFERROR(VLOOKUP($B34,'Distinta base agg'!$B$5:$D$7,3,0),0)*'Tab 4 v2'!L$15+IFERROR(VLOOKUP($B34,'Distinta base agg'!$B$12:$D$16,3,0),0)*'Tab 4 v2'!L$28</f>
        <v>2172.382978723404</v>
      </c>
      <c r="M40" s="231">
        <f>IFERROR(VLOOKUP($B34,'Distinta base agg'!$B$5:$D$7,3,0),0)*'Tab 4 v2'!M$15+IFERROR(VLOOKUP($B34,'Distinta base agg'!$B$12:$D$16,3,0),0)*'Tab 4 v2'!M$28</f>
        <v>2172.382978723404</v>
      </c>
      <c r="N40" s="231">
        <f>IFERROR(VLOOKUP($B34,'Distinta base agg'!$B$5:$D$7,3,0),0)*'Tab 4 v2'!N$15+IFERROR(VLOOKUP($B34,'Distinta base agg'!$B$12:$D$16,3,0),0)*'Tab 4 v2'!N$28</f>
        <v>966.36170212765956</v>
      </c>
      <c r="O40" s="158">
        <f>SUM(C40:N40)</f>
        <v>21179.18556274167</v>
      </c>
      <c r="Q40" s="287">
        <f>IFERROR(VLOOKUP($B34,'Distinta base agg'!$B$5:$D$7,3,0),0)*'Tab 4 v2'!Q$15+IFERROR(VLOOKUP($B34,'Distinta base agg'!$B$12:$D$16,3,0),0)*'Tab 4 v2'!Q$28</f>
        <v>1978.2879845028024</v>
      </c>
    </row>
    <row r="41" spans="2:17" ht="17" thickBot="1" x14ac:dyDescent="0.2">
      <c r="B41" s="239" t="s">
        <v>135</v>
      </c>
      <c r="C41" s="231">
        <f>+IF(D40&gt;=$C37,D40,$C37)</f>
        <v>3500</v>
      </c>
      <c r="D41" s="231">
        <f t="shared" ref="D41:G41" si="39">+IF(E40&gt;=$C37,E40,$C37)</f>
        <v>3500</v>
      </c>
      <c r="E41" s="231">
        <f t="shared" si="39"/>
        <v>3500</v>
      </c>
      <c r="F41" s="231">
        <f t="shared" si="39"/>
        <v>3500</v>
      </c>
      <c r="G41" s="231">
        <f t="shared" si="39"/>
        <v>3500</v>
      </c>
      <c r="H41" s="231">
        <f>+IF(I40&gt;=$C37,I40,$C37)</f>
        <v>3500</v>
      </c>
      <c r="I41" s="231">
        <f>+IF(J40&gt;=$C37,J40,$C37)</f>
        <v>3500</v>
      </c>
      <c r="J41" s="231">
        <f>+IF(K40&gt;=$C37,K40,$C37)</f>
        <v>3500</v>
      </c>
      <c r="K41" s="231">
        <f t="shared" ref="K41" si="40">+IF(L40&gt;=$C37,L40,$C37)</f>
        <v>3500</v>
      </c>
      <c r="L41" s="231">
        <f>+IF(M40&gt;=$C37,M40,$C37)</f>
        <v>3500</v>
      </c>
      <c r="M41" s="231">
        <f t="shared" ref="M41" si="41">+IF(N40&gt;=$C37,N40,$C37)</f>
        <v>3500</v>
      </c>
      <c r="N41" s="231">
        <f>+IF(Q40&gt;=$C37,Q40,$C37)</f>
        <v>3500</v>
      </c>
      <c r="O41" s="158"/>
      <c r="Q41" s="288"/>
    </row>
    <row r="42" spans="2:17" ht="17" thickBot="1" x14ac:dyDescent="0.2">
      <c r="B42" s="240" t="s">
        <v>163</v>
      </c>
      <c r="C42" s="235">
        <f>(C41-C39+C40)</f>
        <v>1804.1866343582733</v>
      </c>
      <c r="D42" s="235">
        <f t="shared" ref="D42:N42" si="42">(D41-D39+D40)</f>
        <v>1870.5843819698071</v>
      </c>
      <c r="E42" s="235">
        <f t="shared" si="42"/>
        <v>1959.6598287302731</v>
      </c>
      <c r="F42" s="235">
        <f t="shared" si="42"/>
        <v>1959.6598287302659</v>
      </c>
      <c r="G42" s="235">
        <f t="shared" si="42"/>
        <v>1251.7126771997282</v>
      </c>
      <c r="H42" s="235">
        <f t="shared" si="42"/>
        <v>2275.8297872340409</v>
      </c>
      <c r="I42" s="235">
        <f t="shared" si="42"/>
        <v>2000.8297872340422</v>
      </c>
      <c r="J42" s="235">
        <f t="shared" si="42"/>
        <v>1241.3617021276596</v>
      </c>
      <c r="K42" s="235">
        <f t="shared" si="42"/>
        <v>1504.2332755831158</v>
      </c>
      <c r="L42" s="235">
        <f t="shared" si="42"/>
        <v>2172.382978723404</v>
      </c>
      <c r="M42" s="235">
        <f t="shared" si="42"/>
        <v>2172.382978723404</v>
      </c>
      <c r="N42" s="235">
        <f t="shared" si="42"/>
        <v>966.36170212765956</v>
      </c>
      <c r="O42" s="245">
        <f>SUM(C42:N42)</f>
        <v>21179.18556274167</v>
      </c>
    </row>
    <row r="43" spans="2:17" ht="16" x14ac:dyDescent="0.15">
      <c r="B43" s="275" t="s">
        <v>149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237"/>
      <c r="Q43" s="148"/>
    </row>
    <row r="44" spans="2:17" ht="16" x14ac:dyDescent="0.15">
      <c r="B44" s="277" t="s">
        <v>131</v>
      </c>
      <c r="C44" s="276">
        <f>VLOOKUP(B43,'Distinta base agg'!$B$38:$C$44,2,0)</f>
        <v>7000</v>
      </c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237"/>
      <c r="Q44" s="149"/>
    </row>
    <row r="45" spans="2:17" ht="16" x14ac:dyDescent="0.15">
      <c r="B45" s="277" t="s">
        <v>160</v>
      </c>
      <c r="C45" s="276">
        <f>VLOOKUP(B43,'Distinta base agg'!$B$25:$D$31,2,0)</f>
        <v>30</v>
      </c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237"/>
      <c r="Q45" s="149"/>
    </row>
    <row r="46" spans="2:17" ht="16" x14ac:dyDescent="0.15">
      <c r="B46" s="277" t="s">
        <v>161</v>
      </c>
      <c r="C46" s="276">
        <f>VLOOKUP(B43,'Distinta base agg'!$B$25:$D$31,3,0)</f>
        <v>7000.0019999999995</v>
      </c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237"/>
      <c r="Q46" s="149"/>
    </row>
    <row r="47" spans="2:17" ht="16" x14ac:dyDescent="0.15">
      <c r="B47" s="141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237"/>
      <c r="Q47" s="149"/>
    </row>
    <row r="48" spans="2:17" ht="16" x14ac:dyDescent="0.15">
      <c r="B48" s="141" t="s">
        <v>130</v>
      </c>
      <c r="C48" s="246">
        <f>+C44</f>
        <v>7000</v>
      </c>
      <c r="D48" s="231">
        <f>+C50</f>
        <v>7482.3375278792282</v>
      </c>
      <c r="E48" s="231">
        <f t="shared" ref="E48" si="43">+D50</f>
        <v>7838.6393149210926</v>
      </c>
      <c r="F48" s="231">
        <f t="shared" ref="F48" si="44">+E50</f>
        <v>7838.6393149210635</v>
      </c>
      <c r="G48" s="231">
        <f t="shared" ref="G48" si="45">+F50</f>
        <v>7000.0019999999995</v>
      </c>
      <c r="H48" s="231">
        <f t="shared" ref="H48" si="46">+G50</f>
        <v>9103.3191489361634</v>
      </c>
      <c r="I48" s="231">
        <f t="shared" ref="I48" si="47">+H50</f>
        <v>8003.3191489361689</v>
      </c>
      <c r="J48" s="231">
        <f t="shared" ref="J48" si="48">+I50</f>
        <v>7000.0019999999995</v>
      </c>
      <c r="K48" s="231">
        <f t="shared" ref="K48" si="49">+J50</f>
        <v>7000.0019999999995</v>
      </c>
      <c r="L48" s="231">
        <f t="shared" ref="L48" si="50">+K50</f>
        <v>8689.531914893616</v>
      </c>
      <c r="M48" s="231">
        <f t="shared" ref="M48" si="51">+L50</f>
        <v>8689.531914893616</v>
      </c>
      <c r="N48" s="231">
        <f t="shared" ref="N48" si="52">+M50</f>
        <v>7000.0019999999995</v>
      </c>
      <c r="O48" s="158"/>
      <c r="Q48" s="287"/>
    </row>
    <row r="49" spans="2:17" ht="16" x14ac:dyDescent="0.15">
      <c r="B49" s="239" t="s">
        <v>162</v>
      </c>
      <c r="C49" s="231">
        <f>IFERROR(VLOOKUP($B43,'Distinta base agg'!$B$5:$D$7,3,0),0)*'Tab 4 v2'!C$15+IFERROR(VLOOKUP($B43,'Distinta base agg'!$B$12:$D$16,3,0),0)*'Tab 4 v2'!C$28</f>
        <v>7216.7465374330932</v>
      </c>
      <c r="D49" s="231">
        <f>IFERROR(VLOOKUP($B43,'Distinta base agg'!$B$5:$D$7,3,0),0)*'Tab 4 v2'!D$15+IFERROR(VLOOKUP($B43,'Distinta base agg'!$B$12:$D$16,3,0),0)*'Tab 4 v2'!D$28</f>
        <v>7482.3375278792282</v>
      </c>
      <c r="E49" s="231">
        <f>IFERROR(VLOOKUP($B43,'Distinta base agg'!$B$5:$D$7,3,0),0)*'Tab 4 v2'!E$15+IFERROR(VLOOKUP($B43,'Distinta base agg'!$B$12:$D$16,3,0),0)*'Tab 4 v2'!E$28</f>
        <v>7838.6393149210926</v>
      </c>
      <c r="F49" s="231">
        <f>IFERROR(VLOOKUP($B43,'Distinta base agg'!$B$5:$D$7,3,0),0)*'Tab 4 v2'!F$15+IFERROR(VLOOKUP($B43,'Distinta base agg'!$B$12:$D$16,3,0),0)*'Tab 4 v2'!F$28</f>
        <v>7838.6393149210635</v>
      </c>
      <c r="G49" s="231">
        <f>IFERROR(VLOOKUP($B43,'Distinta base agg'!$B$5:$D$7,3,0),0)*'Tab 4 v2'!G$15+IFERROR(VLOOKUP($B43,'Distinta base agg'!$B$12:$D$16,3,0),0)*'Tab 4 v2'!G$28</f>
        <v>5006.8507087989128</v>
      </c>
      <c r="H49" s="231">
        <f>IFERROR(VLOOKUP($B43,'Distinta base agg'!$B$5:$D$7,3,0),0)*'Tab 4 v2'!H$15+IFERROR(VLOOKUP($B43,'Distinta base agg'!$B$12:$D$16,3,0),0)*'Tab 4 v2'!H$28</f>
        <v>9103.3191489361634</v>
      </c>
      <c r="I49" s="231">
        <f>IFERROR(VLOOKUP($B43,'Distinta base agg'!$B$5:$D$7,3,0),0)*'Tab 4 v2'!I$15+IFERROR(VLOOKUP($B43,'Distinta base agg'!$B$12:$D$16,3,0),0)*'Tab 4 v2'!I$28</f>
        <v>8003.3191489361689</v>
      </c>
      <c r="J49" s="231">
        <f>IFERROR(VLOOKUP($B43,'Distinta base agg'!$B$5:$D$7,3,0),0)*'Tab 4 v2'!J$15+IFERROR(VLOOKUP($B43,'Distinta base agg'!$B$12:$D$16,3,0),0)*'Tab 4 v2'!J$28</f>
        <v>4965.4468085106382</v>
      </c>
      <c r="K49" s="231">
        <f>IFERROR(VLOOKUP($B43,'Distinta base agg'!$B$5:$D$7,3,0),0)*'Tab 4 v2'!K$15+IFERROR(VLOOKUP($B43,'Distinta base agg'!$B$12:$D$16,3,0),0)*'Tab 4 v2'!K$28</f>
        <v>6016.933102332463</v>
      </c>
      <c r="L49" s="231">
        <f>IFERROR(VLOOKUP($B43,'Distinta base agg'!$B$5:$D$7,3,0),0)*'Tab 4 v2'!L$15+IFERROR(VLOOKUP($B43,'Distinta base agg'!$B$12:$D$16,3,0),0)*'Tab 4 v2'!L$28</f>
        <v>8689.531914893616</v>
      </c>
      <c r="M49" s="231">
        <f>IFERROR(VLOOKUP($B43,'Distinta base agg'!$B$5:$D$7,3,0),0)*'Tab 4 v2'!M$15+IFERROR(VLOOKUP($B43,'Distinta base agg'!$B$12:$D$16,3,0),0)*'Tab 4 v2'!M$28</f>
        <v>8689.531914893616</v>
      </c>
      <c r="N49" s="231">
        <f>IFERROR(VLOOKUP($B43,'Distinta base agg'!$B$5:$D$7,3,0),0)*'Tab 4 v2'!N$15+IFERROR(VLOOKUP($B43,'Distinta base agg'!$B$12:$D$16,3,0),0)*'Tab 4 v2'!N$28</f>
        <v>3865.4468085106382</v>
      </c>
      <c r="O49" s="158">
        <f>SUM(C49:N49)</f>
        <v>84716.742250966679</v>
      </c>
      <c r="Q49" s="287">
        <f>IFERROR(VLOOKUP($B43,'Distinta base agg'!$B$5:$D$7,3,0),0)*'Tab 4 v2'!Q$15+IFERROR(VLOOKUP($B43,'Distinta base agg'!$B$12:$D$16,3,0),0)*'Tab 4 v2'!Q$28</f>
        <v>7913.1519380112095</v>
      </c>
    </row>
    <row r="50" spans="2:17" ht="17" thickBot="1" x14ac:dyDescent="0.2">
      <c r="B50" s="239" t="s">
        <v>135</v>
      </c>
      <c r="C50" s="231">
        <f>+IF(D49&gt;=$C46,D49,$C46)</f>
        <v>7482.3375278792282</v>
      </c>
      <c r="D50" s="231">
        <f t="shared" ref="D50:G50" si="53">+IF(E49&gt;=$C46,E49,$C46)</f>
        <v>7838.6393149210926</v>
      </c>
      <c r="E50" s="231">
        <f t="shared" si="53"/>
        <v>7838.6393149210635</v>
      </c>
      <c r="F50" s="231">
        <f t="shared" si="53"/>
        <v>7000.0019999999995</v>
      </c>
      <c r="G50" s="231">
        <f t="shared" si="53"/>
        <v>9103.3191489361634</v>
      </c>
      <c r="H50" s="231">
        <f>+IF(I49&gt;=$C46,I49,$C46)</f>
        <v>8003.3191489361689</v>
      </c>
      <c r="I50" s="231">
        <f>+IF(J49&gt;=$C46,J49,$C46)</f>
        <v>7000.0019999999995</v>
      </c>
      <c r="J50" s="231">
        <f>+IF(K49&gt;=$C46,K49,$C46)</f>
        <v>7000.0019999999995</v>
      </c>
      <c r="K50" s="231">
        <f t="shared" ref="K50" si="54">+IF(L49&gt;=$C46,L49,$C46)</f>
        <v>8689.531914893616</v>
      </c>
      <c r="L50" s="231">
        <f>+IF(M49&gt;=$C46,M49,$C46)</f>
        <v>8689.531914893616</v>
      </c>
      <c r="M50" s="231">
        <f t="shared" ref="M50" si="55">+IF(N49&gt;=$C46,N49,$C46)</f>
        <v>7000.0019999999995</v>
      </c>
      <c r="N50" s="231">
        <f>+IF(Q49&gt;=$C46,Q49,$C46)</f>
        <v>7913.1519380112095</v>
      </c>
      <c r="O50" s="158"/>
      <c r="Q50" s="288"/>
    </row>
    <row r="51" spans="2:17" ht="17" thickBot="1" x14ac:dyDescent="0.2">
      <c r="B51" s="240" t="s">
        <v>163</v>
      </c>
      <c r="C51" s="235">
        <f>(C50-C48+C49)</f>
        <v>7699.0840653123214</v>
      </c>
      <c r="D51" s="235">
        <f t="shared" ref="D51:N51" si="56">(D50-D48+D49)</f>
        <v>7838.6393149210926</v>
      </c>
      <c r="E51" s="235">
        <f t="shared" si="56"/>
        <v>7838.6393149210635</v>
      </c>
      <c r="F51" s="235">
        <f t="shared" si="56"/>
        <v>7000.0019999999995</v>
      </c>
      <c r="G51" s="235">
        <f t="shared" si="56"/>
        <v>7110.1678577350767</v>
      </c>
      <c r="H51" s="235">
        <f t="shared" si="56"/>
        <v>8003.3191489361689</v>
      </c>
      <c r="I51" s="235">
        <f t="shared" si="56"/>
        <v>7000.0019999999995</v>
      </c>
      <c r="J51" s="235">
        <f t="shared" si="56"/>
        <v>4965.4468085106382</v>
      </c>
      <c r="K51" s="235">
        <f t="shared" si="56"/>
        <v>7706.4630172260795</v>
      </c>
      <c r="L51" s="235">
        <f t="shared" si="56"/>
        <v>8689.531914893616</v>
      </c>
      <c r="M51" s="235">
        <f t="shared" si="56"/>
        <v>7000.0019999999995</v>
      </c>
      <c r="N51" s="235">
        <f t="shared" si="56"/>
        <v>4778.5967465218482</v>
      </c>
      <c r="O51" s="245">
        <f>SUM(C51:N51)</f>
        <v>85629.894188977894</v>
      </c>
    </row>
    <row r="52" spans="2:17" ht="16" x14ac:dyDescent="0.15">
      <c r="B52" s="275" t="s">
        <v>150</v>
      </c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237"/>
      <c r="Q52" s="148"/>
    </row>
    <row r="53" spans="2:17" ht="16" x14ac:dyDescent="0.15">
      <c r="B53" s="277" t="s">
        <v>131</v>
      </c>
      <c r="C53" s="276">
        <f>VLOOKUP(B52,'Distinta base agg'!$B$38:$C$44,2,0)</f>
        <v>21000</v>
      </c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237"/>
      <c r="Q53" s="149"/>
    </row>
    <row r="54" spans="2:17" ht="16" x14ac:dyDescent="0.15">
      <c r="B54" s="277" t="s">
        <v>160</v>
      </c>
      <c r="C54" s="276">
        <f>VLOOKUP(B52,'Distinta base agg'!$B$25:$D$31,2,0)</f>
        <v>30</v>
      </c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237"/>
      <c r="Q54" s="149"/>
    </row>
    <row r="55" spans="2:17" ht="16" x14ac:dyDescent="0.15">
      <c r="B55" s="277" t="s">
        <v>161</v>
      </c>
      <c r="C55" s="276">
        <f>VLOOKUP(B52,'Distinta base agg'!$B$25:$D$31,3,0)</f>
        <v>21000</v>
      </c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237"/>
      <c r="Q55" s="149"/>
    </row>
    <row r="56" spans="2:17" ht="16" x14ac:dyDescent="0.15">
      <c r="B56" s="141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237"/>
      <c r="Q56" s="149"/>
    </row>
    <row r="57" spans="2:17" ht="16" x14ac:dyDescent="0.15">
      <c r="B57" s="141" t="s">
        <v>130</v>
      </c>
      <c r="C57" s="246">
        <f>+C53</f>
        <v>21000</v>
      </c>
      <c r="D57" s="231">
        <f>+C59</f>
        <v>21000</v>
      </c>
      <c r="E57" s="231">
        <f t="shared" ref="E57" si="57">+D59</f>
        <v>21000</v>
      </c>
      <c r="F57" s="231">
        <f t="shared" ref="F57" si="58">+E59</f>
        <v>21000</v>
      </c>
      <c r="G57" s="231">
        <f t="shared" ref="G57" si="59">+F59</f>
        <v>21000</v>
      </c>
      <c r="H57" s="231">
        <f t="shared" ref="H57" si="60">+G59</f>
        <v>21000</v>
      </c>
      <c r="I57" s="231">
        <f t="shared" ref="I57" si="61">+H59</f>
        <v>21000</v>
      </c>
      <c r="J57" s="231">
        <f t="shared" ref="J57" si="62">+I59</f>
        <v>21000</v>
      </c>
      <c r="K57" s="231">
        <f t="shared" ref="K57" si="63">+J59</f>
        <v>21000</v>
      </c>
      <c r="L57" s="231">
        <f t="shared" ref="L57" si="64">+K59</f>
        <v>21000</v>
      </c>
      <c r="M57" s="231">
        <f t="shared" ref="M57" si="65">+L59</f>
        <v>21000</v>
      </c>
      <c r="N57" s="231">
        <f t="shared" ref="N57" si="66">+M59</f>
        <v>21000</v>
      </c>
      <c r="O57" s="158"/>
      <c r="Q57" s="287"/>
    </row>
    <row r="58" spans="2:17" ht="16" x14ac:dyDescent="0.15">
      <c r="B58" s="239" t="s">
        <v>162</v>
      </c>
      <c r="C58" s="231">
        <f>IFERROR(VLOOKUP($B52,'Distinta base agg'!$B$5:$D$7,3,0),0)*'Tab 4 v2'!C$15+IFERROR(VLOOKUP($B52,'Distinta base agg'!$B$12:$D$16,3,0),0)*'Tab 4 v2'!C$28</f>
        <v>10825.11980614964</v>
      </c>
      <c r="D58" s="231">
        <f>IFERROR(VLOOKUP($B52,'Distinta base agg'!$B$5:$D$7,3,0),0)*'Tab 4 v2'!D$15+IFERROR(VLOOKUP($B52,'Distinta base agg'!$B$12:$D$16,3,0),0)*'Tab 4 v2'!D$28</f>
        <v>11223.506291818841</v>
      </c>
      <c r="E58" s="231">
        <f>IFERROR(VLOOKUP($B52,'Distinta base agg'!$B$5:$D$7,3,0),0)*'Tab 4 v2'!E$15+IFERROR(VLOOKUP($B52,'Distinta base agg'!$B$12:$D$16,3,0),0)*'Tab 4 v2'!E$28</f>
        <v>11757.958972381639</v>
      </c>
      <c r="F58" s="231">
        <f>IFERROR(VLOOKUP($B52,'Distinta base agg'!$B$5:$D$7,3,0),0)*'Tab 4 v2'!F$15+IFERROR(VLOOKUP($B52,'Distinta base agg'!$B$12:$D$16,3,0),0)*'Tab 4 v2'!F$28</f>
        <v>11757.958972381595</v>
      </c>
      <c r="G58" s="231">
        <f>IFERROR(VLOOKUP($B52,'Distinta base agg'!$B$5:$D$7,3,0),0)*'Tab 4 v2'!G$15+IFERROR(VLOOKUP($B52,'Distinta base agg'!$B$12:$D$16,3,0),0)*'Tab 4 v2'!G$28</f>
        <v>7510.2760631983692</v>
      </c>
      <c r="H58" s="231">
        <f>IFERROR(VLOOKUP($B52,'Distinta base agg'!$B$5:$D$7,3,0),0)*'Tab 4 v2'!H$15+IFERROR(VLOOKUP($B52,'Distinta base agg'!$B$12:$D$16,3,0),0)*'Tab 4 v2'!H$28</f>
        <v>13654.978723404245</v>
      </c>
      <c r="I58" s="231">
        <f>IFERROR(VLOOKUP($B52,'Distinta base agg'!$B$5:$D$7,3,0),0)*'Tab 4 v2'!I$15+IFERROR(VLOOKUP($B52,'Distinta base agg'!$B$12:$D$16,3,0),0)*'Tab 4 v2'!I$28</f>
        <v>12004.978723404252</v>
      </c>
      <c r="J58" s="231">
        <f>IFERROR(VLOOKUP($B52,'Distinta base agg'!$B$5:$D$7,3,0),0)*'Tab 4 v2'!J$15+IFERROR(VLOOKUP($B52,'Distinta base agg'!$B$12:$D$16,3,0),0)*'Tab 4 v2'!J$28</f>
        <v>7448.1702127659573</v>
      </c>
      <c r="K58" s="231">
        <f>IFERROR(VLOOKUP($B52,'Distinta base agg'!$B$5:$D$7,3,0),0)*'Tab 4 v2'!K$15+IFERROR(VLOOKUP($B52,'Distinta base agg'!$B$12:$D$16,3,0),0)*'Tab 4 v2'!K$28</f>
        <v>9025.3996534986945</v>
      </c>
      <c r="L58" s="231">
        <f>IFERROR(VLOOKUP($B52,'Distinta base agg'!$B$5:$D$7,3,0),0)*'Tab 4 v2'!L$15+IFERROR(VLOOKUP($B52,'Distinta base agg'!$B$12:$D$16,3,0),0)*'Tab 4 v2'!L$28</f>
        <v>13034.297872340423</v>
      </c>
      <c r="M58" s="231">
        <f>IFERROR(VLOOKUP($B52,'Distinta base agg'!$B$5:$D$7,3,0),0)*'Tab 4 v2'!M$15+IFERROR(VLOOKUP($B52,'Distinta base agg'!$B$12:$D$16,3,0),0)*'Tab 4 v2'!M$28</f>
        <v>13034.297872340423</v>
      </c>
      <c r="N58" s="231">
        <f>IFERROR(VLOOKUP($B52,'Distinta base agg'!$B$5:$D$7,3,0),0)*'Tab 4 v2'!N$15+IFERROR(VLOOKUP($B52,'Distinta base agg'!$B$12:$D$16,3,0),0)*'Tab 4 v2'!N$28</f>
        <v>5798.1702127659573</v>
      </c>
      <c r="O58" s="158">
        <f>SUM(C58:N58)</f>
        <v>127075.11337645003</v>
      </c>
      <c r="Q58" s="287">
        <f>IFERROR(VLOOKUP($B52,'Distinta base agg'!$B$5:$D$7,3,0),0)*'Tab 4 v2'!Q$15+IFERROR(VLOOKUP($B52,'Distinta base agg'!$B$12:$D$16,3,0),0)*'Tab 4 v2'!Q$28</f>
        <v>11869.727907016815</v>
      </c>
    </row>
    <row r="59" spans="2:17" ht="17" thickBot="1" x14ac:dyDescent="0.2">
      <c r="B59" s="239" t="s">
        <v>135</v>
      </c>
      <c r="C59" s="231">
        <f>+IF(D58&gt;=$C55,D58,$C55)</f>
        <v>21000</v>
      </c>
      <c r="D59" s="231">
        <f t="shared" ref="D59:G59" si="67">+IF(E58&gt;=$C55,E58,$C55)</f>
        <v>21000</v>
      </c>
      <c r="E59" s="231">
        <f t="shared" si="67"/>
        <v>21000</v>
      </c>
      <c r="F59" s="231">
        <f t="shared" si="67"/>
        <v>21000</v>
      </c>
      <c r="G59" s="231">
        <f t="shared" si="67"/>
        <v>21000</v>
      </c>
      <c r="H59" s="231">
        <f>+IF(I58&gt;=$C55,I58,$C55)</f>
        <v>21000</v>
      </c>
      <c r="I59" s="231">
        <f>+IF(J58&gt;=$C55,J58,$C55)</f>
        <v>21000</v>
      </c>
      <c r="J59" s="231">
        <f>+IF(K58&gt;=$C55,K58,$C55)</f>
        <v>21000</v>
      </c>
      <c r="K59" s="231">
        <f t="shared" ref="K59" si="68">+IF(L58&gt;=$C55,L58,$C55)</f>
        <v>21000</v>
      </c>
      <c r="L59" s="231">
        <f>+IF(M58&gt;=$C55,M58,$C55)</f>
        <v>21000</v>
      </c>
      <c r="M59" s="231">
        <f t="shared" ref="M59" si="69">+IF(N58&gt;=$C55,N58,$C55)</f>
        <v>21000</v>
      </c>
      <c r="N59" s="231">
        <f>+IF(Q58&gt;=$C55,Q58,$C55)</f>
        <v>21000</v>
      </c>
      <c r="O59" s="158"/>
      <c r="Q59" s="288"/>
    </row>
    <row r="60" spans="2:17" ht="17" thickBot="1" x14ac:dyDescent="0.2">
      <c r="B60" s="240" t="s">
        <v>163</v>
      </c>
      <c r="C60" s="235">
        <f>(C59-C57+C58)</f>
        <v>10825.11980614964</v>
      </c>
      <c r="D60" s="235">
        <f t="shared" ref="D60:N60" si="70">(D59-D57+D58)</f>
        <v>11223.506291818841</v>
      </c>
      <c r="E60" s="235">
        <f t="shared" si="70"/>
        <v>11757.958972381639</v>
      </c>
      <c r="F60" s="235">
        <f t="shared" si="70"/>
        <v>11757.958972381595</v>
      </c>
      <c r="G60" s="235">
        <f t="shared" si="70"/>
        <v>7510.2760631983692</v>
      </c>
      <c r="H60" s="235">
        <f t="shared" si="70"/>
        <v>13654.978723404245</v>
      </c>
      <c r="I60" s="235">
        <f t="shared" si="70"/>
        <v>12004.978723404252</v>
      </c>
      <c r="J60" s="235">
        <f t="shared" si="70"/>
        <v>7448.1702127659573</v>
      </c>
      <c r="K60" s="235">
        <f t="shared" si="70"/>
        <v>9025.3996534986945</v>
      </c>
      <c r="L60" s="235">
        <f t="shared" si="70"/>
        <v>13034.297872340423</v>
      </c>
      <c r="M60" s="235">
        <f t="shared" si="70"/>
        <v>13034.297872340423</v>
      </c>
      <c r="N60" s="235">
        <f t="shared" si="70"/>
        <v>5798.1702127659573</v>
      </c>
      <c r="O60" s="245">
        <f>SUM(C60:N60)</f>
        <v>127075.11337645003</v>
      </c>
    </row>
    <row r="61" spans="2:17" ht="16" x14ac:dyDescent="0.15">
      <c r="B61" s="275" t="s">
        <v>151</v>
      </c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237"/>
      <c r="Q61" s="148"/>
    </row>
    <row r="62" spans="2:17" ht="16" x14ac:dyDescent="0.15">
      <c r="B62" s="277" t="s">
        <v>131</v>
      </c>
      <c r="C62" s="276">
        <f>VLOOKUP(B61,'Distinta base agg'!$B$38:$C$44,2,0)</f>
        <v>3500</v>
      </c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237"/>
      <c r="Q62" s="149"/>
    </row>
    <row r="63" spans="2:17" ht="16" x14ac:dyDescent="0.15">
      <c r="B63" s="277" t="s">
        <v>160</v>
      </c>
      <c r="C63" s="276">
        <f>VLOOKUP(B61,'Distinta base agg'!$B$25:$D$31,2,0)</f>
        <v>30</v>
      </c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237"/>
      <c r="Q63" s="149"/>
    </row>
    <row r="64" spans="2:17" ht="16" x14ac:dyDescent="0.15">
      <c r="B64" s="277" t="s">
        <v>161</v>
      </c>
      <c r="C64" s="276">
        <f>VLOOKUP(B61,'Distinta base agg'!$B$25:$D$31,3,0)</f>
        <v>3500</v>
      </c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237"/>
      <c r="Q64" s="149"/>
    </row>
    <row r="65" spans="2:17" ht="16" x14ac:dyDescent="0.15">
      <c r="B65" s="141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237"/>
      <c r="Q65" s="149"/>
    </row>
    <row r="66" spans="2:17" ht="16" x14ac:dyDescent="0.15">
      <c r="B66" s="141" t="s">
        <v>130</v>
      </c>
      <c r="C66" s="246">
        <f>+C62</f>
        <v>3500</v>
      </c>
      <c r="D66" s="231">
        <f>+C68</f>
        <v>3741.1687639396141</v>
      </c>
      <c r="E66" s="231">
        <f t="shared" ref="E66" si="71">+D68</f>
        <v>3919.3196574605463</v>
      </c>
      <c r="F66" s="231">
        <f t="shared" ref="F66" si="72">+E68</f>
        <v>3919.3196574605317</v>
      </c>
      <c r="G66" s="231">
        <f t="shared" ref="G66" si="73">+F68</f>
        <v>3500</v>
      </c>
      <c r="H66" s="231">
        <f t="shared" ref="H66" si="74">+G68</f>
        <v>4551.6595744680817</v>
      </c>
      <c r="I66" s="231">
        <f t="shared" ref="I66" si="75">+H68</f>
        <v>4001.6595744680844</v>
      </c>
      <c r="J66" s="231">
        <f t="shared" ref="J66" si="76">+I68</f>
        <v>3500</v>
      </c>
      <c r="K66" s="231">
        <f t="shared" ref="K66" si="77">+J68</f>
        <v>3500</v>
      </c>
      <c r="L66" s="231">
        <f t="shared" ref="L66" si="78">+K68</f>
        <v>4344.765957446808</v>
      </c>
      <c r="M66" s="231">
        <f t="shared" ref="M66" si="79">+L68</f>
        <v>4344.765957446808</v>
      </c>
      <c r="N66" s="231">
        <f t="shared" ref="N66" si="80">+M68</f>
        <v>3500</v>
      </c>
      <c r="O66" s="158"/>
      <c r="Q66" s="287"/>
    </row>
    <row r="67" spans="2:17" ht="16" x14ac:dyDescent="0.15">
      <c r="B67" s="239" t="s">
        <v>162</v>
      </c>
      <c r="C67" s="231">
        <f>IFERROR(VLOOKUP($B61,'Distinta base agg'!$B$5:$D$7,3,0),0)*'Tab 4 v2'!C$15+IFERROR(VLOOKUP($B61,'Distinta base agg'!$B$12:$D$16,3,0),0)*'Tab 4 v2'!C$28</f>
        <v>3608.3732687165466</v>
      </c>
      <c r="D67" s="231">
        <f>IFERROR(VLOOKUP($B61,'Distinta base agg'!$B$5:$D$7,3,0),0)*'Tab 4 v2'!D$15+IFERROR(VLOOKUP($B61,'Distinta base agg'!$B$12:$D$16,3,0),0)*'Tab 4 v2'!D$28</f>
        <v>3741.1687639396141</v>
      </c>
      <c r="E67" s="231">
        <f>IFERROR(VLOOKUP($B61,'Distinta base agg'!$B$5:$D$7,3,0),0)*'Tab 4 v2'!E$15+IFERROR(VLOOKUP($B61,'Distinta base agg'!$B$12:$D$16,3,0),0)*'Tab 4 v2'!E$28</f>
        <v>3919.3196574605463</v>
      </c>
      <c r="F67" s="231">
        <f>IFERROR(VLOOKUP($B61,'Distinta base agg'!$B$5:$D$7,3,0),0)*'Tab 4 v2'!F$15+IFERROR(VLOOKUP($B61,'Distinta base agg'!$B$12:$D$16,3,0),0)*'Tab 4 v2'!F$28</f>
        <v>3919.3196574605317</v>
      </c>
      <c r="G67" s="231">
        <f>IFERROR(VLOOKUP($B61,'Distinta base agg'!$B$5:$D$7,3,0),0)*'Tab 4 v2'!G$15+IFERROR(VLOOKUP($B61,'Distinta base agg'!$B$12:$D$16,3,0),0)*'Tab 4 v2'!G$28</f>
        <v>2503.4253543994564</v>
      </c>
      <c r="H67" s="231">
        <f>IFERROR(VLOOKUP($B61,'Distinta base agg'!$B$5:$D$7,3,0),0)*'Tab 4 v2'!H$15+IFERROR(VLOOKUP($B61,'Distinta base agg'!$B$12:$D$16,3,0),0)*'Tab 4 v2'!H$28</f>
        <v>4551.6595744680817</v>
      </c>
      <c r="I67" s="231">
        <f>IFERROR(VLOOKUP($B61,'Distinta base agg'!$B$5:$D$7,3,0),0)*'Tab 4 v2'!I$15+IFERROR(VLOOKUP($B61,'Distinta base agg'!$B$12:$D$16,3,0),0)*'Tab 4 v2'!I$28</f>
        <v>4001.6595744680844</v>
      </c>
      <c r="J67" s="231">
        <f>IFERROR(VLOOKUP($B61,'Distinta base agg'!$B$5:$D$7,3,0),0)*'Tab 4 v2'!J$15+IFERROR(VLOOKUP($B61,'Distinta base agg'!$B$12:$D$16,3,0),0)*'Tab 4 v2'!J$28</f>
        <v>2482.7234042553191</v>
      </c>
      <c r="K67" s="231">
        <f>IFERROR(VLOOKUP($B61,'Distinta base agg'!$B$5:$D$7,3,0),0)*'Tab 4 v2'!K$15+IFERROR(VLOOKUP($B61,'Distinta base agg'!$B$12:$D$16,3,0),0)*'Tab 4 v2'!K$28</f>
        <v>3008.4665511662315</v>
      </c>
      <c r="L67" s="231">
        <f>IFERROR(VLOOKUP($B61,'Distinta base agg'!$B$5:$D$7,3,0),0)*'Tab 4 v2'!L$15+IFERROR(VLOOKUP($B61,'Distinta base agg'!$B$12:$D$16,3,0),0)*'Tab 4 v2'!L$28</f>
        <v>4344.765957446808</v>
      </c>
      <c r="M67" s="231">
        <f>IFERROR(VLOOKUP($B61,'Distinta base agg'!$B$5:$D$7,3,0),0)*'Tab 4 v2'!M$15+IFERROR(VLOOKUP($B61,'Distinta base agg'!$B$12:$D$16,3,0),0)*'Tab 4 v2'!M$28</f>
        <v>4344.765957446808</v>
      </c>
      <c r="N67" s="231">
        <f>IFERROR(VLOOKUP($B61,'Distinta base agg'!$B$5:$D$7,3,0),0)*'Tab 4 v2'!N$15+IFERROR(VLOOKUP($B61,'Distinta base agg'!$B$12:$D$16,3,0),0)*'Tab 4 v2'!N$28</f>
        <v>1932.7234042553191</v>
      </c>
      <c r="O67" s="158">
        <f>SUM(C67:N67)</f>
        <v>42358.37112548334</v>
      </c>
      <c r="Q67" s="287">
        <f>IFERROR(VLOOKUP($B61,'Distinta base agg'!$B$5:$D$7,3,0),0)*'Tab 4 v2'!Q$15+IFERROR(VLOOKUP($B61,'Distinta base agg'!$B$12:$D$16,3,0),0)*'Tab 4 v2'!Q$28</f>
        <v>3956.5759690056047</v>
      </c>
    </row>
    <row r="68" spans="2:17" ht="17" thickBot="1" x14ac:dyDescent="0.2">
      <c r="B68" s="239" t="s">
        <v>135</v>
      </c>
      <c r="C68" s="231">
        <f>+IF(D67&gt;=$C64,D67,$C64)</f>
        <v>3741.1687639396141</v>
      </c>
      <c r="D68" s="231">
        <f t="shared" ref="D68:G68" si="81">+IF(E67&gt;=$C64,E67,$C64)</f>
        <v>3919.3196574605463</v>
      </c>
      <c r="E68" s="231">
        <f t="shared" si="81"/>
        <v>3919.3196574605317</v>
      </c>
      <c r="F68" s="231">
        <f t="shared" si="81"/>
        <v>3500</v>
      </c>
      <c r="G68" s="231">
        <f t="shared" si="81"/>
        <v>4551.6595744680817</v>
      </c>
      <c r="H68" s="231">
        <f>+IF(I67&gt;=$C64,I67,$C64)</f>
        <v>4001.6595744680844</v>
      </c>
      <c r="I68" s="231">
        <f>+IF(J67&gt;=$C64,J67,$C64)</f>
        <v>3500</v>
      </c>
      <c r="J68" s="231">
        <f>+IF(K67&gt;=$C64,K67,$C64)</f>
        <v>3500</v>
      </c>
      <c r="K68" s="231">
        <f t="shared" ref="K68" si="82">+IF(L67&gt;=$C64,L67,$C64)</f>
        <v>4344.765957446808</v>
      </c>
      <c r="L68" s="231">
        <f>+IF(M67&gt;=$C64,M67,$C64)</f>
        <v>4344.765957446808</v>
      </c>
      <c r="M68" s="231">
        <f t="shared" ref="M68" si="83">+IF(N67&gt;=$C64,N67,$C64)</f>
        <v>3500</v>
      </c>
      <c r="N68" s="231">
        <f>+IF(Q67&gt;=$C64,Q67,$C64)</f>
        <v>3956.5759690056047</v>
      </c>
      <c r="O68" s="158"/>
      <c r="Q68" s="288"/>
    </row>
    <row r="69" spans="2:17" ht="17" thickBot="1" x14ac:dyDescent="0.2">
      <c r="B69" s="240" t="s">
        <v>163</v>
      </c>
      <c r="C69" s="235">
        <f>(C68-C66+C67)</f>
        <v>3849.5420326561607</v>
      </c>
      <c r="D69" s="235">
        <f t="shared" ref="D69:N69" si="84">(D68-D66+D67)</f>
        <v>3919.3196574605463</v>
      </c>
      <c r="E69" s="235">
        <f t="shared" si="84"/>
        <v>3919.3196574605317</v>
      </c>
      <c r="F69" s="235">
        <f t="shared" si="84"/>
        <v>3500</v>
      </c>
      <c r="G69" s="235">
        <f t="shared" si="84"/>
        <v>3555.0849288675381</v>
      </c>
      <c r="H69" s="235">
        <f t="shared" si="84"/>
        <v>4001.6595744680844</v>
      </c>
      <c r="I69" s="235">
        <f t="shared" si="84"/>
        <v>3500</v>
      </c>
      <c r="J69" s="235">
        <f t="shared" si="84"/>
        <v>2482.7234042553191</v>
      </c>
      <c r="K69" s="235">
        <f t="shared" si="84"/>
        <v>3853.2325086130395</v>
      </c>
      <c r="L69" s="235">
        <f t="shared" si="84"/>
        <v>4344.765957446808</v>
      </c>
      <c r="M69" s="235">
        <f t="shared" si="84"/>
        <v>3500</v>
      </c>
      <c r="N69" s="235">
        <f t="shared" si="84"/>
        <v>2389.2993732609239</v>
      </c>
      <c r="O69" s="245">
        <f>SUM(C69:N69)</f>
        <v>42814.947094488954</v>
      </c>
    </row>
  </sheetData>
  <mergeCells count="1">
    <mergeCell ref="C5:O5"/>
  </mergeCells>
  <pageMargins left="0.25" right="0.25" top="0.75" bottom="0.75" header="0.3" footer="0.3"/>
  <pageSetup paperSize="9" scale="43" orientation="landscape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B28B6-48AB-594D-B53F-B884DFE95C4A}">
  <sheetPr codeName="Foglio14">
    <pageSetUpPr fitToPage="1"/>
  </sheetPr>
  <dimension ref="B2:O66"/>
  <sheetViews>
    <sheetView showGridLines="0" topLeftCell="A54" zoomScale="131" zoomScaleNormal="170" workbookViewId="0">
      <selection activeCell="C66" sqref="C66"/>
    </sheetView>
  </sheetViews>
  <sheetFormatPr baseColWidth="10" defaultRowHeight="13" x14ac:dyDescent="0.15"/>
  <cols>
    <col min="2" max="2" width="29" bestFit="1" customWidth="1"/>
    <col min="3" max="4" width="12.33203125" bestFit="1" customWidth="1"/>
    <col min="5" max="14" width="11.1640625" bestFit="1" customWidth="1"/>
    <col min="15" max="15" width="12.6640625" bestFit="1" customWidth="1"/>
    <col min="16" max="16" width="2.1640625" customWidth="1"/>
  </cols>
  <sheetData>
    <row r="2" spans="2:15" ht="16" x14ac:dyDescent="0.15">
      <c r="B2" s="77" t="s">
        <v>816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</row>
    <row r="3" spans="2:15" x14ac:dyDescent="0.15"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</row>
    <row r="4" spans="2:15" ht="14" thickBot="1" x14ac:dyDescent="0.2"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</row>
    <row r="5" spans="2:15" ht="16" x14ac:dyDescent="0.15">
      <c r="B5" s="229"/>
      <c r="C5" s="695" t="s">
        <v>98</v>
      </c>
      <c r="D5" s="653"/>
      <c r="E5" s="653"/>
      <c r="F5" s="653"/>
      <c r="G5" s="653"/>
      <c r="H5" s="653"/>
      <c r="I5" s="653"/>
      <c r="J5" s="653"/>
      <c r="K5" s="653"/>
      <c r="L5" s="653"/>
      <c r="M5" s="653"/>
      <c r="N5" s="653"/>
      <c r="O5" s="654"/>
    </row>
    <row r="6" spans="2:15" ht="16" x14ac:dyDescent="0.15">
      <c r="B6" s="238"/>
      <c r="C6" s="236" t="s">
        <v>113</v>
      </c>
      <c r="D6" s="236" t="s">
        <v>114</v>
      </c>
      <c r="E6" s="236" t="s">
        <v>115</v>
      </c>
      <c r="F6" s="236" t="s">
        <v>116</v>
      </c>
      <c r="G6" s="236" t="s">
        <v>117</v>
      </c>
      <c r="H6" s="236" t="s">
        <v>118</v>
      </c>
      <c r="I6" s="236" t="s">
        <v>119</v>
      </c>
      <c r="J6" s="236" t="s">
        <v>120</v>
      </c>
      <c r="K6" s="236" t="s">
        <v>121</v>
      </c>
      <c r="L6" s="236" t="s">
        <v>122</v>
      </c>
      <c r="M6" s="236" t="s">
        <v>123</v>
      </c>
      <c r="N6" s="236" t="s">
        <v>124</v>
      </c>
      <c r="O6" s="241" t="s">
        <v>81</v>
      </c>
    </row>
    <row r="7" spans="2:15" ht="16" x14ac:dyDescent="0.15">
      <c r="B7" s="275" t="s">
        <v>141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237"/>
    </row>
    <row r="8" spans="2:15" ht="16" x14ac:dyDescent="0.15">
      <c r="B8" s="277" t="s">
        <v>167</v>
      </c>
      <c r="C8" s="300">
        <f>VLOOKUP(B7,'Distinta base agg'!$B$5:$F$16,4,0)</f>
        <v>5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237"/>
    </row>
    <row r="9" spans="2:15" ht="16" x14ac:dyDescent="0.15">
      <c r="B9" s="141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237"/>
    </row>
    <row r="10" spans="2:15" ht="16" x14ac:dyDescent="0.15">
      <c r="B10" s="141" t="s">
        <v>130</v>
      </c>
      <c r="C10" s="301">
        <f>C8*'Tab. 8'!C12</f>
        <v>245000</v>
      </c>
      <c r="D10" s="302">
        <f>+C13</f>
        <v>225433.09185169285</v>
      </c>
      <c r="E10" s="302">
        <f t="shared" ref="E10:N10" si="0">+D13</f>
        <v>252776.97095058349</v>
      </c>
      <c r="F10" s="302">
        <f t="shared" si="0"/>
        <v>232247.48936170214</v>
      </c>
      <c r="G10" s="302">
        <f t="shared" si="0"/>
        <v>232247.48936170212</v>
      </c>
      <c r="H10" s="302">
        <f>+G13</f>
        <v>243306.89361702104</v>
      </c>
      <c r="I10" s="302">
        <f t="shared" si="0"/>
        <v>225000</v>
      </c>
      <c r="J10" s="302">
        <f t="shared" si="0"/>
        <v>225000</v>
      </c>
      <c r="K10" s="302">
        <f t="shared" si="0"/>
        <v>228759.75289507557</v>
      </c>
      <c r="L10" s="302">
        <f t="shared" si="0"/>
        <v>225000.00000000003</v>
      </c>
      <c r="M10" s="302">
        <f t="shared" si="0"/>
        <v>232247.48936170214</v>
      </c>
      <c r="N10" s="302">
        <f t="shared" si="0"/>
        <v>225000.00000000003</v>
      </c>
      <c r="O10" s="158"/>
    </row>
    <row r="11" spans="2:15" ht="16" x14ac:dyDescent="0.15">
      <c r="B11" s="239" t="s">
        <v>168</v>
      </c>
      <c r="C11" s="301">
        <f>$C8*'Tab. 8'!C13</f>
        <v>199069.27659574465</v>
      </c>
      <c r="D11" s="301">
        <f>$C8*'Tab. 8'!D13</f>
        <v>225433.09185169285</v>
      </c>
      <c r="E11" s="301">
        <f>$C8*'Tab. 8'!E13</f>
        <v>252776.97095058349</v>
      </c>
      <c r="F11" s="301">
        <f>$C8*'Tab. 8'!F13</f>
        <v>232247.48936170214</v>
      </c>
      <c r="G11" s="301">
        <f>$C8*'Tab. 8'!G13</f>
        <v>232247.48936170212</v>
      </c>
      <c r="H11" s="301">
        <f>$C8*'Tab. 8'!H13</f>
        <v>243306.89361702104</v>
      </c>
      <c r="I11" s="301">
        <f>$C8*'Tab. 8'!I13</f>
        <v>213906.89361702127</v>
      </c>
      <c r="J11" s="301">
        <f>$C8*'Tab. 8'!J13</f>
        <v>132712.85106382976</v>
      </c>
      <c r="K11" s="301">
        <f>$C8*'Tab. 8'!K13</f>
        <v>228759.75289507554</v>
      </c>
      <c r="L11" s="301">
        <f>$C8*'Tab. 8'!L13</f>
        <v>201786.90254188405</v>
      </c>
      <c r="M11" s="301">
        <f>$C8*'Tab. 8'!M13</f>
        <v>232247.48936170212</v>
      </c>
      <c r="N11" s="301">
        <f>$C8*'Tab. 8'!N13</f>
        <v>103312.85106382979</v>
      </c>
      <c r="O11" s="162">
        <f>SUM(C11:N11)</f>
        <v>2497807.9522817889</v>
      </c>
    </row>
    <row r="12" spans="2:15" ht="17" thickBot="1" x14ac:dyDescent="0.2">
      <c r="B12" s="239" t="s">
        <v>169</v>
      </c>
      <c r="C12" s="302">
        <f>$C8*'Tab. 8'!C15</f>
        <v>179502.3684474375</v>
      </c>
      <c r="D12" s="302">
        <f>$C8*'Tab. 8'!D15</f>
        <v>252776.97095058349</v>
      </c>
      <c r="E12" s="302">
        <f>$C8*'Tab. 8'!E15</f>
        <v>232247.48936170214</v>
      </c>
      <c r="F12" s="302">
        <f>$C8*'Tab. 8'!F15</f>
        <v>232247.48936170212</v>
      </c>
      <c r="G12" s="302">
        <f>$C8*'Tab. 8'!G15</f>
        <v>243306.89361702104</v>
      </c>
      <c r="H12" s="302">
        <f>$C8*'Tab. 8'!H15</f>
        <v>225000</v>
      </c>
      <c r="I12" s="302">
        <f>$C8*'Tab. 8'!I15</f>
        <v>213906.89361702127</v>
      </c>
      <c r="J12" s="302">
        <f>$C8*'Tab. 8'!J15</f>
        <v>136472.60395890533</v>
      </c>
      <c r="K12" s="302">
        <f>$C8*'Tab. 8'!K15</f>
        <v>225000</v>
      </c>
      <c r="L12" s="302">
        <f>$C8*'Tab. 8'!L15</f>
        <v>209034.39190358616</v>
      </c>
      <c r="M12" s="302">
        <f>$C8*'Tab. 8'!M15</f>
        <v>225000</v>
      </c>
      <c r="N12" s="302">
        <f>$C8*'Tab. 8'!N15</f>
        <v>124429.42569317952</v>
      </c>
      <c r="O12" s="162">
        <f>SUM(C12:N12)</f>
        <v>2498924.5269111386</v>
      </c>
    </row>
    <row r="13" spans="2:15" ht="17" thickBot="1" x14ac:dyDescent="0.2">
      <c r="B13" s="240" t="s">
        <v>135</v>
      </c>
      <c r="C13" s="514">
        <f>C10-C11+C12</f>
        <v>225433.09185169285</v>
      </c>
      <c r="D13" s="514">
        <f>D10-D11+D12</f>
        <v>252776.97095058349</v>
      </c>
      <c r="E13" s="514">
        <f t="shared" ref="E13" si="1">E10-E11+E12</f>
        <v>232247.48936170214</v>
      </c>
      <c r="F13" s="514">
        <f t="shared" ref="F13" si="2">F10-F11+F12</f>
        <v>232247.48936170212</v>
      </c>
      <c r="G13" s="514">
        <f t="shared" ref="G13" si="3">G10-G11+G12</f>
        <v>243306.89361702104</v>
      </c>
      <c r="H13" s="514">
        <f t="shared" ref="H13" si="4">H10-H11+H12</f>
        <v>225000</v>
      </c>
      <c r="I13" s="514">
        <f t="shared" ref="I13" si="5">I10-I11+I12</f>
        <v>225000</v>
      </c>
      <c r="J13" s="514">
        <f t="shared" ref="J13" si="6">J10-J11+J12</f>
        <v>228759.75289507557</v>
      </c>
      <c r="K13" s="514">
        <f t="shared" ref="K13" si="7">K10-K11+K12</f>
        <v>225000.00000000003</v>
      </c>
      <c r="L13" s="514">
        <f t="shared" ref="L13" si="8">L10-L11+L12</f>
        <v>232247.48936170214</v>
      </c>
      <c r="M13" s="514">
        <f t="shared" ref="M13" si="9">M10-M11+M12</f>
        <v>225000.00000000003</v>
      </c>
      <c r="N13" s="514">
        <f t="shared" ref="N13" si="10">N10-N11+N12</f>
        <v>246116.57462934975</v>
      </c>
      <c r="O13" s="245"/>
    </row>
    <row r="14" spans="2:15" ht="16" x14ac:dyDescent="0.15">
      <c r="B14" s="275" t="s">
        <v>142</v>
      </c>
      <c r="C14" s="304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  <c r="O14" s="237"/>
    </row>
    <row r="15" spans="2:15" ht="16" x14ac:dyDescent="0.15">
      <c r="B15" s="277" t="s">
        <v>167</v>
      </c>
      <c r="C15" s="300">
        <f>VLOOKUP(B14,'Distinta base agg'!$B$5:$F$16,4,0)</f>
        <v>74.999650000000003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237"/>
    </row>
    <row r="16" spans="2:15" ht="16" x14ac:dyDescent="0.15">
      <c r="B16" s="141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237"/>
    </row>
    <row r="17" spans="2:15" ht="16" x14ac:dyDescent="0.15">
      <c r="B17" s="141" t="s">
        <v>130</v>
      </c>
      <c r="C17" s="301">
        <f>C15*'Tab. 8'!C21</f>
        <v>4499979</v>
      </c>
      <c r="D17" s="302">
        <f>+C20</f>
        <v>4499979</v>
      </c>
      <c r="E17" s="302">
        <f t="shared" ref="E17:G17" si="11">+D20</f>
        <v>4499979</v>
      </c>
      <c r="F17" s="302">
        <f t="shared" si="11"/>
        <v>4499979</v>
      </c>
      <c r="G17" s="302">
        <f t="shared" si="11"/>
        <v>4499979</v>
      </c>
      <c r="H17" s="302">
        <f>+G20</f>
        <v>4499979</v>
      </c>
      <c r="I17" s="302">
        <f t="shared" ref="I17:N17" si="12">+H20</f>
        <v>4499979</v>
      </c>
      <c r="J17" s="302">
        <f t="shared" si="12"/>
        <v>4499979</v>
      </c>
      <c r="K17" s="302">
        <f t="shared" si="12"/>
        <v>4499979</v>
      </c>
      <c r="L17" s="302">
        <f t="shared" si="12"/>
        <v>4499979</v>
      </c>
      <c r="M17" s="302">
        <f t="shared" si="12"/>
        <v>4499979</v>
      </c>
      <c r="N17" s="302">
        <f t="shared" si="12"/>
        <v>4499979</v>
      </c>
      <c r="O17" s="158"/>
    </row>
    <row r="18" spans="2:15" ht="16" x14ac:dyDescent="0.15">
      <c r="B18" s="239" t="s">
        <v>168</v>
      </c>
      <c r="C18" s="301">
        <f>$C15*'Tab. 8'!C22</f>
        <v>3981366.9521157448</v>
      </c>
      <c r="D18" s="301">
        <f>$C15*'Tab. 8'!D22</f>
        <v>4508640.7966119507</v>
      </c>
      <c r="E18" s="301">
        <f>$C15*'Tab. 8'!E22</f>
        <v>5055515.8264943808</v>
      </c>
      <c r="F18" s="301">
        <f>$C15*'Tab. 8'!F22</f>
        <v>4644928.1108017024</v>
      </c>
      <c r="G18" s="301">
        <f>$C15*'Tab. 8'!G22</f>
        <v>4644928.1108017014</v>
      </c>
      <c r="H18" s="301">
        <f>$C15*'Tab. 8'!H22</f>
        <v>4866115.1636970174</v>
      </c>
      <c r="I18" s="301">
        <f>$C15*'Tab. 8'!I22</f>
        <v>4278117.907697021</v>
      </c>
      <c r="J18" s="301">
        <f>$C15*'Tab. 8'!J22</f>
        <v>2654244.6347438297</v>
      </c>
      <c r="K18" s="301">
        <f>$C15*'Tab. 8'!K22</f>
        <v>4575173.7069912404</v>
      </c>
      <c r="L18" s="301">
        <f>$C15*'Tab. 8'!L22</f>
        <v>4035719.2173934439</v>
      </c>
      <c r="M18" s="301">
        <f>$C15*'Tab. 8'!M22</f>
        <v>4644928.1108017014</v>
      </c>
      <c r="N18" s="301">
        <f>$C15*'Tab. 8'!N22</f>
        <v>2066247.3787438299</v>
      </c>
      <c r="O18" s="162">
        <f>SUM(C18:N18)</f>
        <v>49955925.916893564</v>
      </c>
    </row>
    <row r="19" spans="2:15" ht="17" thickBot="1" x14ac:dyDescent="0.2">
      <c r="B19" s="239" t="s">
        <v>169</v>
      </c>
      <c r="C19" s="302">
        <f>$C15*'Tab. 8'!C24</f>
        <v>3981366.9521157448</v>
      </c>
      <c r="D19" s="302">
        <f>$C15*'Tab. 8'!D24</f>
        <v>4508640.7966119507</v>
      </c>
      <c r="E19" s="302">
        <f>$C15*'Tab. 8'!E24</f>
        <v>5055515.8264943808</v>
      </c>
      <c r="F19" s="302">
        <f>$C15*'Tab. 8'!F24</f>
        <v>4644928.1108017024</v>
      </c>
      <c r="G19" s="302">
        <f>$C15*'Tab. 8'!G24</f>
        <v>4644928.1108017014</v>
      </c>
      <c r="H19" s="302">
        <f>$C15*'Tab. 8'!H24</f>
        <v>4866115.1636970174</v>
      </c>
      <c r="I19" s="302">
        <f>$C15*'Tab. 8'!I24</f>
        <v>4278117.907697021</v>
      </c>
      <c r="J19" s="302">
        <f>$C15*'Tab. 8'!J24</f>
        <v>2654244.6347438297</v>
      </c>
      <c r="K19" s="302">
        <f>$C15*'Tab. 8'!K24</f>
        <v>4575173.7069912404</v>
      </c>
      <c r="L19" s="302">
        <f>$C15*'Tab. 8'!L24</f>
        <v>4035719.2173934439</v>
      </c>
      <c r="M19" s="302">
        <f>$C15*'Tab. 8'!M24</f>
        <v>4644928.1108017014</v>
      </c>
      <c r="N19" s="302">
        <f>$C15*'Tab. 8'!N24</f>
        <v>2066247.3787438299</v>
      </c>
      <c r="O19" s="162">
        <f>SUM(C19:N19)</f>
        <v>49955925.916893564</v>
      </c>
    </row>
    <row r="20" spans="2:15" ht="17" thickBot="1" x14ac:dyDescent="0.2">
      <c r="B20" s="240" t="s">
        <v>135</v>
      </c>
      <c r="C20" s="514">
        <f>C17-C18+C19</f>
        <v>4499979</v>
      </c>
      <c r="D20" s="514">
        <f>D17-D18+D19</f>
        <v>4499979</v>
      </c>
      <c r="E20" s="514">
        <f t="shared" ref="E20" si="13">E17-E18+E19</f>
        <v>4499979</v>
      </c>
      <c r="F20" s="514">
        <f t="shared" ref="F20" si="14">F17-F18+F19</f>
        <v>4499979</v>
      </c>
      <c r="G20" s="514">
        <f t="shared" ref="G20" si="15">G17-G18+G19</f>
        <v>4499979</v>
      </c>
      <c r="H20" s="514">
        <f t="shared" ref="H20" si="16">H17-H18+H19</f>
        <v>4499979</v>
      </c>
      <c r="I20" s="514">
        <f t="shared" ref="I20" si="17">I17-I18+I19</f>
        <v>4499979</v>
      </c>
      <c r="J20" s="514">
        <f t="shared" ref="J20" si="18">J17-J18+J19</f>
        <v>4499979</v>
      </c>
      <c r="K20" s="514">
        <f t="shared" ref="K20" si="19">K17-K18+K19</f>
        <v>4499979</v>
      </c>
      <c r="L20" s="514">
        <f t="shared" ref="L20" si="20">L17-L18+L19</f>
        <v>4499979</v>
      </c>
      <c r="M20" s="514">
        <f t="shared" ref="M20" si="21">M17-M18+M19</f>
        <v>4499979</v>
      </c>
      <c r="N20" s="514">
        <f t="shared" ref="N20" si="22">N17-N18+N19</f>
        <v>4499979</v>
      </c>
      <c r="O20" s="245"/>
    </row>
    <row r="21" spans="2:15" ht="16" x14ac:dyDescent="0.15">
      <c r="B21" s="275" t="s">
        <v>143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237"/>
    </row>
    <row r="22" spans="2:15" ht="16" x14ac:dyDescent="0.15">
      <c r="B22" s="277" t="s">
        <v>167</v>
      </c>
      <c r="C22" s="300">
        <f>VLOOKUP(B21,'Distinta base agg'!$B$5:$F$16,4,0)</f>
        <v>30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237"/>
    </row>
    <row r="23" spans="2:15" ht="16" x14ac:dyDescent="0.15">
      <c r="B23" s="141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237"/>
    </row>
    <row r="24" spans="2:15" ht="16" x14ac:dyDescent="0.15">
      <c r="B24" s="141" t="s">
        <v>130</v>
      </c>
      <c r="C24" s="301">
        <f>C22*'Tab. 8'!C30</f>
        <v>1884000</v>
      </c>
      <c r="D24" s="302">
        <f>+C27</f>
        <v>1884000</v>
      </c>
      <c r="E24" s="302">
        <f t="shared" ref="E24:G24" si="23">+D27</f>
        <v>1884000</v>
      </c>
      <c r="F24" s="302">
        <f t="shared" si="23"/>
        <v>1884000</v>
      </c>
      <c r="G24" s="302">
        <f t="shared" si="23"/>
        <v>1884000</v>
      </c>
      <c r="H24" s="302">
        <f>+G27</f>
        <v>1884000</v>
      </c>
      <c r="I24" s="302">
        <f t="shared" ref="I24:N24" si="24">+H27</f>
        <v>1884000</v>
      </c>
      <c r="J24" s="302">
        <f t="shared" si="24"/>
        <v>1884000</v>
      </c>
      <c r="K24" s="302">
        <f t="shared" si="24"/>
        <v>1884000</v>
      </c>
      <c r="L24" s="302">
        <f t="shared" si="24"/>
        <v>1884000</v>
      </c>
      <c r="M24" s="302">
        <f t="shared" si="24"/>
        <v>1884000</v>
      </c>
      <c r="N24" s="302">
        <f t="shared" si="24"/>
        <v>1884000</v>
      </c>
      <c r="O24" s="158"/>
    </row>
    <row r="25" spans="2:15" ht="16" x14ac:dyDescent="0.15">
      <c r="B25" s="239" t="s">
        <v>168</v>
      </c>
      <c r="C25" s="301">
        <f>$C22*'Tab. 8'!C31</f>
        <v>1679155.1712151547</v>
      </c>
      <c r="D25" s="301">
        <f>$C22*'Tab. 8'!D31</f>
        <v>1893252.7851480935</v>
      </c>
      <c r="E25" s="301">
        <f>$C22*'Tab. 8'!E31</f>
        <v>2116279.439383721</v>
      </c>
      <c r="F25" s="301">
        <f>$C22*'Tab. 8'!F31</f>
        <v>1952043.5866726697</v>
      </c>
      <c r="G25" s="301">
        <f>$C22*'Tab. 8'!G31</f>
        <v>1918062.1233992039</v>
      </c>
      <c r="H25" s="301">
        <f>$C22*'Tab. 8'!H31</f>
        <v>2055694.9787234024</v>
      </c>
      <c r="I25" s="301">
        <f>$C22*'Tab. 8'!I31</f>
        <v>1807294.9787234042</v>
      </c>
      <c r="J25" s="301">
        <f>$C22*'Tab. 8'!J31</f>
        <v>1121288.1702127659</v>
      </c>
      <c r="K25" s="301">
        <f>$C22*'Tab. 8'!K31</f>
        <v>1902281.2203885939</v>
      </c>
      <c r="L25" s="301">
        <f>$C22*'Tab. 8'!L31</f>
        <v>1718569.6033137958</v>
      </c>
      <c r="M25" s="301">
        <f>$C22*'Tab. 8'!M31</f>
        <v>1962254.2978723401</v>
      </c>
      <c r="N25" s="301">
        <f>$C22*'Tab. 8'!N31</f>
        <v>872888.17021276604</v>
      </c>
      <c r="O25" s="162">
        <f>SUM(C25:N25)</f>
        <v>20999064.525265906</v>
      </c>
    </row>
    <row r="26" spans="2:15" ht="17" thickBot="1" x14ac:dyDescent="0.2">
      <c r="B26" s="239" t="s">
        <v>169</v>
      </c>
      <c r="C26" s="302">
        <f>$C22*'Tab. 8'!C33</f>
        <v>1679155.1712151547</v>
      </c>
      <c r="D26" s="302">
        <f>$C22*'Tab. 8'!D33</f>
        <v>1893252.7851480935</v>
      </c>
      <c r="E26" s="302">
        <f>$C22*'Tab. 8'!E33</f>
        <v>2116279.439383721</v>
      </c>
      <c r="F26" s="302">
        <f>$C22*'Tab. 8'!F33</f>
        <v>1952043.5866726697</v>
      </c>
      <c r="G26" s="302">
        <f>$C22*'Tab. 8'!G33</f>
        <v>1918062.1233992039</v>
      </c>
      <c r="H26" s="302">
        <f>$C22*'Tab. 8'!H33</f>
        <v>2055694.9787234024</v>
      </c>
      <c r="I26" s="302">
        <f>$C22*'Tab. 8'!I33</f>
        <v>1807294.9787234042</v>
      </c>
      <c r="J26" s="302">
        <f>$C22*'Tab. 8'!J33</f>
        <v>1121288.1702127659</v>
      </c>
      <c r="K26" s="302">
        <f>$C22*'Tab. 8'!K33</f>
        <v>1902281.2203885939</v>
      </c>
      <c r="L26" s="302">
        <f>$C22*'Tab. 8'!L33</f>
        <v>1718569.6033137958</v>
      </c>
      <c r="M26" s="302">
        <f>$C22*'Tab. 8'!M33</f>
        <v>1962254.2978723401</v>
      </c>
      <c r="N26" s="302">
        <f>$C22*'Tab. 8'!N33</f>
        <v>872888.17021276604</v>
      </c>
      <c r="O26" s="162">
        <f>SUM(C26:N26)</f>
        <v>20999064.525265906</v>
      </c>
    </row>
    <row r="27" spans="2:15" ht="17" thickBot="1" x14ac:dyDescent="0.2">
      <c r="B27" s="240" t="s">
        <v>135</v>
      </c>
      <c r="C27" s="514">
        <f>C24-C25+C26</f>
        <v>1884000</v>
      </c>
      <c r="D27" s="514">
        <f>D24-D25+D26</f>
        <v>1884000</v>
      </c>
      <c r="E27" s="514">
        <f t="shared" ref="E27" si="25">E24-E25+E26</f>
        <v>1884000</v>
      </c>
      <c r="F27" s="514">
        <f t="shared" ref="F27" si="26">F24-F25+F26</f>
        <v>1884000</v>
      </c>
      <c r="G27" s="514">
        <f t="shared" ref="G27" si="27">G24-G25+G26</f>
        <v>1884000</v>
      </c>
      <c r="H27" s="514">
        <f t="shared" ref="H27" si="28">H24-H25+H26</f>
        <v>1884000</v>
      </c>
      <c r="I27" s="514">
        <f t="shared" ref="I27" si="29">I24-I25+I26</f>
        <v>1884000</v>
      </c>
      <c r="J27" s="514">
        <f t="shared" ref="J27" si="30">J24-J25+J26</f>
        <v>1884000</v>
      </c>
      <c r="K27" s="514">
        <f t="shared" ref="K27" si="31">K24-K25+K26</f>
        <v>1884000</v>
      </c>
      <c r="L27" s="514">
        <f t="shared" ref="L27" si="32">L24-L25+L26</f>
        <v>1884000</v>
      </c>
      <c r="M27" s="514">
        <f t="shared" ref="M27" si="33">M24-M25+M26</f>
        <v>1884000</v>
      </c>
      <c r="N27" s="514">
        <f t="shared" ref="N27" si="34">N24-N25+N26</f>
        <v>1884000</v>
      </c>
      <c r="O27" s="245"/>
    </row>
    <row r="28" spans="2:15" ht="16" x14ac:dyDescent="0.15">
      <c r="B28" s="275" t="s">
        <v>92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237"/>
    </row>
    <row r="29" spans="2:15" ht="16" x14ac:dyDescent="0.15">
      <c r="B29" s="277" t="s">
        <v>167</v>
      </c>
      <c r="C29" s="300">
        <f>VLOOKUP(B28,'Distinta base agg'!$B$5:$F$16,4,0)</f>
        <v>50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237"/>
    </row>
    <row r="30" spans="2:15" ht="16" x14ac:dyDescent="0.15">
      <c r="B30" s="141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237"/>
    </row>
    <row r="31" spans="2:15" ht="16" x14ac:dyDescent="0.15">
      <c r="B31" s="141" t="s">
        <v>130</v>
      </c>
      <c r="C31" s="301">
        <f>C29*'Tab. 8'!C39</f>
        <v>175000</v>
      </c>
      <c r="D31" s="302">
        <f>+C34</f>
        <v>175000</v>
      </c>
      <c r="E31" s="302">
        <f t="shared" ref="E31:G31" si="35">+D34</f>
        <v>175000</v>
      </c>
      <c r="F31" s="302">
        <f t="shared" si="35"/>
        <v>175000</v>
      </c>
      <c r="G31" s="302">
        <f t="shared" si="35"/>
        <v>175000</v>
      </c>
      <c r="H31" s="302">
        <f>+G34</f>
        <v>175000</v>
      </c>
      <c r="I31" s="302">
        <f t="shared" ref="I31:N31" si="36">+H34</f>
        <v>175000</v>
      </c>
      <c r="J31" s="302">
        <f t="shared" si="36"/>
        <v>175000</v>
      </c>
      <c r="K31" s="302">
        <f t="shared" si="36"/>
        <v>175000</v>
      </c>
      <c r="L31" s="302">
        <f t="shared" si="36"/>
        <v>175000</v>
      </c>
      <c r="M31" s="302">
        <f t="shared" si="36"/>
        <v>175000</v>
      </c>
      <c r="N31" s="302">
        <f t="shared" si="36"/>
        <v>175000</v>
      </c>
      <c r="O31" s="158"/>
    </row>
    <row r="32" spans="2:15" ht="16" x14ac:dyDescent="0.15">
      <c r="B32" s="239" t="s">
        <v>168</v>
      </c>
      <c r="C32" s="301">
        <f>$C29*'Tab. 8'!C40</f>
        <v>90209.331717913665</v>
      </c>
      <c r="D32" s="301">
        <f>$C29*'Tab. 8'!D40</f>
        <v>93529.219098490357</v>
      </c>
      <c r="E32" s="301">
        <f>$C29*'Tab. 8'!E40</f>
        <v>97982.991436513665</v>
      </c>
      <c r="F32" s="301">
        <f>$C29*'Tab. 8'!F40</f>
        <v>97982.991436513286</v>
      </c>
      <c r="G32" s="301">
        <f>$C29*'Tab. 8'!G40</f>
        <v>62585.63385998641</v>
      </c>
      <c r="H32" s="301">
        <f>$C29*'Tab. 8'!H40</f>
        <v>113791.48936170204</v>
      </c>
      <c r="I32" s="301">
        <f>$C29*'Tab. 8'!I40</f>
        <v>100041.48936170212</v>
      </c>
      <c r="J32" s="301">
        <f>$C29*'Tab. 8'!J40</f>
        <v>62068.085106382976</v>
      </c>
      <c r="K32" s="301">
        <f>$C29*'Tab. 8'!K40</f>
        <v>75211.663779155788</v>
      </c>
      <c r="L32" s="301">
        <f>$C29*'Tab. 8'!L40</f>
        <v>108619.1489361702</v>
      </c>
      <c r="M32" s="301">
        <f>$C29*'Tab. 8'!M40</f>
        <v>108619.1489361702</v>
      </c>
      <c r="N32" s="301">
        <f>$C29*'Tab. 8'!N40</f>
        <v>48318.085106382976</v>
      </c>
      <c r="O32" s="162">
        <f>SUM(C32:N32)</f>
        <v>1058959.2781370836</v>
      </c>
    </row>
    <row r="33" spans="2:15" ht="17" thickBot="1" x14ac:dyDescent="0.2">
      <c r="B33" s="239" t="s">
        <v>169</v>
      </c>
      <c r="C33" s="302">
        <f>$C29*'Tab. 8'!C42</f>
        <v>90209.331717913665</v>
      </c>
      <c r="D33" s="302">
        <f>$C29*'Tab. 8'!D42</f>
        <v>93529.219098490357</v>
      </c>
      <c r="E33" s="302">
        <f>$C29*'Tab. 8'!E42</f>
        <v>97982.991436513665</v>
      </c>
      <c r="F33" s="302">
        <f>$C29*'Tab. 8'!F42</f>
        <v>97982.991436513286</v>
      </c>
      <c r="G33" s="302">
        <f>$C29*'Tab. 8'!G42</f>
        <v>62585.63385998641</v>
      </c>
      <c r="H33" s="302">
        <f>$C29*'Tab. 8'!H42</f>
        <v>113791.48936170204</v>
      </c>
      <c r="I33" s="302">
        <f>$C29*'Tab. 8'!I42</f>
        <v>100041.48936170212</v>
      </c>
      <c r="J33" s="302">
        <f>$C29*'Tab. 8'!J42</f>
        <v>62068.085106382976</v>
      </c>
      <c r="K33" s="302">
        <f>$C29*'Tab. 8'!K42</f>
        <v>75211.663779155788</v>
      </c>
      <c r="L33" s="302">
        <f>$C29*'Tab. 8'!L42</f>
        <v>108619.1489361702</v>
      </c>
      <c r="M33" s="302">
        <f>$C29*'Tab. 8'!M42</f>
        <v>108619.1489361702</v>
      </c>
      <c r="N33" s="302">
        <f>$C29*'Tab. 8'!N42</f>
        <v>48318.085106382976</v>
      </c>
      <c r="O33" s="162">
        <f>SUM(C33:N33)</f>
        <v>1058959.2781370836</v>
      </c>
    </row>
    <row r="34" spans="2:15" ht="17" thickBot="1" x14ac:dyDescent="0.2">
      <c r="B34" s="240" t="s">
        <v>135</v>
      </c>
      <c r="C34" s="514">
        <f>C31-C32+C33</f>
        <v>175000</v>
      </c>
      <c r="D34" s="514">
        <f>D31-D32+D33</f>
        <v>175000</v>
      </c>
      <c r="E34" s="514">
        <f t="shared" ref="E34" si="37">E31-E32+E33</f>
        <v>175000</v>
      </c>
      <c r="F34" s="514">
        <f t="shared" ref="F34" si="38">F31-F32+F33</f>
        <v>175000</v>
      </c>
      <c r="G34" s="514">
        <f t="shared" ref="G34" si="39">G31-G32+G33</f>
        <v>175000</v>
      </c>
      <c r="H34" s="514">
        <f t="shared" ref="H34" si="40">H31-H32+H33</f>
        <v>175000</v>
      </c>
      <c r="I34" s="514">
        <f t="shared" ref="I34" si="41">I31-I32+I33</f>
        <v>175000</v>
      </c>
      <c r="J34" s="514">
        <f t="shared" ref="J34" si="42">J31-J32+J33</f>
        <v>175000</v>
      </c>
      <c r="K34" s="514">
        <f t="shared" ref="K34" si="43">K31-K32+K33</f>
        <v>175000</v>
      </c>
      <c r="L34" s="514">
        <f t="shared" ref="L34" si="44">L31-L32+L33</f>
        <v>175000</v>
      </c>
      <c r="M34" s="514">
        <f t="shared" ref="M34" si="45">M31-M32+M33</f>
        <v>175000</v>
      </c>
      <c r="N34" s="514">
        <f t="shared" ref="N34" si="46">N31-N32+N33</f>
        <v>175000</v>
      </c>
      <c r="O34" s="245"/>
    </row>
    <row r="35" spans="2:15" ht="16" x14ac:dyDescent="0.15">
      <c r="B35" s="275" t="s">
        <v>149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237"/>
    </row>
    <row r="36" spans="2:15" ht="16" x14ac:dyDescent="0.15">
      <c r="B36" s="277" t="s">
        <v>167</v>
      </c>
      <c r="C36" s="300">
        <f>VLOOKUP(B35,'Distinta base agg'!$B$5:$F$16,4,0)</f>
        <v>15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237"/>
    </row>
    <row r="37" spans="2:15" ht="16" x14ac:dyDescent="0.15">
      <c r="B37" s="141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237"/>
    </row>
    <row r="38" spans="2:15" ht="16" x14ac:dyDescent="0.15">
      <c r="B38" s="141" t="s">
        <v>130</v>
      </c>
      <c r="C38" s="301">
        <f>C36*'Tab. 8'!C48</f>
        <v>105000</v>
      </c>
      <c r="D38" s="302">
        <f>+C41</f>
        <v>112235.06291818843</v>
      </c>
      <c r="E38" s="302">
        <f t="shared" ref="E38:G38" si="47">+D41</f>
        <v>117579.58972381639</v>
      </c>
      <c r="F38" s="302">
        <f t="shared" si="47"/>
        <v>117579.58972381595</v>
      </c>
      <c r="G38" s="302">
        <f t="shared" si="47"/>
        <v>105000.03</v>
      </c>
      <c r="H38" s="302">
        <f>+G41</f>
        <v>136549.78723404245</v>
      </c>
      <c r="I38" s="302">
        <f t="shared" ref="I38:N38" si="48">+H41</f>
        <v>120049.78723404254</v>
      </c>
      <c r="J38" s="302">
        <f t="shared" si="48"/>
        <v>105000.03</v>
      </c>
      <c r="K38" s="302">
        <f t="shared" si="48"/>
        <v>105000.03</v>
      </c>
      <c r="L38" s="302">
        <f t="shared" si="48"/>
        <v>130342.97872340425</v>
      </c>
      <c r="M38" s="302">
        <f t="shared" si="48"/>
        <v>130342.97872340425</v>
      </c>
      <c r="N38" s="302">
        <f t="shared" si="48"/>
        <v>105000.03</v>
      </c>
      <c r="O38" s="158"/>
    </row>
    <row r="39" spans="2:15" ht="16" x14ac:dyDescent="0.15">
      <c r="B39" s="239" t="s">
        <v>168</v>
      </c>
      <c r="C39" s="301">
        <f>$C36*'Tab. 8'!C49</f>
        <v>108251.1980614964</v>
      </c>
      <c r="D39" s="301">
        <f>$C36*'Tab. 8'!D49</f>
        <v>112235.06291818843</v>
      </c>
      <c r="E39" s="301">
        <f>$C36*'Tab. 8'!E49</f>
        <v>117579.58972381639</v>
      </c>
      <c r="F39" s="301">
        <f>$C36*'Tab. 8'!F49</f>
        <v>117579.58972381595</v>
      </c>
      <c r="G39" s="301">
        <f>$C36*'Tab. 8'!G49</f>
        <v>75102.760631983692</v>
      </c>
      <c r="H39" s="301">
        <f>$C36*'Tab. 8'!H49</f>
        <v>136549.78723404245</v>
      </c>
      <c r="I39" s="301">
        <f>$C36*'Tab. 8'!I49</f>
        <v>120049.78723404254</v>
      </c>
      <c r="J39" s="301">
        <f>$C36*'Tab. 8'!J49</f>
        <v>74481.702127659577</v>
      </c>
      <c r="K39" s="301">
        <f>$C36*'Tab. 8'!K49</f>
        <v>90253.996534986945</v>
      </c>
      <c r="L39" s="301">
        <f>$C36*'Tab. 8'!L49</f>
        <v>130342.97872340425</v>
      </c>
      <c r="M39" s="301">
        <f>$C36*'Tab. 8'!M49</f>
        <v>130342.97872340425</v>
      </c>
      <c r="N39" s="301">
        <f>$C36*'Tab. 8'!N49</f>
        <v>57981.702127659577</v>
      </c>
      <c r="O39" s="162">
        <f>SUM(C39:N39)</f>
        <v>1270751.1337645003</v>
      </c>
    </row>
    <row r="40" spans="2:15" ht="17" thickBot="1" x14ac:dyDescent="0.2">
      <c r="B40" s="239" t="s">
        <v>169</v>
      </c>
      <c r="C40" s="302">
        <f>$C36*'Tab. 8'!C51</f>
        <v>115486.26097968483</v>
      </c>
      <c r="D40" s="302">
        <f>$C36*'Tab. 8'!D51</f>
        <v>117579.58972381639</v>
      </c>
      <c r="E40" s="302">
        <f>$C36*'Tab. 8'!E51</f>
        <v>117579.58972381595</v>
      </c>
      <c r="F40" s="302">
        <f>$C36*'Tab. 8'!F51</f>
        <v>105000.03</v>
      </c>
      <c r="G40" s="302">
        <f>$C36*'Tab. 8'!G51</f>
        <v>106652.51786602614</v>
      </c>
      <c r="H40" s="302">
        <f>$C36*'Tab. 8'!H51</f>
        <v>120049.78723404254</v>
      </c>
      <c r="I40" s="302">
        <f>$C36*'Tab. 8'!I51</f>
        <v>105000.03</v>
      </c>
      <c r="J40" s="302">
        <f>$C36*'Tab. 8'!J51</f>
        <v>74481.702127659577</v>
      </c>
      <c r="K40" s="302">
        <f>$C36*'Tab. 8'!K51</f>
        <v>115596.94525839119</v>
      </c>
      <c r="L40" s="302">
        <f>$C36*'Tab. 8'!L51</f>
        <v>130342.97872340425</v>
      </c>
      <c r="M40" s="302">
        <f>$C36*'Tab. 8'!M51</f>
        <v>105000.03</v>
      </c>
      <c r="N40" s="302">
        <f>$C36*'Tab. 8'!N51</f>
        <v>71678.95119782773</v>
      </c>
      <c r="O40" s="162">
        <f>SUM(C40:N40)</f>
        <v>1284448.4128346688</v>
      </c>
    </row>
    <row r="41" spans="2:15" ht="17" thickBot="1" x14ac:dyDescent="0.2">
      <c r="B41" s="240" t="s">
        <v>135</v>
      </c>
      <c r="C41" s="514">
        <f>C38-C39+C40</f>
        <v>112235.06291818843</v>
      </c>
      <c r="D41" s="514">
        <f>D38-D39+D40</f>
        <v>117579.58972381639</v>
      </c>
      <c r="E41" s="514">
        <f t="shared" ref="E41" si="49">E38-E39+E40</f>
        <v>117579.58972381595</v>
      </c>
      <c r="F41" s="514">
        <f t="shared" ref="F41" si="50">F38-F39+F40</f>
        <v>105000.03</v>
      </c>
      <c r="G41" s="514">
        <f t="shared" ref="G41" si="51">G38-G39+G40</f>
        <v>136549.78723404245</v>
      </c>
      <c r="H41" s="514">
        <f t="shared" ref="H41" si="52">H38-H39+H40</f>
        <v>120049.78723404254</v>
      </c>
      <c r="I41" s="514">
        <f t="shared" ref="I41" si="53">I38-I39+I40</f>
        <v>105000.03</v>
      </c>
      <c r="J41" s="514">
        <f t="shared" ref="J41" si="54">J38-J39+J40</f>
        <v>105000.03</v>
      </c>
      <c r="K41" s="514">
        <f t="shared" ref="K41" si="55">K38-K39+K40</f>
        <v>130342.97872340425</v>
      </c>
      <c r="L41" s="514">
        <f t="shared" ref="L41" si="56">L38-L39+L40</f>
        <v>130342.97872340425</v>
      </c>
      <c r="M41" s="514">
        <f t="shared" ref="M41" si="57">M38-M39+M40</f>
        <v>105000.03</v>
      </c>
      <c r="N41" s="514">
        <f t="shared" ref="N41" si="58">N38-N39+N40</f>
        <v>118697.27907016815</v>
      </c>
      <c r="O41" s="245"/>
    </row>
    <row r="42" spans="2:15" ht="16" x14ac:dyDescent="0.15">
      <c r="B42" s="275" t="s">
        <v>150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237"/>
    </row>
    <row r="43" spans="2:15" ht="16" x14ac:dyDescent="0.15">
      <c r="B43" s="277" t="s">
        <v>167</v>
      </c>
      <c r="C43" s="300">
        <f>VLOOKUP(B42,'Distinta base agg'!$B$5:$F$16,4,0)</f>
        <v>20</v>
      </c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237"/>
    </row>
    <row r="44" spans="2:15" ht="16" x14ac:dyDescent="0.15">
      <c r="B44" s="141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237"/>
    </row>
    <row r="45" spans="2:15" ht="16" x14ac:dyDescent="0.15">
      <c r="B45" s="141" t="s">
        <v>130</v>
      </c>
      <c r="C45" s="301">
        <f>C43*'Tab. 8'!C57</f>
        <v>420000</v>
      </c>
      <c r="D45" s="302">
        <f>+C48</f>
        <v>420000</v>
      </c>
      <c r="E45" s="302">
        <f t="shared" ref="E45:G45" si="59">+D48</f>
        <v>420000</v>
      </c>
      <c r="F45" s="302">
        <f t="shared" si="59"/>
        <v>420000</v>
      </c>
      <c r="G45" s="302">
        <f t="shared" si="59"/>
        <v>420000</v>
      </c>
      <c r="H45" s="302">
        <f>+G48</f>
        <v>420000</v>
      </c>
      <c r="I45" s="302">
        <f t="shared" ref="I45:N45" si="60">+H48</f>
        <v>420000</v>
      </c>
      <c r="J45" s="302">
        <f t="shared" si="60"/>
        <v>420000</v>
      </c>
      <c r="K45" s="302">
        <f t="shared" si="60"/>
        <v>420000</v>
      </c>
      <c r="L45" s="302">
        <f t="shared" si="60"/>
        <v>420000</v>
      </c>
      <c r="M45" s="302">
        <f t="shared" si="60"/>
        <v>420000</v>
      </c>
      <c r="N45" s="302">
        <f t="shared" si="60"/>
        <v>420000</v>
      </c>
      <c r="O45" s="158"/>
    </row>
    <row r="46" spans="2:15" ht="16" x14ac:dyDescent="0.15">
      <c r="B46" s="239" t="s">
        <v>168</v>
      </c>
      <c r="C46" s="301">
        <f>$C43*'Tab. 8'!C58</f>
        <v>216502.3961229928</v>
      </c>
      <c r="D46" s="301">
        <f>$C43*'Tab. 8'!D58</f>
        <v>224470.12583637683</v>
      </c>
      <c r="E46" s="301">
        <f>$C43*'Tab. 8'!E58</f>
        <v>235159.17944763278</v>
      </c>
      <c r="F46" s="301">
        <f>$C43*'Tab. 8'!F58</f>
        <v>235159.1794476319</v>
      </c>
      <c r="G46" s="301">
        <f>$C43*'Tab. 8'!G58</f>
        <v>150205.52126396738</v>
      </c>
      <c r="H46" s="301">
        <f>$C43*'Tab. 8'!H58</f>
        <v>273099.5744680849</v>
      </c>
      <c r="I46" s="301">
        <f>$C43*'Tab. 8'!I58</f>
        <v>240099.57446808505</v>
      </c>
      <c r="J46" s="301">
        <f>$C43*'Tab. 8'!J58</f>
        <v>148963.40425531915</v>
      </c>
      <c r="K46" s="301">
        <f>$C43*'Tab. 8'!K58</f>
        <v>180507.99306997389</v>
      </c>
      <c r="L46" s="301">
        <f>$C43*'Tab. 8'!L58</f>
        <v>260685.95744680846</v>
      </c>
      <c r="M46" s="301">
        <f>$C43*'Tab. 8'!M58</f>
        <v>260685.95744680846</v>
      </c>
      <c r="N46" s="301">
        <f>$C43*'Tab. 8'!N58</f>
        <v>115963.40425531915</v>
      </c>
      <c r="O46" s="162">
        <f>SUM(C46:N46)</f>
        <v>2541502.2675290005</v>
      </c>
    </row>
    <row r="47" spans="2:15" ht="17" thickBot="1" x14ac:dyDescent="0.2">
      <c r="B47" s="239" t="s">
        <v>169</v>
      </c>
      <c r="C47" s="302">
        <f>$C43*'Tab. 8'!C60</f>
        <v>216502.3961229928</v>
      </c>
      <c r="D47" s="302">
        <f>$C43*'Tab. 8'!D60</f>
        <v>224470.12583637683</v>
      </c>
      <c r="E47" s="302">
        <f>$C43*'Tab. 8'!E60</f>
        <v>235159.17944763278</v>
      </c>
      <c r="F47" s="302">
        <f>$C43*'Tab. 8'!F60</f>
        <v>235159.1794476319</v>
      </c>
      <c r="G47" s="302">
        <f>$C43*'Tab. 8'!G60</f>
        <v>150205.52126396738</v>
      </c>
      <c r="H47" s="302">
        <f>$C43*'Tab. 8'!H60</f>
        <v>273099.5744680849</v>
      </c>
      <c r="I47" s="302">
        <f>$C43*'Tab. 8'!I60</f>
        <v>240099.57446808505</v>
      </c>
      <c r="J47" s="302">
        <f>$C43*'Tab. 8'!J60</f>
        <v>148963.40425531915</v>
      </c>
      <c r="K47" s="302">
        <f>$C43*'Tab. 8'!K60</f>
        <v>180507.99306997389</v>
      </c>
      <c r="L47" s="302">
        <f>$C43*'Tab. 8'!L60</f>
        <v>260685.95744680846</v>
      </c>
      <c r="M47" s="302">
        <f>$C43*'Tab. 8'!M60</f>
        <v>260685.95744680846</v>
      </c>
      <c r="N47" s="302">
        <f>$C43*'Tab. 8'!N60</f>
        <v>115963.40425531915</v>
      </c>
      <c r="O47" s="162">
        <f>SUM(C47:N47)</f>
        <v>2541502.2675290005</v>
      </c>
    </row>
    <row r="48" spans="2:15" ht="17" thickBot="1" x14ac:dyDescent="0.2">
      <c r="B48" s="240" t="s">
        <v>135</v>
      </c>
      <c r="C48" s="514">
        <f>C45-C46+C47</f>
        <v>420000</v>
      </c>
      <c r="D48" s="514">
        <f>D45-D46+D47</f>
        <v>420000</v>
      </c>
      <c r="E48" s="514">
        <f t="shared" ref="E48" si="61">E45-E46+E47</f>
        <v>420000</v>
      </c>
      <c r="F48" s="514">
        <f t="shared" ref="F48" si="62">F45-F46+F47</f>
        <v>420000</v>
      </c>
      <c r="G48" s="514">
        <f t="shared" ref="G48" si="63">G45-G46+G47</f>
        <v>420000</v>
      </c>
      <c r="H48" s="514">
        <f t="shared" ref="H48" si="64">H45-H46+H47</f>
        <v>420000</v>
      </c>
      <c r="I48" s="514">
        <f t="shared" ref="I48" si="65">I45-I46+I47</f>
        <v>420000</v>
      </c>
      <c r="J48" s="514">
        <f t="shared" ref="J48" si="66">J45-J46+J47</f>
        <v>420000</v>
      </c>
      <c r="K48" s="514">
        <f t="shared" ref="K48" si="67">K45-K46+K47</f>
        <v>420000</v>
      </c>
      <c r="L48" s="514">
        <f t="shared" ref="L48" si="68">L45-L46+L47</f>
        <v>420000</v>
      </c>
      <c r="M48" s="514">
        <f t="shared" ref="M48" si="69">M45-M46+M47</f>
        <v>420000</v>
      </c>
      <c r="N48" s="514">
        <f t="shared" ref="N48" si="70">N45-N46+N47</f>
        <v>420000</v>
      </c>
      <c r="O48" s="245"/>
    </row>
    <row r="49" spans="2:15" ht="16" x14ac:dyDescent="0.15">
      <c r="B49" s="275" t="s">
        <v>151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237"/>
    </row>
    <row r="50" spans="2:15" ht="16" x14ac:dyDescent="0.15">
      <c r="B50" s="277" t="s">
        <v>167</v>
      </c>
      <c r="C50" s="300">
        <f>VLOOKUP(B49,'Distinta base agg'!$B$5:$F$16,4,0)</f>
        <v>50</v>
      </c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237"/>
    </row>
    <row r="51" spans="2:15" ht="16" x14ac:dyDescent="0.15">
      <c r="B51" s="141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237"/>
    </row>
    <row r="52" spans="2:15" ht="16" x14ac:dyDescent="0.15">
      <c r="B52" s="141" t="s">
        <v>130</v>
      </c>
      <c r="C52" s="301">
        <f>C50*'Tab. 8'!C66</f>
        <v>175000</v>
      </c>
      <c r="D52" s="302">
        <f>+C55</f>
        <v>187058.43819698071</v>
      </c>
      <c r="E52" s="302">
        <f t="shared" ref="E52:G52" si="71">+D55</f>
        <v>195965.98287302733</v>
      </c>
      <c r="F52" s="302">
        <f t="shared" si="71"/>
        <v>195965.98287302657</v>
      </c>
      <c r="G52" s="302">
        <f t="shared" si="71"/>
        <v>175000</v>
      </c>
      <c r="H52" s="302">
        <f>+G55</f>
        <v>227582.97872340409</v>
      </c>
      <c r="I52" s="302">
        <f t="shared" ref="I52:N52" si="72">+H55</f>
        <v>200082.97872340423</v>
      </c>
      <c r="J52" s="302">
        <f t="shared" si="72"/>
        <v>175000</v>
      </c>
      <c r="K52" s="302">
        <f t="shared" si="72"/>
        <v>175000</v>
      </c>
      <c r="L52" s="302">
        <f t="shared" si="72"/>
        <v>217238.29787234039</v>
      </c>
      <c r="M52" s="302">
        <f t="shared" si="72"/>
        <v>217238.29787234039</v>
      </c>
      <c r="N52" s="302">
        <f t="shared" si="72"/>
        <v>175000</v>
      </c>
      <c r="O52" s="158"/>
    </row>
    <row r="53" spans="2:15" ht="16" x14ac:dyDescent="0.15">
      <c r="B53" s="239" t="s">
        <v>168</v>
      </c>
      <c r="C53" s="301">
        <f>$C50*'Tab. 8'!C67</f>
        <v>180418.66343582733</v>
      </c>
      <c r="D53" s="301">
        <f>$C50*'Tab. 8'!D67</f>
        <v>187058.43819698071</v>
      </c>
      <c r="E53" s="301">
        <f>$C50*'Tab. 8'!E67</f>
        <v>195965.98287302733</v>
      </c>
      <c r="F53" s="301">
        <f>$C50*'Tab. 8'!F67</f>
        <v>195965.98287302657</v>
      </c>
      <c r="G53" s="301">
        <f>$C50*'Tab. 8'!G67</f>
        <v>125171.26771997282</v>
      </c>
      <c r="H53" s="301">
        <f>$C50*'Tab. 8'!H67</f>
        <v>227582.97872340409</v>
      </c>
      <c r="I53" s="301">
        <f>$C50*'Tab. 8'!I67</f>
        <v>200082.97872340423</v>
      </c>
      <c r="J53" s="301">
        <f>$C50*'Tab. 8'!J67</f>
        <v>124136.17021276595</v>
      </c>
      <c r="K53" s="301">
        <f>$C50*'Tab. 8'!K67</f>
        <v>150423.32755831158</v>
      </c>
      <c r="L53" s="301">
        <f>$C50*'Tab. 8'!L67</f>
        <v>217238.29787234039</v>
      </c>
      <c r="M53" s="301">
        <f>$C50*'Tab. 8'!M67</f>
        <v>217238.29787234039</v>
      </c>
      <c r="N53" s="301">
        <f>$C50*'Tab. 8'!N67</f>
        <v>96636.170212765952</v>
      </c>
      <c r="O53" s="162">
        <f>SUM(C53:N53)</f>
        <v>2117918.5562741673</v>
      </c>
    </row>
    <row r="54" spans="2:15" ht="17" thickBot="1" x14ac:dyDescent="0.2">
      <c r="B54" s="239" t="s">
        <v>169</v>
      </c>
      <c r="C54" s="302">
        <f>$C50*'Tab. 8'!C69</f>
        <v>192477.10163280804</v>
      </c>
      <c r="D54" s="302">
        <f>$C50*'Tab. 8'!D69</f>
        <v>195965.98287302733</v>
      </c>
      <c r="E54" s="302">
        <f>$C50*'Tab. 8'!E69</f>
        <v>195965.98287302657</v>
      </c>
      <c r="F54" s="302">
        <f>$C50*'Tab. 8'!F69</f>
        <v>175000</v>
      </c>
      <c r="G54" s="302">
        <f>$C50*'Tab. 8'!G69</f>
        <v>177754.24644337691</v>
      </c>
      <c r="H54" s="302">
        <f>$C50*'Tab. 8'!H69</f>
        <v>200082.97872340423</v>
      </c>
      <c r="I54" s="302">
        <f>$C50*'Tab. 8'!I69</f>
        <v>175000</v>
      </c>
      <c r="J54" s="302">
        <f>$C50*'Tab. 8'!J69</f>
        <v>124136.17021276595</v>
      </c>
      <c r="K54" s="302">
        <f>$C50*'Tab. 8'!K69</f>
        <v>192661.62543065197</v>
      </c>
      <c r="L54" s="302">
        <f>$C50*'Tab. 8'!L69</f>
        <v>217238.29787234039</v>
      </c>
      <c r="M54" s="302">
        <f>$C50*'Tab. 8'!M69</f>
        <v>175000</v>
      </c>
      <c r="N54" s="302">
        <f>$C50*'Tab. 8'!N69</f>
        <v>119464.96866304619</v>
      </c>
      <c r="O54" s="162">
        <f>SUM(C54:N54)</f>
        <v>2140747.3547244477</v>
      </c>
    </row>
    <row r="55" spans="2:15" ht="17" thickBot="1" x14ac:dyDescent="0.2">
      <c r="B55" s="240" t="s">
        <v>135</v>
      </c>
      <c r="C55" s="514">
        <f>C52-C53+C54</f>
        <v>187058.43819698071</v>
      </c>
      <c r="D55" s="514">
        <f>D52-D53+D54</f>
        <v>195965.98287302733</v>
      </c>
      <c r="E55" s="514">
        <f t="shared" ref="E55" si="73">E52-E53+E54</f>
        <v>195965.98287302657</v>
      </c>
      <c r="F55" s="514">
        <f t="shared" ref="F55" si="74">F52-F53+F54</f>
        <v>175000</v>
      </c>
      <c r="G55" s="514">
        <f t="shared" ref="G55" si="75">G52-G53+G54</f>
        <v>227582.97872340409</v>
      </c>
      <c r="H55" s="514">
        <f t="shared" ref="H55" si="76">H52-H53+H54</f>
        <v>200082.97872340423</v>
      </c>
      <c r="I55" s="514">
        <f t="shared" ref="I55" si="77">I52-I53+I54</f>
        <v>175000</v>
      </c>
      <c r="J55" s="514">
        <f t="shared" ref="J55" si="78">J52-J53+J54</f>
        <v>175000</v>
      </c>
      <c r="K55" s="514">
        <f t="shared" ref="K55" si="79">K52-K53+K54</f>
        <v>217238.29787234039</v>
      </c>
      <c r="L55" s="514">
        <f t="shared" ref="L55" si="80">L52-L53+L54</f>
        <v>217238.29787234039</v>
      </c>
      <c r="M55" s="514">
        <f t="shared" ref="M55" si="81">M52-M53+M54</f>
        <v>175000</v>
      </c>
      <c r="N55" s="514">
        <f t="shared" ref="N55" si="82">N52-N53+N54</f>
        <v>197828.79845028024</v>
      </c>
      <c r="O55" s="245"/>
    </row>
    <row r="56" spans="2:15" ht="16" x14ac:dyDescent="0.15">
      <c r="B56" s="306" t="s">
        <v>3</v>
      </c>
      <c r="C56" s="307"/>
      <c r="D56" s="307"/>
      <c r="E56" s="307"/>
      <c r="F56" s="307"/>
      <c r="G56" s="307"/>
      <c r="H56" s="307"/>
      <c r="I56" s="307"/>
      <c r="J56" s="307"/>
      <c r="K56" s="307"/>
      <c r="L56" s="307"/>
      <c r="M56" s="307"/>
      <c r="N56" s="307"/>
      <c r="O56" s="237"/>
    </row>
    <row r="57" spans="2:15" ht="16" x14ac:dyDescent="0.15">
      <c r="B57" s="308"/>
      <c r="C57" s="307"/>
      <c r="D57" s="307"/>
      <c r="E57" s="307"/>
      <c r="F57" s="307"/>
      <c r="G57" s="307"/>
      <c r="H57" s="307"/>
      <c r="I57" s="307"/>
      <c r="J57" s="307"/>
      <c r="K57" s="307"/>
      <c r="L57" s="307"/>
      <c r="M57" s="307"/>
      <c r="N57" s="307"/>
      <c r="O57" s="237"/>
    </row>
    <row r="58" spans="2:15" ht="16" x14ac:dyDescent="0.15">
      <c r="B58" s="308" t="s">
        <v>130</v>
      </c>
      <c r="C58" s="309">
        <f>+C10+C17+C24+C31+C38+C45+C52</f>
        <v>7503979</v>
      </c>
      <c r="D58" s="309">
        <f>+C61</f>
        <v>7503705.592966863</v>
      </c>
      <c r="E58" s="309">
        <f t="shared" ref="E58:G58" si="83">+D61</f>
        <v>7545301.5435474291</v>
      </c>
      <c r="F58" s="309">
        <f t="shared" si="83"/>
        <v>7524772.0619585468</v>
      </c>
      <c r="G58" s="309">
        <f t="shared" si="83"/>
        <v>7491226.5193617046</v>
      </c>
      <c r="H58" s="309">
        <f>+G61</f>
        <v>7586418.6595744686</v>
      </c>
      <c r="I58" s="309">
        <f t="shared" ref="I58:N58" si="84">+H61</f>
        <v>7524111.7659574477</v>
      </c>
      <c r="J58" s="309">
        <f t="shared" si="84"/>
        <v>7483979.0300000012</v>
      </c>
      <c r="K58" s="309">
        <f t="shared" si="84"/>
        <v>7487738.782895077</v>
      </c>
      <c r="L58" s="309">
        <f t="shared" si="84"/>
        <v>7551560.2765957452</v>
      </c>
      <c r="M58" s="309">
        <f t="shared" si="84"/>
        <v>7558807.7659574468</v>
      </c>
      <c r="N58" s="309">
        <f t="shared" si="84"/>
        <v>7483979.0300000012</v>
      </c>
      <c r="O58" s="158"/>
    </row>
    <row r="59" spans="2:15" ht="16" x14ac:dyDescent="0.15">
      <c r="B59" s="310" t="s">
        <v>168</v>
      </c>
      <c r="C59" s="309">
        <f>+C11+C18+C25+C32+C39+C46+C53</f>
        <v>6454972.9892648738</v>
      </c>
      <c r="D59" s="309">
        <f t="shared" ref="D59:N59" si="85">+D11+D18+D25+D32+D39+D46+D53</f>
        <v>7244619.519661773</v>
      </c>
      <c r="E59" s="309">
        <f t="shared" si="85"/>
        <v>8071259.9803096764</v>
      </c>
      <c r="F59" s="309">
        <f t="shared" si="85"/>
        <v>7475906.9303170629</v>
      </c>
      <c r="G59" s="309">
        <f t="shared" si="85"/>
        <v>7208302.9070385182</v>
      </c>
      <c r="H59" s="309">
        <f t="shared" si="85"/>
        <v>7916140.8658246743</v>
      </c>
      <c r="I59" s="309">
        <f t="shared" si="85"/>
        <v>6959593.6098246798</v>
      </c>
      <c r="J59" s="309">
        <f t="shared" si="85"/>
        <v>4317895.0177225536</v>
      </c>
      <c r="K59" s="309">
        <f t="shared" si="85"/>
        <v>7202611.6612173384</v>
      </c>
      <c r="L59" s="309">
        <f t="shared" si="85"/>
        <v>6672962.1062278468</v>
      </c>
      <c r="M59" s="309">
        <f t="shared" si="85"/>
        <v>7556316.2810144667</v>
      </c>
      <c r="N59" s="309">
        <f t="shared" si="85"/>
        <v>3361347.7617225535</v>
      </c>
      <c r="O59" s="162">
        <f>SUM(C59:N59)</f>
        <v>80441929.630146027</v>
      </c>
    </row>
    <row r="60" spans="2:15" ht="17" thickBot="1" x14ac:dyDescent="0.2">
      <c r="B60" s="310" t="s">
        <v>169</v>
      </c>
      <c r="C60" s="309">
        <f>+C12+C19+C26+C33+C40+C47+C54</f>
        <v>6454699.5822317367</v>
      </c>
      <c r="D60" s="309">
        <f t="shared" ref="D60:N60" si="86">+D12+D19+D26+D33+D40+D47+D54</f>
        <v>7286215.4702423392</v>
      </c>
      <c r="E60" s="309">
        <f t="shared" si="86"/>
        <v>8050730.498720794</v>
      </c>
      <c r="F60" s="309">
        <f t="shared" si="86"/>
        <v>7442361.3877202207</v>
      </c>
      <c r="G60" s="309">
        <f t="shared" si="86"/>
        <v>7303495.0472512823</v>
      </c>
      <c r="H60" s="309">
        <f t="shared" si="86"/>
        <v>7853833.9722076533</v>
      </c>
      <c r="I60" s="309">
        <f t="shared" si="86"/>
        <v>6919460.8738672333</v>
      </c>
      <c r="J60" s="309">
        <f t="shared" si="86"/>
        <v>4321654.7706176294</v>
      </c>
      <c r="K60" s="309">
        <f t="shared" si="86"/>
        <v>7266433.1549180066</v>
      </c>
      <c r="L60" s="309">
        <f t="shared" si="86"/>
        <v>6680209.5955895483</v>
      </c>
      <c r="M60" s="309">
        <f t="shared" si="86"/>
        <v>7481487.5450570211</v>
      </c>
      <c r="N60" s="309">
        <f t="shared" si="86"/>
        <v>3418990.3838723516</v>
      </c>
      <c r="O60" s="162">
        <f>SUM(C60:N60)</f>
        <v>80479572.282295808</v>
      </c>
    </row>
    <row r="61" spans="2:15" ht="17" thickBot="1" x14ac:dyDescent="0.2">
      <c r="B61" s="311" t="s">
        <v>135</v>
      </c>
      <c r="C61" s="312">
        <f>C58-C59+C60</f>
        <v>7503705.592966863</v>
      </c>
      <c r="D61" s="312">
        <f>D58-D59+D60</f>
        <v>7545301.5435474291</v>
      </c>
      <c r="E61" s="312">
        <f t="shared" ref="E61:N61" si="87">E58-E59+E60</f>
        <v>7524772.0619585468</v>
      </c>
      <c r="F61" s="312">
        <f t="shared" si="87"/>
        <v>7491226.5193617046</v>
      </c>
      <c r="G61" s="312">
        <f t="shared" si="87"/>
        <v>7586418.6595744686</v>
      </c>
      <c r="H61" s="312">
        <f t="shared" si="87"/>
        <v>7524111.7659574477</v>
      </c>
      <c r="I61" s="312">
        <f t="shared" si="87"/>
        <v>7483979.0300000012</v>
      </c>
      <c r="J61" s="312">
        <f t="shared" si="87"/>
        <v>7487738.782895077</v>
      </c>
      <c r="K61" s="312">
        <f t="shared" si="87"/>
        <v>7551560.2765957452</v>
      </c>
      <c r="L61" s="312">
        <f t="shared" si="87"/>
        <v>7558807.7659574468</v>
      </c>
      <c r="M61" s="312">
        <f t="shared" si="87"/>
        <v>7483979.0300000012</v>
      </c>
      <c r="N61" s="312">
        <f t="shared" si="87"/>
        <v>7541621.6521497993</v>
      </c>
      <c r="O61" s="245"/>
    </row>
    <row r="63" spans="2:15" s="2" customFormat="1" ht="14" x14ac:dyDescent="0.2">
      <c r="B63" s="2" t="s">
        <v>725</v>
      </c>
      <c r="C63" s="393">
        <f>C61-C58</f>
        <v>-273.4070331370458</v>
      </c>
      <c r="D63" s="393">
        <f t="shared" ref="D63:N63" si="88">D61-D58</f>
        <v>41595.95058056619</v>
      </c>
      <c r="E63" s="393">
        <f t="shared" si="88"/>
        <v>-20529.481588882394</v>
      </c>
      <c r="F63" s="393">
        <f t="shared" si="88"/>
        <v>-33545.542596842162</v>
      </c>
      <c r="G63" s="393">
        <f t="shared" si="88"/>
        <v>95192.140212764032</v>
      </c>
      <c r="H63" s="393">
        <f t="shared" si="88"/>
        <v>-62306.89361702092</v>
      </c>
      <c r="I63" s="393">
        <f t="shared" si="88"/>
        <v>-40132.735957446508</v>
      </c>
      <c r="J63" s="393">
        <f t="shared" si="88"/>
        <v>3759.7528950758278</v>
      </c>
      <c r="K63" s="393">
        <f t="shared" si="88"/>
        <v>63821.493700668216</v>
      </c>
      <c r="L63" s="393">
        <f t="shared" si="88"/>
        <v>7247.4893617015332</v>
      </c>
      <c r="M63" s="393">
        <f t="shared" si="88"/>
        <v>-74828.735957445577</v>
      </c>
      <c r="N63" s="393">
        <f t="shared" si="88"/>
        <v>57642.622149798088</v>
      </c>
    </row>
    <row r="66" spans="3:14" x14ac:dyDescent="0.15">
      <c r="C66" s="510" t="e">
        <f>C59-#REF!</f>
        <v>#REF!</v>
      </c>
      <c r="D66" s="510" t="e">
        <f>D59-#REF!</f>
        <v>#REF!</v>
      </c>
      <c r="E66" s="510" t="e">
        <f>E59-#REF!</f>
        <v>#REF!</v>
      </c>
      <c r="F66" s="510" t="e">
        <f>F59-#REF!</f>
        <v>#REF!</v>
      </c>
      <c r="G66" s="510" t="e">
        <f>G59-#REF!</f>
        <v>#REF!</v>
      </c>
      <c r="H66" s="510" t="e">
        <f>H59-#REF!</f>
        <v>#REF!</v>
      </c>
      <c r="I66" s="510" t="e">
        <f>I59-#REF!</f>
        <v>#REF!</v>
      </c>
      <c r="J66" s="510" t="e">
        <f>J59-#REF!</f>
        <v>#REF!</v>
      </c>
      <c r="K66" s="510" t="e">
        <f>K59-#REF!</f>
        <v>#REF!</v>
      </c>
      <c r="L66" s="510" t="e">
        <f>L59-#REF!</f>
        <v>#REF!</v>
      </c>
      <c r="M66" s="510" t="e">
        <f>M59-#REF!</f>
        <v>#REF!</v>
      </c>
      <c r="N66" s="510" t="e">
        <f>N59-#REF!</f>
        <v>#REF!</v>
      </c>
    </row>
  </sheetData>
  <mergeCells count="1">
    <mergeCell ref="C5:O5"/>
  </mergeCells>
  <pageMargins left="0.25" right="0.25" top="0.75" bottom="0.75" header="0.3" footer="0.3"/>
  <pageSetup paperSize="9" scale="4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B898C-7B55-D74D-9F34-258455C0532D}">
  <sheetPr codeName="Foglio2">
    <pageSetUpPr fitToPage="1"/>
  </sheetPr>
  <dimension ref="B1:T29"/>
  <sheetViews>
    <sheetView showGridLines="0" topLeftCell="A3" zoomScale="180" zoomScaleNormal="180" workbookViewId="0">
      <selection activeCell="D29" sqref="D29:F29"/>
    </sheetView>
  </sheetViews>
  <sheetFormatPr baseColWidth="10" defaultRowHeight="16" x14ac:dyDescent="0.15"/>
  <cols>
    <col min="1" max="1" width="1.83203125" style="77" customWidth="1"/>
    <col min="2" max="2" width="28.33203125" style="77" bestFit="1" customWidth="1"/>
    <col min="3" max="3" width="12.33203125" style="77" customWidth="1"/>
    <col min="4" max="4" width="14.83203125" style="77" customWidth="1"/>
    <col min="5" max="5" width="13.33203125" style="77" customWidth="1"/>
    <col min="6" max="6" width="13.5" style="77" customWidth="1"/>
    <col min="7" max="9" width="14.1640625" style="77" customWidth="1"/>
    <col min="10" max="10" width="14.33203125" style="77" customWidth="1"/>
    <col min="11" max="11" width="2" style="77" customWidth="1"/>
    <col min="12" max="14" width="7.6640625" style="77" customWidth="1"/>
    <col min="15" max="15" width="8.33203125" style="77" customWidth="1"/>
    <col min="16" max="16" width="2.83203125" style="77" customWidth="1"/>
    <col min="17" max="20" width="14.1640625" style="77" customWidth="1"/>
    <col min="21" max="16384" width="10.83203125" style="77"/>
  </cols>
  <sheetData>
    <row r="1" spans="2:20" x14ac:dyDescent="0.15">
      <c r="B1" s="77" t="s">
        <v>127</v>
      </c>
    </row>
    <row r="2" spans="2:20" ht="17" thickBot="1" x14ac:dyDescent="0.2"/>
    <row r="3" spans="2:20" x14ac:dyDescent="0.15">
      <c r="C3" s="646" t="s">
        <v>72</v>
      </c>
      <c r="D3" s="647"/>
      <c r="E3" s="647"/>
      <c r="F3" s="648"/>
      <c r="G3" s="652" t="s">
        <v>85</v>
      </c>
      <c r="H3" s="653"/>
      <c r="I3" s="653"/>
      <c r="J3" s="654"/>
      <c r="L3" s="652" t="s">
        <v>88</v>
      </c>
      <c r="M3" s="653"/>
      <c r="N3" s="653"/>
      <c r="O3" s="654"/>
      <c r="Q3" s="657" t="s">
        <v>138</v>
      </c>
      <c r="R3" s="658"/>
      <c r="S3" s="658"/>
      <c r="T3" s="659"/>
    </row>
    <row r="4" spans="2:20" x14ac:dyDescent="0.15">
      <c r="C4" s="649" t="s">
        <v>52</v>
      </c>
      <c r="D4" s="637"/>
      <c r="E4" s="638"/>
      <c r="F4" s="650" t="s">
        <v>3</v>
      </c>
      <c r="G4" s="649" t="s">
        <v>52</v>
      </c>
      <c r="H4" s="637"/>
      <c r="I4" s="638"/>
      <c r="J4" s="655" t="s">
        <v>3</v>
      </c>
      <c r="L4" s="649" t="s">
        <v>52</v>
      </c>
      <c r="M4" s="637"/>
      <c r="N4" s="638"/>
      <c r="O4" s="655" t="s">
        <v>3</v>
      </c>
      <c r="Q4" s="649" t="s">
        <v>52</v>
      </c>
      <c r="R4" s="637"/>
      <c r="S4" s="638"/>
      <c r="T4" s="660" t="s">
        <v>3</v>
      </c>
    </row>
    <row r="5" spans="2:20" x14ac:dyDescent="0.15">
      <c r="C5" s="128" t="s">
        <v>68</v>
      </c>
      <c r="D5" s="103" t="s">
        <v>69</v>
      </c>
      <c r="E5" s="101" t="s">
        <v>70</v>
      </c>
      <c r="F5" s="651"/>
      <c r="G5" s="128" t="s">
        <v>68</v>
      </c>
      <c r="H5" s="103" t="s">
        <v>69</v>
      </c>
      <c r="I5" s="101" t="s">
        <v>70</v>
      </c>
      <c r="J5" s="656"/>
      <c r="L5" s="128" t="s">
        <v>89</v>
      </c>
      <c r="M5" s="103" t="s">
        <v>90</v>
      </c>
      <c r="N5" s="101" t="s">
        <v>70</v>
      </c>
      <c r="O5" s="656"/>
      <c r="Q5" s="128" t="s">
        <v>68</v>
      </c>
      <c r="R5" s="103" t="s">
        <v>69</v>
      </c>
      <c r="S5" s="101" t="s">
        <v>70</v>
      </c>
      <c r="T5" s="661"/>
    </row>
    <row r="6" spans="2:20" ht="17" thickBot="1" x14ac:dyDescent="0.2">
      <c r="C6" s="129"/>
      <c r="D6" s="90"/>
      <c r="E6" s="90"/>
      <c r="F6" s="130"/>
      <c r="G6" s="129"/>
      <c r="H6" s="90"/>
      <c r="I6" s="90"/>
      <c r="J6" s="156"/>
      <c r="L6" s="129"/>
      <c r="M6" s="90"/>
      <c r="N6" s="90"/>
      <c r="O6" s="156"/>
      <c r="Q6" s="129"/>
      <c r="R6" s="90"/>
      <c r="S6" s="90"/>
      <c r="T6" s="250"/>
    </row>
    <row r="7" spans="2:20" x14ac:dyDescent="0.15">
      <c r="B7" s="148" t="s">
        <v>53</v>
      </c>
      <c r="C7" s="131">
        <f>+'Tab 0'!B20</f>
        <v>128140000</v>
      </c>
      <c r="D7" s="97">
        <f>+'Tab 0'!C20</f>
        <v>123000000</v>
      </c>
      <c r="E7" s="97">
        <f>+'Tab 0'!D20</f>
        <v>77900000</v>
      </c>
      <c r="F7" s="132">
        <f>SUM(C7:E7)</f>
        <v>329040000</v>
      </c>
      <c r="G7" s="131">
        <f>C7*(1+'Tab 0'!B$10)</f>
        <v>129421400</v>
      </c>
      <c r="H7" s="97">
        <f>D7*(1+'Tab 0'!C$10)</f>
        <v>120540000</v>
      </c>
      <c r="I7" s="97">
        <f>E7*(1+'Tab 0'!D$10)</f>
        <v>81795000</v>
      </c>
      <c r="J7" s="157">
        <f>SUM(G7:I7)</f>
        <v>331756400</v>
      </c>
      <c r="L7" s="181">
        <f t="shared" ref="L7:L16" si="0">IFERROR((G7-C7)/C7,0)</f>
        <v>0.01</v>
      </c>
      <c r="M7" s="179">
        <f t="shared" ref="M7:M16" si="1">IFERROR((H7-D7)/D7,0)</f>
        <v>-0.02</v>
      </c>
      <c r="N7" s="179">
        <f t="shared" ref="N7:N16" si="2">IFERROR((I7-E7)/E7,0)</f>
        <v>0.05</v>
      </c>
      <c r="O7" s="180">
        <f t="shared" ref="O7:O16" si="3">IFERROR((J7-F7)/F7,0)</f>
        <v>8.25553124240214E-3</v>
      </c>
      <c r="Q7" s="131">
        <f>G7*(1+'Tab 0'!B11)</f>
        <v>132009828</v>
      </c>
      <c r="R7" s="97">
        <f>H7*(1+'Tab 0'!C11)</f>
        <v>115718400</v>
      </c>
      <c r="S7" s="97">
        <f>I7*(1+'Tab 0'!D11)</f>
        <v>88338600</v>
      </c>
      <c r="T7" s="251">
        <f>SUM(Q7:S7)</f>
        <v>336066828</v>
      </c>
    </row>
    <row r="8" spans="2:20" x14ac:dyDescent="0.15">
      <c r="B8" s="149" t="s">
        <v>54</v>
      </c>
      <c r="C8" s="133">
        <f>+'Tab 0'!B22</f>
        <v>22111</v>
      </c>
      <c r="D8" s="115">
        <f>+'Tab 0'!C22</f>
        <v>683333.33333333337</v>
      </c>
      <c r="E8" s="115">
        <f>+'Tab 0'!D22</f>
        <v>3158</v>
      </c>
      <c r="F8" s="134">
        <f>SUM(C8:E8)</f>
        <v>708602.33333333337</v>
      </c>
      <c r="G8" s="166">
        <f>C8</f>
        <v>22111</v>
      </c>
      <c r="H8" s="115">
        <f>H7/180</f>
        <v>669666.66666666663</v>
      </c>
      <c r="I8" s="120">
        <f t="shared" ref="I8" si="4">E8</f>
        <v>3158</v>
      </c>
      <c r="J8" s="158">
        <f>SUM(G8:I8)</f>
        <v>694935.66666666663</v>
      </c>
      <c r="L8" s="181">
        <f t="shared" si="0"/>
        <v>0</v>
      </c>
      <c r="M8" s="179">
        <f t="shared" si="1"/>
        <v>-2.0000000000000111E-2</v>
      </c>
      <c r="N8" s="179">
        <f t="shared" si="2"/>
        <v>0</v>
      </c>
      <c r="O8" s="180">
        <f t="shared" si="3"/>
        <v>-1.928679320371051E-2</v>
      </c>
      <c r="Q8" s="133">
        <f>+G8</f>
        <v>22111</v>
      </c>
      <c r="R8" s="115">
        <f>R7/180</f>
        <v>642880</v>
      </c>
      <c r="S8" s="115">
        <f t="shared" ref="S8" si="5">O8</f>
        <v>-1.928679320371051E-2</v>
      </c>
      <c r="T8" s="252">
        <f>SUM(Q8:S8)</f>
        <v>664990.98071320681</v>
      </c>
    </row>
    <row r="9" spans="2:20" x14ac:dyDescent="0.15">
      <c r="B9" s="149" t="s">
        <v>58</v>
      </c>
      <c r="C9" s="135">
        <f>C7/C8</f>
        <v>5795.3055040477593</v>
      </c>
      <c r="D9" s="94">
        <f t="shared" ref="D9:F9" si="6">D7/D8</f>
        <v>180</v>
      </c>
      <c r="E9" s="94">
        <f t="shared" si="6"/>
        <v>24667.511082963902</v>
      </c>
      <c r="F9" s="136">
        <f t="shared" si="6"/>
        <v>464.35071481089295</v>
      </c>
      <c r="G9" s="135">
        <f>G7/G8</f>
        <v>5853.2585590882363</v>
      </c>
      <c r="H9" s="94">
        <f t="shared" ref="H9" si="7">H7/H8</f>
        <v>180</v>
      </c>
      <c r="I9" s="94">
        <f t="shared" ref="I9" si="8">I7/I8</f>
        <v>25900.886637112097</v>
      </c>
      <c r="J9" s="159">
        <f t="shared" ref="J9" si="9">J7/J8</f>
        <v>477.39152832852159</v>
      </c>
      <c r="L9" s="181">
        <f t="shared" si="0"/>
        <v>9.9999999999998996E-3</v>
      </c>
      <c r="M9" s="182">
        <f t="shared" si="1"/>
        <v>0</v>
      </c>
      <c r="N9" s="182">
        <f t="shared" si="2"/>
        <v>0.05</v>
      </c>
      <c r="O9" s="180">
        <f t="shared" si="3"/>
        <v>2.8083974249807093E-2</v>
      </c>
      <c r="Q9" s="256">
        <f>Q7/Q8</f>
        <v>5970.3237302700018</v>
      </c>
      <c r="R9" s="257">
        <f t="shared" ref="R9:T9" si="10">R7/R8</f>
        <v>180</v>
      </c>
      <c r="S9" s="257">
        <f t="shared" si="10"/>
        <v>-4580263762.1999741</v>
      </c>
      <c r="T9" s="253">
        <f t="shared" si="10"/>
        <v>505.3705053857517</v>
      </c>
    </row>
    <row r="10" spans="2:20" ht="17" thickBot="1" x14ac:dyDescent="0.2">
      <c r="B10" s="149"/>
      <c r="C10" s="135"/>
      <c r="D10" s="94"/>
      <c r="E10" s="94"/>
      <c r="F10" s="136"/>
      <c r="G10" s="135"/>
      <c r="H10" s="94"/>
      <c r="I10" s="94"/>
      <c r="J10" s="159"/>
      <c r="L10" s="135"/>
      <c r="M10" s="94"/>
      <c r="N10" s="94"/>
      <c r="O10" s="159"/>
      <c r="Q10" s="256"/>
      <c r="R10" s="257"/>
      <c r="S10" s="257"/>
      <c r="T10" s="253"/>
    </row>
    <row r="11" spans="2:20" ht="17" thickBot="1" x14ac:dyDescent="0.2">
      <c r="B11" s="152" t="s">
        <v>56</v>
      </c>
      <c r="C11" s="153">
        <f>'Tab 0'!B24</f>
        <v>38442000</v>
      </c>
      <c r="D11" s="154">
        <f>'Tab 0'!C24</f>
        <v>79446800</v>
      </c>
      <c r="E11" s="154">
        <f>'Tab 0'!D24</f>
        <v>10251200</v>
      </c>
      <c r="F11" s="155">
        <f>SUM(C11:E11)</f>
        <v>128140000</v>
      </c>
      <c r="G11" s="153">
        <f>+G14*G15</f>
        <v>52151533.258064516</v>
      </c>
      <c r="H11" s="154">
        <f>+H12*H7</f>
        <v>77857864</v>
      </c>
      <c r="I11" s="154">
        <f>+I14*I15</f>
        <v>13800000</v>
      </c>
      <c r="J11" s="160">
        <f>SUM(G11:I11)</f>
        <v>143809397.25806451</v>
      </c>
      <c r="L11" s="183">
        <f t="shared" si="0"/>
        <v>0.35662903225806453</v>
      </c>
      <c r="M11" s="184">
        <f t="shared" si="1"/>
        <v>-0.02</v>
      </c>
      <c r="N11" s="184">
        <f t="shared" si="2"/>
        <v>0.34618386140159202</v>
      </c>
      <c r="O11" s="185">
        <f t="shared" si="3"/>
        <v>0.12228341858954665</v>
      </c>
      <c r="Q11" s="153">
        <f>Q12*Q7</f>
        <v>53194563.923225805</v>
      </c>
      <c r="R11" s="154">
        <f t="shared" ref="R11:S11" si="11">R12*R7</f>
        <v>74743549.439999998</v>
      </c>
      <c r="S11" s="154">
        <f t="shared" si="11"/>
        <v>14904000</v>
      </c>
      <c r="T11" s="254">
        <f>SUM(Q11:S11)</f>
        <v>142842113.36322582</v>
      </c>
    </row>
    <row r="12" spans="2:20" s="111" customFormat="1" ht="17" thickBot="1" x14ac:dyDescent="0.2">
      <c r="B12" s="150" t="s">
        <v>55</v>
      </c>
      <c r="C12" s="168">
        <f>'Tab 0'!B26</f>
        <v>0.3</v>
      </c>
      <c r="D12" s="169">
        <f>'Tab 0'!C26</f>
        <v>0.64590894308943092</v>
      </c>
      <c r="E12" s="169">
        <f>'Tab 0'!D26</f>
        <v>0.13159435173299103</v>
      </c>
      <c r="F12" s="170">
        <f>'Tab 0'!E26</f>
        <v>0.31253658536585366</v>
      </c>
      <c r="G12" s="168">
        <f>+G11/G7</f>
        <v>0.40295911849249438</v>
      </c>
      <c r="H12" s="171">
        <f>+D12</f>
        <v>0.64590894308943092</v>
      </c>
      <c r="I12" s="169">
        <f>+I11/I7</f>
        <v>0.16871446909957821</v>
      </c>
      <c r="J12" s="172">
        <f>+J11/J7</f>
        <v>0.433478893724626</v>
      </c>
      <c r="L12" s="183">
        <f t="shared" si="0"/>
        <v>0.34319706164164798</v>
      </c>
      <c r="M12" s="184">
        <f t="shared" si="1"/>
        <v>0</v>
      </c>
      <c r="N12" s="184">
        <f t="shared" si="2"/>
        <v>0.28207986800151608</v>
      </c>
      <c r="O12" s="185">
        <f t="shared" si="3"/>
        <v>0.38697008293348417</v>
      </c>
      <c r="Q12" s="248">
        <f>G12</f>
        <v>0.40295911849249438</v>
      </c>
      <c r="R12" s="249">
        <f t="shared" ref="R12:S12" si="12">H12</f>
        <v>0.64590894308943092</v>
      </c>
      <c r="S12" s="249">
        <f t="shared" si="12"/>
        <v>0.16871446909957821</v>
      </c>
      <c r="T12" s="255">
        <f>+T11/T7</f>
        <v>0.42504079981147624</v>
      </c>
    </row>
    <row r="13" spans="2:20" x14ac:dyDescent="0.15">
      <c r="B13" s="149"/>
      <c r="C13" s="137"/>
      <c r="D13" s="116"/>
      <c r="E13" s="116"/>
      <c r="F13" s="138"/>
      <c r="G13" s="137"/>
      <c r="H13" s="116"/>
      <c r="I13" s="116"/>
      <c r="J13" s="161"/>
      <c r="L13" s="137"/>
      <c r="M13" s="116"/>
      <c r="N13" s="116"/>
      <c r="O13" s="161"/>
    </row>
    <row r="14" spans="2:20" x14ac:dyDescent="0.15">
      <c r="B14" s="149" t="s">
        <v>57</v>
      </c>
      <c r="C14" s="133">
        <f>'Tab 0'!B28</f>
        <v>6200</v>
      </c>
      <c r="D14" s="115">
        <f>'Tab 0'!C28</f>
        <v>441371.11111111112</v>
      </c>
      <c r="E14" s="115">
        <f>'Tab 0'!D28</f>
        <v>600</v>
      </c>
      <c r="F14" s="134">
        <f>SUM(C14:E14)</f>
        <v>448171.11111111112</v>
      </c>
      <c r="G14" s="133">
        <f>G8*G16</f>
        <v>8411.1</v>
      </c>
      <c r="H14" s="115">
        <f>H11/180</f>
        <v>432543.68888888886</v>
      </c>
      <c r="I14" s="120">
        <f>+E14</f>
        <v>600</v>
      </c>
      <c r="J14" s="158">
        <f>SUM(G14:I14)</f>
        <v>441554.78888888884</v>
      </c>
      <c r="L14" s="181">
        <f t="shared" si="0"/>
        <v>0.35662903225806458</v>
      </c>
      <c r="M14" s="182">
        <f t="shared" si="1"/>
        <v>-2.0000000000000084E-2</v>
      </c>
      <c r="N14" s="182">
        <f t="shared" si="2"/>
        <v>0</v>
      </c>
      <c r="O14" s="180">
        <f t="shared" si="3"/>
        <v>-1.4762937766825307E-2</v>
      </c>
    </row>
    <row r="15" spans="2:20" x14ac:dyDescent="0.15">
      <c r="B15" s="149" t="s">
        <v>58</v>
      </c>
      <c r="C15" s="139">
        <f>+C11/C14</f>
        <v>6200.322580645161</v>
      </c>
      <c r="D15" s="117">
        <f t="shared" ref="D15:F15" si="13">+D11/D14</f>
        <v>180</v>
      </c>
      <c r="E15" s="117">
        <f t="shared" si="13"/>
        <v>17085.333333333332</v>
      </c>
      <c r="F15" s="140">
        <f t="shared" si="13"/>
        <v>285.91758108262218</v>
      </c>
      <c r="G15" s="139">
        <f>+C15</f>
        <v>6200.322580645161</v>
      </c>
      <c r="H15" s="117">
        <f t="shared" ref="H15" si="14">+H11/H14</f>
        <v>180</v>
      </c>
      <c r="I15" s="127">
        <v>23000</v>
      </c>
      <c r="J15" s="162">
        <f t="shared" ref="J15" si="15">+J11/J14</f>
        <v>325.68868207712308</v>
      </c>
      <c r="L15" s="181">
        <f t="shared" si="0"/>
        <v>0</v>
      </c>
      <c r="M15" s="182">
        <f t="shared" si="1"/>
        <v>0</v>
      </c>
      <c r="N15" s="182">
        <f t="shared" si="2"/>
        <v>0.34618386140159213</v>
      </c>
      <c r="O15" s="180">
        <f t="shared" si="3"/>
        <v>0.13909987921661998</v>
      </c>
    </row>
    <row r="16" spans="2:20" s="111" customFormat="1" x14ac:dyDescent="0.15">
      <c r="B16" s="150" t="s">
        <v>59</v>
      </c>
      <c r="C16" s="173">
        <f>C14/C8</f>
        <v>0.28040341911265887</v>
      </c>
      <c r="D16" s="174">
        <f t="shared" ref="D16:F16" si="16">D14/D8</f>
        <v>0.64590894308943092</v>
      </c>
      <c r="E16" s="174">
        <f t="shared" si="16"/>
        <v>0.18999366687777075</v>
      </c>
      <c r="F16" s="175">
        <f t="shared" si="16"/>
        <v>0.63247196633247205</v>
      </c>
      <c r="G16" s="176">
        <f>+C16+10%</f>
        <v>0.38040341911265885</v>
      </c>
      <c r="H16" s="174">
        <f t="shared" ref="H16:J16" si="17">H14/H8</f>
        <v>0.64590894308943092</v>
      </c>
      <c r="I16" s="174">
        <f t="shared" si="17"/>
        <v>0.18999366687777075</v>
      </c>
      <c r="J16" s="177">
        <f t="shared" si="17"/>
        <v>0.63538944692082611</v>
      </c>
      <c r="L16" s="183">
        <f t="shared" si="0"/>
        <v>0.35662903225806442</v>
      </c>
      <c r="M16" s="184">
        <f t="shared" si="1"/>
        <v>0</v>
      </c>
      <c r="N16" s="184">
        <f t="shared" si="2"/>
        <v>0</v>
      </c>
      <c r="O16" s="185">
        <f t="shared" si="3"/>
        <v>4.6128219805088178E-3</v>
      </c>
    </row>
    <row r="17" spans="2:15" x14ac:dyDescent="0.15">
      <c r="B17" s="149"/>
      <c r="C17" s="137"/>
      <c r="D17" s="116"/>
      <c r="E17" s="116"/>
      <c r="F17" s="138"/>
      <c r="G17" s="137"/>
      <c r="H17" s="116"/>
      <c r="I17" s="116"/>
      <c r="J17" s="161"/>
      <c r="L17" s="137"/>
      <c r="M17" s="116"/>
      <c r="N17" s="116"/>
      <c r="O17" s="161"/>
    </row>
    <row r="18" spans="2:15" x14ac:dyDescent="0.15">
      <c r="B18" s="149" t="s">
        <v>77</v>
      </c>
      <c r="C18" s="141"/>
      <c r="D18" s="91"/>
      <c r="E18" s="91"/>
      <c r="F18" s="142"/>
      <c r="G18" s="141"/>
      <c r="H18" s="91"/>
      <c r="I18" s="91"/>
      <c r="J18" s="163"/>
      <c r="L18" s="141"/>
      <c r="M18" s="91"/>
      <c r="N18" s="91"/>
      <c r="O18" s="163"/>
    </row>
    <row r="19" spans="2:15" x14ac:dyDescent="0.15">
      <c r="B19" s="149" t="s">
        <v>78</v>
      </c>
      <c r="C19" s="141">
        <f>+'Tab 0'!B52</f>
        <v>50</v>
      </c>
      <c r="D19" s="91">
        <f>+'Tab 0'!C52</f>
        <v>0</v>
      </c>
      <c r="E19" s="91">
        <f>+'Tab 0'!D52</f>
        <v>7</v>
      </c>
      <c r="F19" s="142">
        <f t="shared" ref="F19:F22" si="18">SUM(C19:E19)</f>
        <v>57</v>
      </c>
      <c r="G19" s="178">
        <f>+C19+2</f>
        <v>52</v>
      </c>
      <c r="H19" s="91">
        <f>+D19</f>
        <v>0</v>
      </c>
      <c r="I19" s="91">
        <f>+E19</f>
        <v>7</v>
      </c>
      <c r="J19" s="163">
        <f t="shared" ref="J19:J22" si="19">SUM(G19:I19)</f>
        <v>59</v>
      </c>
      <c r="L19" s="181">
        <f>IFERROR((G19-C19)/C19,0)</f>
        <v>0.04</v>
      </c>
      <c r="M19" s="182">
        <f>IFERROR((H19-D19)/D19,0)</f>
        <v>0</v>
      </c>
      <c r="N19" s="182">
        <f t="shared" ref="N19:O22" si="20">IFERROR((I19-E19)/E19,0)</f>
        <v>0</v>
      </c>
      <c r="O19" s="180">
        <f t="shared" si="20"/>
        <v>3.5087719298245612E-2</v>
      </c>
    </row>
    <row r="20" spans="2:15" x14ac:dyDescent="0.15">
      <c r="B20" s="149" t="s">
        <v>79</v>
      </c>
      <c r="C20" s="141">
        <f>+'Tab 0'!B53</f>
        <v>40</v>
      </c>
      <c r="D20" s="91">
        <f>+'Tab 0'!C53</f>
        <v>0</v>
      </c>
      <c r="E20" s="91">
        <f>+'Tab 0'!D53</f>
        <v>2</v>
      </c>
      <c r="F20" s="142">
        <f t="shared" si="18"/>
        <v>42</v>
      </c>
      <c r="G20" s="178">
        <f>+C20+1</f>
        <v>41</v>
      </c>
      <c r="H20" s="91">
        <f t="shared" ref="H20:I21" si="21">+D20</f>
        <v>0</v>
      </c>
      <c r="I20" s="91">
        <f t="shared" si="21"/>
        <v>2</v>
      </c>
      <c r="J20" s="163">
        <f t="shared" si="19"/>
        <v>43</v>
      </c>
      <c r="L20" s="181">
        <f t="shared" ref="L20:M24" si="22">IFERROR((G20-C20)/C20,0)</f>
        <v>2.5000000000000001E-2</v>
      </c>
      <c r="M20" s="182">
        <f t="shared" si="22"/>
        <v>0</v>
      </c>
      <c r="N20" s="182">
        <f t="shared" si="20"/>
        <v>0</v>
      </c>
      <c r="O20" s="180">
        <f t="shared" si="20"/>
        <v>2.3809523809523808E-2</v>
      </c>
    </row>
    <row r="21" spans="2:15" x14ac:dyDescent="0.15">
      <c r="B21" s="149" t="s">
        <v>80</v>
      </c>
      <c r="C21" s="141">
        <f>+'Tab 0'!B54</f>
        <v>25</v>
      </c>
      <c r="D21" s="91">
        <f>+'Tab 0'!C54</f>
        <v>0</v>
      </c>
      <c r="E21" s="91">
        <f>+'Tab 0'!D54</f>
        <v>3</v>
      </c>
      <c r="F21" s="142">
        <f t="shared" si="18"/>
        <v>28</v>
      </c>
      <c r="G21" s="178">
        <f>+C21+4</f>
        <v>29</v>
      </c>
      <c r="H21" s="91">
        <f t="shared" si="21"/>
        <v>0</v>
      </c>
      <c r="I21" s="91">
        <f t="shared" si="21"/>
        <v>3</v>
      </c>
      <c r="J21" s="163">
        <f t="shared" si="19"/>
        <v>32</v>
      </c>
      <c r="L21" s="181">
        <f t="shared" si="22"/>
        <v>0.16</v>
      </c>
      <c r="M21" s="182">
        <f t="shared" si="22"/>
        <v>0</v>
      </c>
      <c r="N21" s="182">
        <f t="shared" si="20"/>
        <v>0</v>
      </c>
      <c r="O21" s="180">
        <f t="shared" si="20"/>
        <v>0.14285714285714285</v>
      </c>
    </row>
    <row r="22" spans="2:15" x14ac:dyDescent="0.15">
      <c r="B22" s="150" t="s">
        <v>81</v>
      </c>
      <c r="C22" s="143">
        <f>SUM(C19:C21)</f>
        <v>115</v>
      </c>
      <c r="D22" s="118">
        <f t="shared" ref="D22:E22" si="23">SUM(D19:D21)</f>
        <v>0</v>
      </c>
      <c r="E22" s="118">
        <f t="shared" si="23"/>
        <v>12</v>
      </c>
      <c r="F22" s="144">
        <f t="shared" si="18"/>
        <v>127</v>
      </c>
      <c r="G22" s="143">
        <f>SUM(G19:G21)</f>
        <v>122</v>
      </c>
      <c r="H22" s="118">
        <f t="shared" ref="H22" si="24">SUM(H19:H21)</f>
        <v>0</v>
      </c>
      <c r="I22" s="118">
        <f t="shared" ref="I22" si="25">SUM(I19:I21)</f>
        <v>12</v>
      </c>
      <c r="J22" s="164">
        <f t="shared" si="19"/>
        <v>134</v>
      </c>
      <c r="L22" s="183">
        <f t="shared" si="22"/>
        <v>6.0869565217391307E-2</v>
      </c>
      <c r="M22" s="184">
        <f t="shared" si="22"/>
        <v>0</v>
      </c>
      <c r="N22" s="184">
        <f t="shared" si="20"/>
        <v>0</v>
      </c>
      <c r="O22" s="185">
        <f t="shared" si="20"/>
        <v>5.5118110236220472E-2</v>
      </c>
    </row>
    <row r="23" spans="2:15" ht="5" customHeight="1" x14ac:dyDescent="0.15">
      <c r="B23" s="149"/>
      <c r="C23" s="141"/>
      <c r="D23" s="91"/>
      <c r="E23" s="91"/>
      <c r="F23" s="142"/>
      <c r="G23" s="141"/>
      <c r="H23" s="91"/>
      <c r="I23" s="91"/>
      <c r="J23" s="163"/>
      <c r="L23" s="141"/>
      <c r="M23" s="91"/>
      <c r="N23" s="91"/>
      <c r="O23" s="163"/>
    </row>
    <row r="24" spans="2:15" ht="17" thickBot="1" x14ac:dyDescent="0.2">
      <c r="B24" s="151" t="s">
        <v>60</v>
      </c>
      <c r="C24" s="145">
        <f t="shared" ref="C24:J24" si="26">IFERROR(C11/C22,0)</f>
        <v>334278.26086956525</v>
      </c>
      <c r="D24" s="146">
        <f t="shared" si="26"/>
        <v>0</v>
      </c>
      <c r="E24" s="146">
        <f t="shared" si="26"/>
        <v>854266.66666666663</v>
      </c>
      <c r="F24" s="147">
        <f t="shared" si="26"/>
        <v>1008976.3779527559</v>
      </c>
      <c r="G24" s="145">
        <f t="shared" si="26"/>
        <v>427471.584082496</v>
      </c>
      <c r="H24" s="146">
        <f t="shared" si="26"/>
        <v>0</v>
      </c>
      <c r="I24" s="146">
        <f t="shared" si="26"/>
        <v>1150000</v>
      </c>
      <c r="J24" s="165">
        <f t="shared" si="26"/>
        <v>1073204.4571497352</v>
      </c>
      <c r="L24" s="186">
        <f t="shared" si="22"/>
        <v>0.27878966155473273</v>
      </c>
      <c r="M24" s="187">
        <f t="shared" si="22"/>
        <v>0</v>
      </c>
      <c r="N24" s="187">
        <f t="shared" ref="N24" si="27">IFERROR((I24-E24)/E24,0)</f>
        <v>0.34618386140159207</v>
      </c>
      <c r="O24" s="188">
        <f t="shared" ref="O24" si="28">IFERROR((J24-F24)/F24,0)</f>
        <v>6.3656672842331591E-2</v>
      </c>
    </row>
    <row r="27" spans="2:15" x14ac:dyDescent="0.15">
      <c r="D27" s="513">
        <f>+H11</f>
        <v>77857864</v>
      </c>
      <c r="E27" s="513">
        <f>+G11</f>
        <v>52151533.258064516</v>
      </c>
      <c r="F27" s="513">
        <f>+I11</f>
        <v>13800000</v>
      </c>
    </row>
    <row r="28" spans="2:15" x14ac:dyDescent="0.15">
      <c r="D28" s="608">
        <v>0.3</v>
      </c>
      <c r="E28" s="608">
        <v>0.1</v>
      </c>
      <c r="F28" s="608">
        <v>0.1</v>
      </c>
    </row>
    <row r="29" spans="2:15" x14ac:dyDescent="0.15">
      <c r="D29" s="513">
        <f>D27*D28</f>
        <v>23357359.199999999</v>
      </c>
      <c r="E29" s="513">
        <f t="shared" ref="E29:F29" si="29">E27*E28</f>
        <v>5215153.325806452</v>
      </c>
      <c r="F29" s="513">
        <f t="shared" si="29"/>
        <v>1380000</v>
      </c>
    </row>
  </sheetData>
  <mergeCells count="12">
    <mergeCell ref="Q3:T3"/>
    <mergeCell ref="Q4:S4"/>
    <mergeCell ref="T4:T5"/>
    <mergeCell ref="L3:O3"/>
    <mergeCell ref="L4:N4"/>
    <mergeCell ref="O4:O5"/>
    <mergeCell ref="C3:F3"/>
    <mergeCell ref="C4:E4"/>
    <mergeCell ref="F4:F5"/>
    <mergeCell ref="G3:J3"/>
    <mergeCell ref="G4:I4"/>
    <mergeCell ref="J4:J5"/>
  </mergeCells>
  <pageMargins left="0.25" right="0.25" top="0.75" bottom="0.75" header="0.3" footer="0.3"/>
  <pageSetup paperSize="9" scale="67" orientation="landscape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219D4-AEED-BA40-9C3F-EB26679C5CCF}">
  <sheetPr codeName="Foglio15">
    <pageSetUpPr fitToPage="1"/>
  </sheetPr>
  <dimension ref="B2:DG48"/>
  <sheetViews>
    <sheetView showGridLines="0" zoomScale="140" zoomScaleNormal="140" workbookViewId="0">
      <selection activeCell="B3" sqref="B3"/>
    </sheetView>
  </sheetViews>
  <sheetFormatPr baseColWidth="10" defaultColWidth="9.1640625" defaultRowHeight="16" x14ac:dyDescent="0.2"/>
  <cols>
    <col min="1" max="1" width="1.5" style="3" customWidth="1"/>
    <col min="2" max="2" width="20" style="3" customWidth="1"/>
    <col min="3" max="3" width="11.33203125" style="3" bestFit="1" customWidth="1"/>
    <col min="4" max="4" width="9.1640625" style="3"/>
    <col min="5" max="5" width="14" style="3" bestFit="1" customWidth="1"/>
    <col min="6" max="6" width="11.33203125" style="3" bestFit="1" customWidth="1"/>
    <col min="7" max="7" width="9.1640625" style="3"/>
    <col min="8" max="8" width="14" style="3" bestFit="1" customWidth="1"/>
    <col min="9" max="9" width="11.33203125" style="3" bestFit="1" customWidth="1"/>
    <col min="10" max="10" width="9.1640625" style="3"/>
    <col min="11" max="11" width="14" style="3" bestFit="1" customWidth="1"/>
    <col min="12" max="12" width="11.33203125" style="3" bestFit="1" customWidth="1"/>
    <col min="13" max="13" width="9.1640625" style="3"/>
    <col min="14" max="14" width="14" style="3" bestFit="1" customWidth="1"/>
    <col min="15" max="15" width="11.33203125" style="3" bestFit="1" customWidth="1"/>
    <col min="16" max="16" width="9.1640625" style="3"/>
    <col min="17" max="17" width="14" style="3" bestFit="1" customWidth="1"/>
    <col min="18" max="18" width="11.33203125" style="3" bestFit="1" customWidth="1"/>
    <col min="19" max="19" width="9.1640625" style="3"/>
    <col min="20" max="20" width="14" style="3" bestFit="1" customWidth="1"/>
    <col min="21" max="21" width="12.33203125" style="3" bestFit="1" customWidth="1"/>
    <col min="22" max="22" width="9.1640625" style="3"/>
    <col min="23" max="23" width="14" style="3" bestFit="1" customWidth="1"/>
    <col min="24" max="24" width="2.33203125" style="3" customWidth="1"/>
    <col min="25" max="25" width="15" style="3" bestFit="1" customWidth="1"/>
    <col min="26" max="26" width="8.6640625" style="3" bestFit="1" customWidth="1"/>
    <col min="27" max="27" width="16.5" style="3" bestFit="1" customWidth="1"/>
    <col min="28" max="28" width="8.6640625" style="3" bestFit="1" customWidth="1"/>
    <col min="29" max="29" width="10.33203125" style="3" bestFit="1" customWidth="1"/>
    <col min="30" max="30" width="8.6640625" style="3" bestFit="1" customWidth="1"/>
    <col min="31" max="31" width="10.33203125" style="3" bestFit="1" customWidth="1"/>
    <col min="32" max="33" width="8.6640625" style="3" bestFit="1" customWidth="1"/>
    <col min="34" max="34" width="12.83203125" style="3" bestFit="1" customWidth="1"/>
    <col min="35" max="35" width="9.1640625" style="3"/>
    <col min="36" max="36" width="14" style="3" bestFit="1" customWidth="1"/>
    <col min="37" max="16384" width="9.1640625" style="3"/>
  </cols>
  <sheetData>
    <row r="2" spans="2:24" x14ac:dyDescent="0.2">
      <c r="B2" s="77" t="s">
        <v>817</v>
      </c>
    </row>
    <row r="3" spans="2:24" x14ac:dyDescent="0.2">
      <c r="B3" s="12"/>
      <c r="E3" s="36"/>
    </row>
    <row r="4" spans="2:24" ht="17" thickBot="1" x14ac:dyDescent="0.25"/>
    <row r="5" spans="2:24" x14ac:dyDescent="0.2">
      <c r="B5" s="13"/>
      <c r="C5" s="677" t="s">
        <v>98</v>
      </c>
      <c r="D5" s="678"/>
      <c r="E5" s="678"/>
      <c r="F5" s="678"/>
      <c r="G5" s="678"/>
      <c r="H5" s="678"/>
      <c r="I5" s="678"/>
      <c r="J5" s="678"/>
      <c r="K5" s="678"/>
      <c r="L5" s="678"/>
      <c r="M5" s="678"/>
      <c r="N5" s="678"/>
      <c r="O5" s="678"/>
      <c r="P5" s="678"/>
      <c r="Q5" s="678"/>
      <c r="R5" s="678"/>
      <c r="S5" s="678"/>
      <c r="T5" s="678"/>
      <c r="U5" s="678"/>
      <c r="V5" s="678"/>
      <c r="W5" s="679"/>
      <c r="X5" s="14"/>
    </row>
    <row r="6" spans="2:24" x14ac:dyDescent="0.2">
      <c r="B6" s="15"/>
      <c r="C6" s="680" t="s">
        <v>29</v>
      </c>
      <c r="D6" s="681"/>
      <c r="E6" s="681"/>
      <c r="F6" s="681" t="s">
        <v>30</v>
      </c>
      <c r="G6" s="681"/>
      <c r="H6" s="681"/>
      <c r="I6" s="681" t="s">
        <v>31</v>
      </c>
      <c r="J6" s="681"/>
      <c r="K6" s="681"/>
      <c r="L6" s="681" t="s">
        <v>32</v>
      </c>
      <c r="M6" s="681"/>
      <c r="N6" s="681"/>
      <c r="O6" s="681" t="s">
        <v>33</v>
      </c>
      <c r="P6" s="681"/>
      <c r="Q6" s="681"/>
      <c r="R6" s="681" t="s">
        <v>34</v>
      </c>
      <c r="S6" s="681"/>
      <c r="T6" s="665"/>
      <c r="U6" s="682" t="s">
        <v>2</v>
      </c>
      <c r="V6" s="683"/>
      <c r="W6" s="684"/>
      <c r="X6" s="16"/>
    </row>
    <row r="7" spans="2:24" x14ac:dyDescent="0.2">
      <c r="B7" s="17"/>
      <c r="C7" s="18" t="s">
        <v>0</v>
      </c>
      <c r="D7" s="16" t="s">
        <v>170</v>
      </c>
      <c r="E7" s="19" t="s">
        <v>1</v>
      </c>
      <c r="F7" s="20" t="s">
        <v>0</v>
      </c>
      <c r="G7" s="20" t="s">
        <v>170</v>
      </c>
      <c r="H7" s="21" t="s">
        <v>1</v>
      </c>
      <c r="I7" s="22" t="s">
        <v>0</v>
      </c>
      <c r="J7" s="20" t="s">
        <v>170</v>
      </c>
      <c r="K7" s="21" t="s">
        <v>1</v>
      </c>
      <c r="L7" s="22" t="s">
        <v>0</v>
      </c>
      <c r="M7" s="20" t="s">
        <v>170</v>
      </c>
      <c r="N7" s="21" t="s">
        <v>1</v>
      </c>
      <c r="O7" s="22" t="s">
        <v>0</v>
      </c>
      <c r="P7" s="20" t="s">
        <v>170</v>
      </c>
      <c r="Q7" s="21" t="s">
        <v>1</v>
      </c>
      <c r="R7" s="22" t="s">
        <v>0</v>
      </c>
      <c r="S7" s="20" t="s">
        <v>170</v>
      </c>
      <c r="T7" s="23" t="s">
        <v>1</v>
      </c>
      <c r="U7" s="24" t="s">
        <v>0</v>
      </c>
      <c r="V7" s="24" t="s">
        <v>170</v>
      </c>
      <c r="W7" s="25" t="s">
        <v>1</v>
      </c>
      <c r="X7" s="16"/>
    </row>
    <row r="8" spans="2:24" x14ac:dyDescent="0.2">
      <c r="B8" s="26"/>
      <c r="C8" s="17"/>
      <c r="E8" s="27"/>
      <c r="H8" s="27"/>
      <c r="I8" s="28"/>
      <c r="K8" s="27"/>
      <c r="L8" s="28"/>
      <c r="N8" s="27"/>
      <c r="O8" s="28"/>
      <c r="Q8" s="27"/>
      <c r="U8" s="29"/>
      <c r="V8" s="30"/>
      <c r="W8" s="31"/>
    </row>
    <row r="9" spans="2:24" x14ac:dyDescent="0.2">
      <c r="B9" s="17" t="s">
        <v>101</v>
      </c>
      <c r="C9" s="32">
        <f>'Tab 3'!C9</f>
        <v>18863.320540150991</v>
      </c>
      <c r="D9" s="59">
        <f>'Distinta base agg'!$F$8</f>
        <v>108.74965</v>
      </c>
      <c r="E9" s="62">
        <f>C9*D9</f>
        <v>2051379.5065792312</v>
      </c>
      <c r="F9" s="33">
        <f>'Tab 3'!F9</f>
        <v>20959.245044612213</v>
      </c>
      <c r="G9" s="59">
        <f>'Distinta base agg'!$F$8</f>
        <v>108.74965</v>
      </c>
      <c r="H9" s="62">
        <f>F9*G9</f>
        <v>2279310.5628658128</v>
      </c>
      <c r="I9" s="33">
        <f>'Tab 3'!I9</f>
        <v>24103.131801304044</v>
      </c>
      <c r="J9" s="59">
        <f>'Distinta base agg'!$F$8</f>
        <v>108.74965</v>
      </c>
      <c r="K9" s="62">
        <f>I9*J9</f>
        <v>2621207.1472956846</v>
      </c>
      <c r="L9" s="33">
        <f>'Tab 3'!L9</f>
        <v>22007.207296842822</v>
      </c>
      <c r="M9" s="59">
        <f>'Distinta base agg'!$F$8</f>
        <v>108.74965</v>
      </c>
      <c r="N9" s="62">
        <f>L9*M9</f>
        <v>2393276.0910091032</v>
      </c>
      <c r="O9" s="33">
        <f>'Tab 3'!O9</f>
        <v>22007.207296842822</v>
      </c>
      <c r="P9" s="59">
        <f>'Distinta base agg'!$F$8</f>
        <v>108.74965</v>
      </c>
      <c r="Q9" s="62">
        <f>O9*P9</f>
        <v>2393276.0910091032</v>
      </c>
      <c r="R9" s="33">
        <f>'Tab 3'!R9</f>
        <v>23055.169549073435</v>
      </c>
      <c r="S9" s="59">
        <f>'Distinta base agg'!$F$8</f>
        <v>108.74965</v>
      </c>
      <c r="T9" s="62">
        <f>R9*S9</f>
        <v>2507241.6191523941</v>
      </c>
      <c r="U9" s="35">
        <f>C9+F9+I9+L9+O9+R9</f>
        <v>130995.28152882634</v>
      </c>
      <c r="V9" s="64">
        <f>IFERROR(W9/U9,0)</f>
        <v>108.74965</v>
      </c>
      <c r="W9" s="67">
        <f>E9+H9+K9+N9+Q9+T9</f>
        <v>14245691.01791133</v>
      </c>
      <c r="X9" s="36"/>
    </row>
    <row r="10" spans="2:24" x14ac:dyDescent="0.2">
      <c r="B10" s="17" t="s">
        <v>102</v>
      </c>
      <c r="C10" s="32">
        <f>'Tab 3'!C10</f>
        <v>33131.005957446803</v>
      </c>
      <c r="D10" s="59">
        <f>'Distinta base agg'!$F$8</f>
        <v>108.74965</v>
      </c>
      <c r="E10" s="62">
        <f>C10*D10</f>
        <v>3602985.302020255</v>
      </c>
      <c r="F10" s="33">
        <f>'Tab 3'!F10</f>
        <v>36812.228841607561</v>
      </c>
      <c r="G10" s="59">
        <f>'Distinta base agg'!$F$8</f>
        <v>108.74965</v>
      </c>
      <c r="H10" s="62">
        <f>F10*G10</f>
        <v>4003317.0022447277</v>
      </c>
      <c r="I10" s="33">
        <f>'Tab 3'!I10</f>
        <v>42334.063167848697</v>
      </c>
      <c r="J10" s="59">
        <f>'Distinta base agg'!$F$8</f>
        <v>108.74965</v>
      </c>
      <c r="K10" s="62">
        <f>I10*J10</f>
        <v>4603814.5525814369</v>
      </c>
      <c r="L10" s="33">
        <f>'Tab 3'!L10</f>
        <v>38652.84028368794</v>
      </c>
      <c r="M10" s="59">
        <f>'Distinta base agg'!$F$8</f>
        <v>108.74965</v>
      </c>
      <c r="N10" s="62">
        <f>L10*M10</f>
        <v>4203482.8523569638</v>
      </c>
      <c r="O10" s="33">
        <f>'Tab 3'!O10</f>
        <v>38652.84028368794</v>
      </c>
      <c r="P10" s="59">
        <f>'Distinta base agg'!$F$8</f>
        <v>108.74965</v>
      </c>
      <c r="Q10" s="62">
        <f>O10*P10</f>
        <v>4203482.8523569638</v>
      </c>
      <c r="R10" s="33">
        <f>'Tab 3'!R10</f>
        <v>40493.451725768318</v>
      </c>
      <c r="S10" s="59">
        <f>'Distinta base agg'!$F$8</f>
        <v>108.74965</v>
      </c>
      <c r="T10" s="62">
        <f>R10*S10</f>
        <v>4403648.7024692008</v>
      </c>
      <c r="U10" s="35">
        <f>C10+F10+I10+L10+O10+R10</f>
        <v>230076.43026004726</v>
      </c>
      <c r="V10" s="64">
        <f t="shared" ref="V10:V12" si="0">IFERROR(W10/U10,0)</f>
        <v>108.74965</v>
      </c>
      <c r="W10" s="67">
        <f>E10+H10+K10+N10+Q10+T10</f>
        <v>25020731.264029548</v>
      </c>
      <c r="X10" s="36"/>
    </row>
    <row r="11" spans="2:24" x14ac:dyDescent="0.2">
      <c r="B11" s="17" t="s">
        <v>103</v>
      </c>
      <c r="C11" s="32">
        <f>'Tab 3'!C11</f>
        <v>293.61702127659601</v>
      </c>
      <c r="D11" s="59">
        <f>'Distinta base agg'!$F$8</f>
        <v>108.74965</v>
      </c>
      <c r="E11" s="62">
        <f>C11*D11</f>
        <v>31930.748297872371</v>
      </c>
      <c r="F11" s="33">
        <f>'Tab 3'!F11</f>
        <v>326.2411347517733</v>
      </c>
      <c r="G11" s="59">
        <f>'Distinta base agg'!$F$8</f>
        <v>108.74965</v>
      </c>
      <c r="H11" s="62">
        <f>F11*G11</f>
        <v>35478.609219858183</v>
      </c>
      <c r="I11" s="33">
        <f>'Tab 3'!I11</f>
        <v>375.1773049645393</v>
      </c>
      <c r="J11" s="59">
        <f>'Distinta base agg'!$F$8</f>
        <v>108.74965</v>
      </c>
      <c r="K11" s="62">
        <f>I11*J11</f>
        <v>40800.400602836911</v>
      </c>
      <c r="L11" s="33">
        <f>'Tab 3'!L11</f>
        <v>342.55319148936201</v>
      </c>
      <c r="M11" s="59">
        <f>'Distinta base agg'!$F$8</f>
        <v>108.74965</v>
      </c>
      <c r="N11" s="62">
        <f>L11*M11</f>
        <v>37252.5396808511</v>
      </c>
      <c r="O11" s="33">
        <f>'Tab 3'!O11</f>
        <v>342.55319148936201</v>
      </c>
      <c r="P11" s="59">
        <f>'Distinta base agg'!$F$8</f>
        <v>108.74965</v>
      </c>
      <c r="Q11" s="62">
        <f>O11*P11</f>
        <v>37252.5396808511</v>
      </c>
      <c r="R11" s="33">
        <f>'Tab 3'!R11</f>
        <v>358.86524822695065</v>
      </c>
      <c r="S11" s="59">
        <f>'Distinta base agg'!$F$8</f>
        <v>108.74965</v>
      </c>
      <c r="T11" s="62">
        <f>R11*S11</f>
        <v>39026.470141844002</v>
      </c>
      <c r="U11" s="35">
        <f>C11+F11+I11+L11+O11+R11</f>
        <v>2039.0070921985832</v>
      </c>
      <c r="V11" s="64">
        <f t="shared" si="0"/>
        <v>108.74965000000002</v>
      </c>
      <c r="W11" s="67">
        <f>E11+H11+K11+N11+Q11+T11</f>
        <v>221741.30762411369</v>
      </c>
      <c r="X11" s="36"/>
    </row>
    <row r="12" spans="2:24" s="12" customFormat="1" ht="17" thickBot="1" x14ac:dyDescent="0.25">
      <c r="B12" s="37" t="s">
        <v>91</v>
      </c>
      <c r="C12" s="38">
        <f>SUM(C9:C11)</f>
        <v>52287.943518874388</v>
      </c>
      <c r="D12" s="60">
        <f>E12/C12</f>
        <v>108.74965</v>
      </c>
      <c r="E12" s="63">
        <f>SUM(E9:E11)</f>
        <v>5686295.556897358</v>
      </c>
      <c r="F12" s="39">
        <f>SUM(F9:F11)</f>
        <v>58097.71502097154</v>
      </c>
      <c r="G12" s="60">
        <f>H12/F12</f>
        <v>108.74965000000002</v>
      </c>
      <c r="H12" s="63">
        <f>SUM(H9:H11)</f>
        <v>6318106.1743303984</v>
      </c>
      <c r="I12" s="39">
        <f>SUM(I9:I11)</f>
        <v>66812.372274117282</v>
      </c>
      <c r="J12" s="60">
        <f>K12/I12</f>
        <v>108.74965</v>
      </c>
      <c r="K12" s="63">
        <f>SUM(K9:K11)</f>
        <v>7265822.1004799586</v>
      </c>
      <c r="L12" s="39">
        <f>SUM(L9:L11)</f>
        <v>61002.600772020131</v>
      </c>
      <c r="M12" s="60">
        <f>N12/L12</f>
        <v>108.74964999999999</v>
      </c>
      <c r="N12" s="63">
        <f>SUM(N9:N11)</f>
        <v>6634011.4830469182</v>
      </c>
      <c r="O12" s="39">
        <f>SUM(O9:O11)</f>
        <v>61002.600772020131</v>
      </c>
      <c r="P12" s="60">
        <f>Q12/O12</f>
        <v>108.74964999999999</v>
      </c>
      <c r="Q12" s="63">
        <f>SUM(Q9:Q11)</f>
        <v>6634011.4830469182</v>
      </c>
      <c r="R12" s="39">
        <f>SUM(R9:R11)</f>
        <v>63907.486523068706</v>
      </c>
      <c r="S12" s="60">
        <f>T12/R12</f>
        <v>108.74965</v>
      </c>
      <c r="T12" s="63">
        <f>SUM(T9:T11)</f>
        <v>6949916.7917634388</v>
      </c>
      <c r="U12" s="38">
        <f>SUM(U9:U11)</f>
        <v>363110.71888107219</v>
      </c>
      <c r="V12" s="65">
        <f t="shared" si="0"/>
        <v>108.74965</v>
      </c>
      <c r="W12" s="68">
        <f>SUM(W9:W11)</f>
        <v>39488163.589564994</v>
      </c>
      <c r="X12" s="41"/>
    </row>
    <row r="13" spans="2:24" x14ac:dyDescent="0.2">
      <c r="B13" s="17"/>
      <c r="C13" s="17"/>
      <c r="D13" s="59"/>
      <c r="E13" s="62"/>
      <c r="G13" s="59"/>
      <c r="H13" s="62"/>
      <c r="J13" s="59"/>
      <c r="K13" s="62"/>
      <c r="M13" s="59"/>
      <c r="N13" s="62"/>
      <c r="P13" s="59"/>
      <c r="Q13" s="62"/>
      <c r="S13" s="59"/>
      <c r="T13" s="62"/>
      <c r="U13" s="29"/>
      <c r="V13" s="66"/>
      <c r="W13" s="67"/>
    </row>
    <row r="14" spans="2:24" x14ac:dyDescent="0.2">
      <c r="B14" s="26"/>
      <c r="C14" s="17"/>
      <c r="D14" s="59"/>
      <c r="E14" s="62"/>
      <c r="G14" s="59"/>
      <c r="H14" s="62"/>
      <c r="J14" s="59"/>
      <c r="K14" s="62"/>
      <c r="M14" s="59"/>
      <c r="N14" s="62"/>
      <c r="P14" s="59"/>
      <c r="Q14" s="62"/>
      <c r="S14" s="59"/>
      <c r="T14" s="62"/>
      <c r="U14" s="29"/>
      <c r="V14" s="66"/>
      <c r="W14" s="67"/>
    </row>
    <row r="15" spans="2:24" x14ac:dyDescent="0.2">
      <c r="B15" s="17" t="s">
        <v>101</v>
      </c>
      <c r="C15" s="32">
        <f>'Tab 3'!C15</f>
        <v>1198.375657844887</v>
      </c>
      <c r="D15" s="59">
        <f>'Distinta base agg'!$F$17</f>
        <v>189</v>
      </c>
      <c r="E15" s="62">
        <f>C15*D15</f>
        <v>226492.99933268363</v>
      </c>
      <c r="F15" s="33">
        <f>'Tab 3'!F15</f>
        <v>1331.528508716541</v>
      </c>
      <c r="G15" s="59">
        <f>'Distinta base agg'!$F$17</f>
        <v>189</v>
      </c>
      <c r="H15" s="62">
        <f>F15*G15</f>
        <v>251658.88814742625</v>
      </c>
      <c r="I15" s="33">
        <f>'Tab 3'!I15</f>
        <v>1531.257785024022</v>
      </c>
      <c r="J15" s="59">
        <f>'Distinta base agg'!$F$17</f>
        <v>189</v>
      </c>
      <c r="K15" s="62">
        <f>I15*J15</f>
        <v>289407.72136954014</v>
      </c>
      <c r="L15" s="33">
        <f>'Tab 3'!L15</f>
        <v>1398.1049341523681</v>
      </c>
      <c r="M15" s="59">
        <f>'Distinta base agg'!$F$17</f>
        <v>189</v>
      </c>
      <c r="N15" s="62">
        <f>L15*M15</f>
        <v>264241.83255479758</v>
      </c>
      <c r="O15" s="33">
        <f>'Tab 3'!O15</f>
        <v>1398.1049341523681</v>
      </c>
      <c r="P15" s="59">
        <f>'Distinta base agg'!$F$17</f>
        <v>189</v>
      </c>
      <c r="Q15" s="62">
        <f>O15*P15</f>
        <v>264241.83255479758</v>
      </c>
      <c r="R15" s="33">
        <f>'Tab 3'!R15</f>
        <v>1464.6813595881949</v>
      </c>
      <c r="S15" s="59">
        <f>'Distinta base agg'!$F$17</f>
        <v>189</v>
      </c>
      <c r="T15" s="62">
        <f>R15*S15</f>
        <v>276824.77696216886</v>
      </c>
      <c r="U15" s="35">
        <f>C15+F15+I15+L15+O15+R15</f>
        <v>8322.0531794783819</v>
      </c>
      <c r="V15" s="64">
        <f>IFERROR(W15/U15,0)</f>
        <v>188.99999999999997</v>
      </c>
      <c r="W15" s="67">
        <f>E15+H15+K15+N15+Q15+T15</f>
        <v>1572868.050921414</v>
      </c>
      <c r="X15" s="36"/>
    </row>
    <row r="16" spans="2:24" x14ac:dyDescent="0.2">
      <c r="B16" s="17" t="s">
        <v>102</v>
      </c>
      <c r="C16" s="32">
        <f>'Tab 3'!C16</f>
        <v>0</v>
      </c>
      <c r="D16" s="59">
        <f>'Distinta base agg'!$F$17</f>
        <v>189</v>
      </c>
      <c r="E16" s="62">
        <f>C16*D16</f>
        <v>0</v>
      </c>
      <c r="F16" s="33">
        <f>'Tab 3'!F16</f>
        <v>0</v>
      </c>
      <c r="G16" s="59">
        <f>'Distinta base agg'!$F$17</f>
        <v>189</v>
      </c>
      <c r="H16" s="62">
        <f>F16*G16</f>
        <v>0</v>
      </c>
      <c r="I16" s="33">
        <f>'Tab 3'!I16</f>
        <v>0</v>
      </c>
      <c r="J16" s="59">
        <f>'Distinta base agg'!$F$17</f>
        <v>189</v>
      </c>
      <c r="K16" s="62">
        <f>I16*J16</f>
        <v>0</v>
      </c>
      <c r="L16" s="33">
        <f>'Tab 3'!L16</f>
        <v>0</v>
      </c>
      <c r="M16" s="59">
        <f>'Distinta base agg'!$F$17</f>
        <v>189</v>
      </c>
      <c r="N16" s="62">
        <f>L16*M16</f>
        <v>0</v>
      </c>
      <c r="O16" s="33">
        <f>'Tab 3'!O16</f>
        <v>0</v>
      </c>
      <c r="P16" s="59">
        <f>'Distinta base agg'!$F$17</f>
        <v>189</v>
      </c>
      <c r="Q16" s="62">
        <f>O16*P16</f>
        <v>0</v>
      </c>
      <c r="R16" s="33">
        <f>'Tab 3'!R16</f>
        <v>0</v>
      </c>
      <c r="S16" s="59">
        <f>'Distinta base agg'!$F$17</f>
        <v>189</v>
      </c>
      <c r="T16" s="62">
        <f>R16*S16</f>
        <v>0</v>
      </c>
      <c r="U16" s="35">
        <f>C16+F16+I16+L16+O16+R16</f>
        <v>0</v>
      </c>
      <c r="V16" s="64">
        <f t="shared" ref="V16:V18" si="1">IFERROR(W16/U16,0)</f>
        <v>0</v>
      </c>
      <c r="W16" s="67">
        <f>E16+H16+K16+N16+Q16+T16</f>
        <v>0</v>
      </c>
      <c r="X16" s="36"/>
    </row>
    <row r="17" spans="2:111" x14ac:dyDescent="0.2">
      <c r="B17" s="17" t="s">
        <v>103</v>
      </c>
      <c r="C17" s="32">
        <f>'Tab 3'!C17</f>
        <v>2008.3404255319151</v>
      </c>
      <c r="D17" s="59">
        <f>'Distinta base agg'!$F$17</f>
        <v>189</v>
      </c>
      <c r="E17" s="62">
        <f>C17*D17</f>
        <v>379576.34042553196</v>
      </c>
      <c r="F17" s="33">
        <f>'Tab 3'!F17</f>
        <v>2231.489361702128</v>
      </c>
      <c r="G17" s="59">
        <f>'Distinta base agg'!$F$17</f>
        <v>189</v>
      </c>
      <c r="H17" s="62">
        <f>F17*G17</f>
        <v>421751.48936170217</v>
      </c>
      <c r="I17" s="33">
        <f>'Tab 3'!I17</f>
        <v>2566.2127659574471</v>
      </c>
      <c r="J17" s="59">
        <f>'Distinta base agg'!$F$17</f>
        <v>189</v>
      </c>
      <c r="K17" s="62">
        <f>I17*J17</f>
        <v>485014.21276595752</v>
      </c>
      <c r="L17" s="33">
        <f>'Tab 3'!L17</f>
        <v>2343.0638297872342</v>
      </c>
      <c r="M17" s="59">
        <f>'Distinta base agg'!$F$17</f>
        <v>189</v>
      </c>
      <c r="N17" s="62">
        <f>L17*M17</f>
        <v>442839.06382978725</v>
      </c>
      <c r="O17" s="33">
        <f>'Tab 3'!O17</f>
        <v>2343.0638297872342</v>
      </c>
      <c r="P17" s="59">
        <f>'Distinta base agg'!$F$17</f>
        <v>189</v>
      </c>
      <c r="Q17" s="62">
        <f>O17*P17</f>
        <v>442839.06382978725</v>
      </c>
      <c r="R17" s="33">
        <f>'Tab 3'!R17</f>
        <v>2454.6382978723404</v>
      </c>
      <c r="S17" s="59">
        <f>'Distinta base agg'!$F$17</f>
        <v>189</v>
      </c>
      <c r="T17" s="62">
        <f>R17*S17</f>
        <v>463926.63829787233</v>
      </c>
      <c r="U17" s="35">
        <f>C17+F17+I17+L17+O17+R17</f>
        <v>13946.808510638297</v>
      </c>
      <c r="V17" s="64">
        <f t="shared" si="1"/>
        <v>189.00000000000003</v>
      </c>
      <c r="W17" s="67">
        <f>E17+H17+K17+N17+Q17+T17</f>
        <v>2635946.8085106383</v>
      </c>
      <c r="X17" s="36"/>
    </row>
    <row r="18" spans="2:111" ht="17" thickBot="1" x14ac:dyDescent="0.25">
      <c r="B18" s="37" t="s">
        <v>92</v>
      </c>
      <c r="C18" s="38">
        <f>SUM(C15:C17)</f>
        <v>3206.7160833768021</v>
      </c>
      <c r="D18" s="60">
        <f>E18/C18</f>
        <v>189</v>
      </c>
      <c r="E18" s="63">
        <f>SUM(E15:E17)</f>
        <v>606069.33975821559</v>
      </c>
      <c r="F18" s="39">
        <f>SUM(F15:F17)</f>
        <v>3563.0178704186692</v>
      </c>
      <c r="G18" s="60">
        <f>H18/F18</f>
        <v>188.99999999999997</v>
      </c>
      <c r="H18" s="63">
        <f>SUM(H15:H17)</f>
        <v>673410.37750912842</v>
      </c>
      <c r="I18" s="39">
        <f>SUM(I15:I17)</f>
        <v>4097.4705509814694</v>
      </c>
      <c r="J18" s="60">
        <f>K18/I18</f>
        <v>189</v>
      </c>
      <c r="K18" s="63">
        <f>SUM(K15:K17)</f>
        <v>774421.93413549766</v>
      </c>
      <c r="L18" s="39">
        <f>SUM(L15:L17)</f>
        <v>3741.1687639396023</v>
      </c>
      <c r="M18" s="60">
        <f>N18/L18</f>
        <v>189</v>
      </c>
      <c r="N18" s="63">
        <f>SUM(N15:N17)</f>
        <v>707080.89638458483</v>
      </c>
      <c r="O18" s="39">
        <f>SUM(O15:O17)</f>
        <v>3741.1687639396023</v>
      </c>
      <c r="P18" s="60">
        <f>Q18/O18</f>
        <v>189</v>
      </c>
      <c r="Q18" s="63">
        <f>SUM(Q15:Q17)</f>
        <v>707080.89638458483</v>
      </c>
      <c r="R18" s="39">
        <f>SUM(R15:R17)</f>
        <v>3919.3196574605354</v>
      </c>
      <c r="S18" s="60">
        <f>T18/R18</f>
        <v>189</v>
      </c>
      <c r="T18" s="63">
        <f>SUM(T15:T17)</f>
        <v>740751.41526004113</v>
      </c>
      <c r="U18" s="38">
        <f>SUM(U15:U17)</f>
        <v>22268.861690116679</v>
      </c>
      <c r="V18" s="65">
        <f t="shared" si="1"/>
        <v>189.00000000000003</v>
      </c>
      <c r="W18" s="68">
        <f>SUM(W15:W17)</f>
        <v>4208814.8594320528</v>
      </c>
      <c r="X18" s="41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</row>
    <row r="19" spans="2:111" x14ac:dyDescent="0.2">
      <c r="B19" s="17"/>
      <c r="C19" s="17"/>
      <c r="D19" s="59"/>
      <c r="E19" s="62"/>
      <c r="G19" s="59"/>
      <c r="H19" s="62"/>
      <c r="J19" s="59"/>
      <c r="K19" s="62"/>
      <c r="M19" s="59"/>
      <c r="N19" s="62"/>
      <c r="P19" s="59"/>
      <c r="Q19" s="62"/>
      <c r="S19" s="59"/>
      <c r="T19" s="62"/>
      <c r="U19" s="29"/>
      <c r="V19" s="66"/>
      <c r="W19" s="67"/>
      <c r="X19" s="41"/>
      <c r="Y19" s="36"/>
      <c r="Z19" s="44"/>
      <c r="AA19" s="44"/>
    </row>
    <row r="20" spans="2:111" x14ac:dyDescent="0.2">
      <c r="B20" s="26"/>
      <c r="C20" s="17"/>
      <c r="D20" s="59"/>
      <c r="E20" s="62"/>
      <c r="G20" s="59"/>
      <c r="H20" s="62"/>
      <c r="J20" s="59"/>
      <c r="K20" s="62"/>
      <c r="M20" s="59"/>
      <c r="N20" s="62"/>
      <c r="P20" s="59"/>
      <c r="Q20" s="62"/>
      <c r="S20" s="59"/>
      <c r="T20" s="62"/>
      <c r="U20" s="29"/>
      <c r="V20" s="66"/>
      <c r="W20" s="67"/>
      <c r="X20" s="41"/>
      <c r="Y20" s="36"/>
      <c r="Z20" s="44"/>
      <c r="AA20" s="44"/>
    </row>
    <row r="21" spans="2:111" x14ac:dyDescent="0.2">
      <c r="B21" s="17" t="s">
        <v>101</v>
      </c>
      <c r="C21" s="42">
        <f>C9+C15</f>
        <v>20061.69619799588</v>
      </c>
      <c r="D21" s="61">
        <f>E21/C21</f>
        <v>113.54336559734512</v>
      </c>
      <c r="E21" s="62">
        <f>E9+E15</f>
        <v>2277872.5059119146</v>
      </c>
      <c r="F21" s="33">
        <f>F9+F15</f>
        <v>22290.773553328752</v>
      </c>
      <c r="G21" s="61">
        <f>H21/F21</f>
        <v>113.54336559734516</v>
      </c>
      <c r="H21" s="62">
        <f>H9+H15</f>
        <v>2530969.4510132391</v>
      </c>
      <c r="I21" s="33">
        <f>I9+I15</f>
        <v>25634.389586328067</v>
      </c>
      <c r="J21" s="61">
        <f>K21/I21</f>
        <v>113.54336559734514</v>
      </c>
      <c r="K21" s="62">
        <f>K9+K15</f>
        <v>2910614.8686652249</v>
      </c>
      <c r="L21" s="33">
        <f>L9+L15</f>
        <v>23405.31223099519</v>
      </c>
      <c r="M21" s="61">
        <f>N21/L21</f>
        <v>113.54336559734514</v>
      </c>
      <c r="N21" s="62">
        <f>N9+N15</f>
        <v>2657517.9235639009</v>
      </c>
      <c r="O21" s="33">
        <f>O9+O15</f>
        <v>23405.31223099519</v>
      </c>
      <c r="P21" s="61">
        <f>Q21/O21</f>
        <v>113.54336559734514</v>
      </c>
      <c r="Q21" s="62">
        <f>Q9+Q15</f>
        <v>2657517.9235639009</v>
      </c>
      <c r="R21" s="33">
        <f>R9+R15</f>
        <v>24519.850908661629</v>
      </c>
      <c r="S21" s="61">
        <f>T21/R21</f>
        <v>113.54336559734516</v>
      </c>
      <c r="T21" s="62">
        <f>T9+T15</f>
        <v>2784066.3961145631</v>
      </c>
      <c r="U21" s="35">
        <f>C21+F21+I21+L21+O21+R21</f>
        <v>139317.3347083047</v>
      </c>
      <c r="V21" s="64">
        <f>IFERROR(W21/U21,0)</f>
        <v>113.54336559734516</v>
      </c>
      <c r="W21" s="67">
        <f>E21+H21+K21+N21+Q21+T21</f>
        <v>15818559.068832744</v>
      </c>
      <c r="X21" s="41"/>
      <c r="Y21" s="36"/>
      <c r="Z21" s="44"/>
      <c r="AA21" s="44"/>
    </row>
    <row r="22" spans="2:111" x14ac:dyDescent="0.2">
      <c r="B22" s="17" t="s">
        <v>102</v>
      </c>
      <c r="C22" s="42">
        <f t="shared" ref="C22:C23" si="2">C10+C16</f>
        <v>33131.005957446803</v>
      </c>
      <c r="D22" s="61">
        <f>E22/C22</f>
        <v>108.74965</v>
      </c>
      <c r="E22" s="62">
        <f t="shared" ref="E22:F23" si="3">E10+E16</f>
        <v>3602985.302020255</v>
      </c>
      <c r="F22" s="33">
        <f t="shared" si="3"/>
        <v>36812.228841607561</v>
      </c>
      <c r="G22" s="61">
        <f>H22/F22</f>
        <v>108.74965</v>
      </c>
      <c r="H22" s="62">
        <f t="shared" ref="H22:I23" si="4">H10+H16</f>
        <v>4003317.0022447277</v>
      </c>
      <c r="I22" s="33">
        <f t="shared" si="4"/>
        <v>42334.063167848697</v>
      </c>
      <c r="J22" s="61">
        <f>K22/I22</f>
        <v>108.74965</v>
      </c>
      <c r="K22" s="62">
        <f t="shared" ref="K22:L23" si="5">K10+K16</f>
        <v>4603814.5525814369</v>
      </c>
      <c r="L22" s="33">
        <f t="shared" si="5"/>
        <v>38652.84028368794</v>
      </c>
      <c r="M22" s="61">
        <f>N22/L22</f>
        <v>108.74964999999999</v>
      </c>
      <c r="N22" s="62">
        <f t="shared" ref="N22:O23" si="6">N10+N16</f>
        <v>4203482.8523569638</v>
      </c>
      <c r="O22" s="33">
        <f t="shared" si="6"/>
        <v>38652.84028368794</v>
      </c>
      <c r="P22" s="61">
        <f>Q22/O22</f>
        <v>108.74964999999999</v>
      </c>
      <c r="Q22" s="62">
        <f t="shared" ref="Q22:R23" si="7">Q10+Q16</f>
        <v>4203482.8523569638</v>
      </c>
      <c r="R22" s="33">
        <f t="shared" si="7"/>
        <v>40493.451725768318</v>
      </c>
      <c r="S22" s="61">
        <f>T22/R22</f>
        <v>108.74965</v>
      </c>
      <c r="T22" s="62">
        <f t="shared" ref="T22:T23" si="8">T10+T16</f>
        <v>4403648.7024692008</v>
      </c>
      <c r="U22" s="35">
        <f>C22+F22+I22+L22+O22+R22</f>
        <v>230076.43026004726</v>
      </c>
      <c r="V22" s="64">
        <f t="shared" ref="V22:V24" si="9">IFERROR(W22/U22,0)</f>
        <v>108.74965</v>
      </c>
      <c r="W22" s="67">
        <f>E22+H22+K22+N22+Q22+T22</f>
        <v>25020731.264029548</v>
      </c>
      <c r="X22" s="41"/>
      <c r="Y22" s="36"/>
      <c r="Z22" s="44"/>
      <c r="AA22" s="44"/>
    </row>
    <row r="23" spans="2:111" x14ac:dyDescent="0.2">
      <c r="B23" s="17" t="s">
        <v>103</v>
      </c>
      <c r="C23" s="42">
        <f t="shared" si="2"/>
        <v>2301.9574468085111</v>
      </c>
      <c r="D23" s="61">
        <f>E23/C23</f>
        <v>178.76398596938776</v>
      </c>
      <c r="E23" s="62">
        <f t="shared" si="3"/>
        <v>411507.08872340433</v>
      </c>
      <c r="F23" s="33">
        <f t="shared" si="3"/>
        <v>2557.7304964539012</v>
      </c>
      <c r="G23" s="61">
        <f>H23/F23</f>
        <v>178.76398596938776</v>
      </c>
      <c r="H23" s="62">
        <f t="shared" si="4"/>
        <v>457230.09858156036</v>
      </c>
      <c r="I23" s="33">
        <f t="shared" si="4"/>
        <v>2941.3900709219865</v>
      </c>
      <c r="J23" s="61">
        <f>K23/I23</f>
        <v>178.76398596938776</v>
      </c>
      <c r="K23" s="62">
        <f t="shared" si="5"/>
        <v>525814.61336879444</v>
      </c>
      <c r="L23" s="33">
        <f t="shared" si="5"/>
        <v>2685.6170212765965</v>
      </c>
      <c r="M23" s="61">
        <f>N23/L23</f>
        <v>178.76398596938773</v>
      </c>
      <c r="N23" s="62">
        <f t="shared" si="6"/>
        <v>480091.60351063835</v>
      </c>
      <c r="O23" s="33">
        <f t="shared" si="6"/>
        <v>2685.6170212765965</v>
      </c>
      <c r="P23" s="61">
        <f>Q23/O23</f>
        <v>178.76398596938773</v>
      </c>
      <c r="Q23" s="62">
        <f t="shared" si="7"/>
        <v>480091.60351063835</v>
      </c>
      <c r="R23" s="33">
        <f t="shared" si="7"/>
        <v>2813.5035460992913</v>
      </c>
      <c r="S23" s="61">
        <f>T23/R23</f>
        <v>178.76398596938773</v>
      </c>
      <c r="T23" s="62">
        <f t="shared" si="8"/>
        <v>502953.10843971634</v>
      </c>
      <c r="U23" s="35">
        <f>C23+F23+I23+L23+O23+R23</f>
        <v>15985.815602836883</v>
      </c>
      <c r="V23" s="64">
        <f t="shared" si="9"/>
        <v>178.76398596938773</v>
      </c>
      <c r="W23" s="67">
        <f>E23+H23+K23+N23+Q23+T23</f>
        <v>2857688.1161347521</v>
      </c>
      <c r="X23" s="41"/>
      <c r="Y23" s="36"/>
      <c r="Z23" s="44"/>
      <c r="AA23" s="44"/>
    </row>
    <row r="24" spans="2:111" ht="17" thickBot="1" x14ac:dyDescent="0.25">
      <c r="B24" s="37" t="s">
        <v>3</v>
      </c>
      <c r="C24" s="38">
        <f>SUM(C21:C23)</f>
        <v>55494.659602251195</v>
      </c>
      <c r="D24" s="60">
        <f>E24/C24</f>
        <v>113.38685455060109</v>
      </c>
      <c r="E24" s="63">
        <f>SUM(E21:E23)</f>
        <v>6292364.8966555744</v>
      </c>
      <c r="F24" s="38">
        <f>SUM(F21:F23)</f>
        <v>61660.732891390209</v>
      </c>
      <c r="G24" s="60">
        <f>H24/F24</f>
        <v>113.3868545506011</v>
      </c>
      <c r="H24" s="63">
        <f>SUM(H21:H23)</f>
        <v>6991516.5518395267</v>
      </c>
      <c r="I24" s="38">
        <f>SUM(I21:I23)</f>
        <v>70909.842825098749</v>
      </c>
      <c r="J24" s="60">
        <f>K24/I24</f>
        <v>113.38685455060109</v>
      </c>
      <c r="K24" s="63">
        <f>SUM(K21:K23)</f>
        <v>8040244.0346154561</v>
      </c>
      <c r="L24" s="38">
        <f>SUM(L21:L23)</f>
        <v>64743.76953595972</v>
      </c>
      <c r="M24" s="60">
        <f>N24/L24</f>
        <v>113.3868545506011</v>
      </c>
      <c r="N24" s="63">
        <f>SUM(N21:N23)</f>
        <v>7341092.3794315029</v>
      </c>
      <c r="O24" s="38">
        <f>SUM(O21:O23)</f>
        <v>64743.76953595972</v>
      </c>
      <c r="P24" s="60">
        <f>Q24/O24</f>
        <v>113.3868545506011</v>
      </c>
      <c r="Q24" s="63">
        <f>SUM(Q21:Q23)</f>
        <v>7341092.3794315029</v>
      </c>
      <c r="R24" s="38">
        <f>SUM(R21:R23)</f>
        <v>67826.806180529238</v>
      </c>
      <c r="S24" s="60">
        <f>T24/R24</f>
        <v>113.38685455060109</v>
      </c>
      <c r="T24" s="63">
        <f>SUM(T21:T23)</f>
        <v>7690668.20702348</v>
      </c>
      <c r="U24" s="38">
        <f>SUM(U21:U23)</f>
        <v>385379.58057118882</v>
      </c>
      <c r="V24" s="65">
        <f t="shared" si="9"/>
        <v>113.3868545506011</v>
      </c>
      <c r="W24" s="68">
        <f>SUM(W21:W23)</f>
        <v>43696978.448997043</v>
      </c>
      <c r="X24" s="41"/>
      <c r="Y24" s="36"/>
      <c r="Z24" s="44"/>
      <c r="AA24" s="44"/>
    </row>
    <row r="25" spans="2:111" x14ac:dyDescent="0.2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1"/>
      <c r="Y25" s="36"/>
      <c r="Z25" s="44"/>
      <c r="AA25" s="44"/>
    </row>
    <row r="26" spans="2:111" x14ac:dyDescent="0.2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1"/>
      <c r="Y26" s="36"/>
      <c r="Z26" s="44"/>
      <c r="AA26" s="44"/>
    </row>
    <row r="27" spans="2:111" x14ac:dyDescent="0.2">
      <c r="W27" s="36"/>
    </row>
    <row r="28" spans="2:111" ht="17" thickBot="1" x14ac:dyDescent="0.25"/>
    <row r="29" spans="2:111" x14ac:dyDescent="0.2">
      <c r="B29" s="88"/>
      <c r="C29" s="677" t="s">
        <v>98</v>
      </c>
      <c r="D29" s="678"/>
      <c r="E29" s="678"/>
      <c r="F29" s="678"/>
      <c r="G29" s="678"/>
      <c r="H29" s="678"/>
      <c r="I29" s="678"/>
      <c r="J29" s="678"/>
      <c r="K29" s="678"/>
      <c r="L29" s="678"/>
      <c r="M29" s="678"/>
      <c r="N29" s="678"/>
      <c r="O29" s="678"/>
      <c r="P29" s="678"/>
      <c r="Q29" s="678"/>
      <c r="R29" s="678"/>
      <c r="S29" s="678"/>
      <c r="T29" s="678"/>
      <c r="U29" s="678"/>
      <c r="V29" s="678"/>
      <c r="W29" s="679"/>
      <c r="X29" s="14"/>
      <c r="Y29" s="688" t="s">
        <v>3</v>
      </c>
      <c r="Z29" s="689"/>
      <c r="AA29" s="690"/>
    </row>
    <row r="30" spans="2:111" x14ac:dyDescent="0.2">
      <c r="B30" s="313"/>
      <c r="C30" s="666" t="s">
        <v>23</v>
      </c>
      <c r="D30" s="666"/>
      <c r="E30" s="667"/>
      <c r="F30" s="665" t="s">
        <v>24</v>
      </c>
      <c r="G30" s="666"/>
      <c r="H30" s="667"/>
      <c r="I30" s="665" t="s">
        <v>25</v>
      </c>
      <c r="J30" s="666"/>
      <c r="K30" s="667"/>
      <c r="L30" s="665" t="s">
        <v>26</v>
      </c>
      <c r="M30" s="666"/>
      <c r="N30" s="667"/>
      <c r="O30" s="665" t="s">
        <v>27</v>
      </c>
      <c r="P30" s="666"/>
      <c r="Q30" s="667"/>
      <c r="R30" s="665" t="s">
        <v>28</v>
      </c>
      <c r="S30" s="666"/>
      <c r="T30" s="668"/>
      <c r="U30" s="682" t="s">
        <v>172</v>
      </c>
      <c r="V30" s="683"/>
      <c r="W30" s="684"/>
      <c r="X30" s="16"/>
      <c r="Y30" s="691"/>
      <c r="Z30" s="692"/>
      <c r="AA30" s="693"/>
    </row>
    <row r="31" spans="2:111" x14ac:dyDescent="0.2">
      <c r="B31" s="84"/>
      <c r="C31" s="16" t="s">
        <v>0</v>
      </c>
      <c r="D31" s="16" t="s">
        <v>170</v>
      </c>
      <c r="E31" s="19" t="s">
        <v>1</v>
      </c>
      <c r="F31" s="16" t="s">
        <v>0</v>
      </c>
      <c r="G31" s="16" t="s">
        <v>170</v>
      </c>
      <c r="H31" s="19" t="s">
        <v>1</v>
      </c>
      <c r="I31" s="316" t="s">
        <v>0</v>
      </c>
      <c r="J31" s="16" t="s">
        <v>170</v>
      </c>
      <c r="K31" s="19" t="s">
        <v>1</v>
      </c>
      <c r="L31" s="316" t="s">
        <v>0</v>
      </c>
      <c r="M31" s="16" t="s">
        <v>170</v>
      </c>
      <c r="N31" s="19" t="s">
        <v>1</v>
      </c>
      <c r="O31" s="316" t="s">
        <v>0</v>
      </c>
      <c r="P31" s="16" t="s">
        <v>171</v>
      </c>
      <c r="Q31" s="19" t="s">
        <v>1</v>
      </c>
      <c r="R31" s="316" t="s">
        <v>0</v>
      </c>
      <c r="S31" s="16" t="s">
        <v>170</v>
      </c>
      <c r="T31" s="317" t="s">
        <v>1</v>
      </c>
      <c r="U31" s="24" t="s">
        <v>0</v>
      </c>
      <c r="V31" s="24" t="s">
        <v>170</v>
      </c>
      <c r="W31" s="25" t="s">
        <v>1</v>
      </c>
      <c r="X31" s="16"/>
      <c r="Y31" s="47" t="s">
        <v>0</v>
      </c>
      <c r="Z31" s="24" t="s">
        <v>170</v>
      </c>
      <c r="AA31" s="25" t="s">
        <v>1</v>
      </c>
    </row>
    <row r="32" spans="2:111" x14ac:dyDescent="0.2">
      <c r="B32" s="314"/>
      <c r="E32" s="27"/>
      <c r="H32" s="27"/>
      <c r="I32" s="28"/>
      <c r="K32" s="27"/>
      <c r="L32" s="28"/>
      <c r="N32" s="27"/>
      <c r="O32" s="28"/>
      <c r="Q32" s="27"/>
      <c r="U32" s="29"/>
      <c r="V32" s="30"/>
      <c r="W32" s="31"/>
      <c r="Y32" s="29"/>
      <c r="Z32" s="30"/>
      <c r="AA32" s="31"/>
    </row>
    <row r="33" spans="2:32" x14ac:dyDescent="0.2">
      <c r="B33" s="84" t="s">
        <v>101</v>
      </c>
      <c r="C33" s="33">
        <f>'Tab 3'!C33</f>
        <v>23055.169549073435</v>
      </c>
      <c r="D33" s="59">
        <f>'Distinta base agg'!$F$8</f>
        <v>108.74965</v>
      </c>
      <c r="E33" s="62">
        <f>C33*D33</f>
        <v>2507241.6191523941</v>
      </c>
      <c r="F33" s="33">
        <f>'Tab 3'!F33</f>
        <v>12575.547026767326</v>
      </c>
      <c r="G33" s="59">
        <f>'Distinta base agg'!$F$8</f>
        <v>108.74965</v>
      </c>
      <c r="H33" s="62">
        <f>F33*G33</f>
        <v>1367586.3377194875</v>
      </c>
      <c r="I33" s="33">
        <f>'Tab 3'!I33</f>
        <v>23055.169549073435</v>
      </c>
      <c r="J33" s="59">
        <f>'Distinta base agg'!$F$8</f>
        <v>108.74965</v>
      </c>
      <c r="K33" s="62">
        <f>I33*J33</f>
        <v>2507241.6191523941</v>
      </c>
      <c r="L33" s="33">
        <f>'Tab 3'!L33</f>
        <v>22007.207296842822</v>
      </c>
      <c r="M33" s="59">
        <f>'Distinta base agg'!$F$8</f>
        <v>108.74965</v>
      </c>
      <c r="N33" s="62">
        <f>L33*M33</f>
        <v>2393276.0910091032</v>
      </c>
      <c r="O33" s="33">
        <f>'Tab 3'!O33</f>
        <v>22007.207296842822</v>
      </c>
      <c r="P33" s="59">
        <f>'Distinta base agg'!$F$8</f>
        <v>108.74965</v>
      </c>
      <c r="Q33" s="62">
        <f>O33*P33</f>
        <v>2393276.0910091032</v>
      </c>
      <c r="R33" s="33">
        <f>'Tab 3'!R33</f>
        <v>12575.547026767326</v>
      </c>
      <c r="S33" s="59">
        <f>'Distinta base agg'!$F$8</f>
        <v>108.74965</v>
      </c>
      <c r="T33" s="62">
        <f>R33*S33</f>
        <v>1367586.3377194875</v>
      </c>
      <c r="U33" s="35">
        <f>C33+F33+I33+L33+O33+R33</f>
        <v>115275.84774536717</v>
      </c>
      <c r="V33" s="64">
        <f>IFERROR(W33/U33,0)</f>
        <v>108.74964999999999</v>
      </c>
      <c r="W33" s="67">
        <f>E33+H33+K33+N33+Q33+T33</f>
        <v>12536208.095761968</v>
      </c>
      <c r="X33" s="36"/>
      <c r="Y33" s="35">
        <f>U9+U33</f>
        <v>246271.12927419349</v>
      </c>
      <c r="Z33" s="64">
        <f>IFERROR(AA33/Y33,0)</f>
        <v>108.74965000000002</v>
      </c>
      <c r="AA33" s="67">
        <f>W9+W33</f>
        <v>26781899.1136733</v>
      </c>
    </row>
    <row r="34" spans="2:32" x14ac:dyDescent="0.2">
      <c r="B34" s="84" t="s">
        <v>102</v>
      </c>
      <c r="C34" s="33">
        <f>'Tab 3'!C34</f>
        <v>40493.451725768318</v>
      </c>
      <c r="D34" s="59">
        <f>'Distinta base agg'!$F$8</f>
        <v>108.74965</v>
      </c>
      <c r="E34" s="62">
        <f>C34*D34</f>
        <v>4403648.7024692008</v>
      </c>
      <c r="F34" s="33">
        <f>'Tab 3'!F34</f>
        <v>22087.337304964538</v>
      </c>
      <c r="G34" s="59">
        <f>'Distinta base agg'!$F$8</f>
        <v>108.74965</v>
      </c>
      <c r="H34" s="62">
        <f>F34*G34</f>
        <v>2401990.201346837</v>
      </c>
      <c r="I34" s="33">
        <f>'Tab 3'!I34</f>
        <v>40493.451725768318</v>
      </c>
      <c r="J34" s="59">
        <f>'Distinta base agg'!$F$8</f>
        <v>108.74965</v>
      </c>
      <c r="K34" s="62">
        <f>I34*J34</f>
        <v>4403648.7024692008</v>
      </c>
      <c r="L34" s="33">
        <f>'Tab 3'!L34</f>
        <v>38652.84028368794</v>
      </c>
      <c r="M34" s="59">
        <f>'Distinta base agg'!$F$8</f>
        <v>108.74965</v>
      </c>
      <c r="N34" s="62">
        <f>L34*M34</f>
        <v>4203482.8523569638</v>
      </c>
      <c r="O34" s="33">
        <f>'Tab 3'!O34</f>
        <v>38652.84028368794</v>
      </c>
      <c r="P34" s="59">
        <f>'Distinta base agg'!$F$8</f>
        <v>108.74965</v>
      </c>
      <c r="Q34" s="62">
        <f>O34*P34</f>
        <v>4203482.8523569638</v>
      </c>
      <c r="R34" s="33">
        <f>'Tab 3'!R34</f>
        <v>22087.337304964538</v>
      </c>
      <c r="S34" s="59">
        <f>'Distinta base agg'!$F$8</f>
        <v>108.74965</v>
      </c>
      <c r="T34" s="62">
        <f>R34*S34</f>
        <v>2401990.201346837</v>
      </c>
      <c r="U34" s="35">
        <f>C34+F34+I34+L34+O34+R34</f>
        <v>202467.25862884161</v>
      </c>
      <c r="V34" s="64">
        <f t="shared" ref="V34:V36" si="10">IFERROR(W34/U34,0)</f>
        <v>108.74964999999999</v>
      </c>
      <c r="W34" s="67">
        <f>E34+H34+K34+N34+Q34+T34</f>
        <v>22018243.512346003</v>
      </c>
      <c r="X34" s="36"/>
      <c r="Y34" s="35">
        <f>U10+U34</f>
        <v>432543.68888888886</v>
      </c>
      <c r="Z34" s="64">
        <f t="shared" ref="Z34:Z36" si="11">IFERROR(AA34/Y34,0)</f>
        <v>108.74964999999999</v>
      </c>
      <c r="AA34" s="67">
        <f>W10+W34</f>
        <v>47038974.776375547</v>
      </c>
    </row>
    <row r="35" spans="2:32" x14ac:dyDescent="0.2">
      <c r="B35" s="84" t="s">
        <v>103</v>
      </c>
      <c r="C35" s="33">
        <f>'Tab 3'!C35</f>
        <v>358.86524822695065</v>
      </c>
      <c r="D35" s="59">
        <f>'Distinta base agg'!$F$8</f>
        <v>108.74965</v>
      </c>
      <c r="E35" s="62">
        <f>C35*D35</f>
        <v>39026.470141844002</v>
      </c>
      <c r="F35" s="33">
        <f>'Tab 3'!F35</f>
        <v>195.744680851064</v>
      </c>
      <c r="G35" s="59">
        <f>'Distinta base agg'!$F$8</f>
        <v>108.74965</v>
      </c>
      <c r="H35" s="62">
        <f>F35*G35</f>
        <v>21287.165531914914</v>
      </c>
      <c r="I35" s="33">
        <f>'Tab 3'!I35</f>
        <v>358.86524822695065</v>
      </c>
      <c r="J35" s="59">
        <f>'Distinta base agg'!$F$8</f>
        <v>108.74965</v>
      </c>
      <c r="K35" s="62">
        <f>I35*J35</f>
        <v>39026.470141844002</v>
      </c>
      <c r="L35" s="33">
        <f>'Tab 3'!L35</f>
        <v>342.55319148936201</v>
      </c>
      <c r="M35" s="59">
        <f>'Distinta base agg'!$F$8</f>
        <v>108.74965</v>
      </c>
      <c r="N35" s="62">
        <f>L35*M35</f>
        <v>37252.5396808511</v>
      </c>
      <c r="O35" s="33">
        <f>'Tab 3'!O35</f>
        <v>342.55319148936201</v>
      </c>
      <c r="P35" s="59">
        <f>'Distinta base agg'!$F$8</f>
        <v>108.74965</v>
      </c>
      <c r="Q35" s="62">
        <f>O35*P35</f>
        <v>37252.5396808511</v>
      </c>
      <c r="R35" s="33">
        <f>'Tab 3'!R35</f>
        <v>195.744680851064</v>
      </c>
      <c r="S35" s="59">
        <f>'Distinta base agg'!$F$8</f>
        <v>108.74965</v>
      </c>
      <c r="T35" s="62">
        <f>R35*S35</f>
        <v>21287.165531914914</v>
      </c>
      <c r="U35" s="35">
        <f>C35+F35+I35+L35+O35+R35</f>
        <v>1794.3262411347532</v>
      </c>
      <c r="V35" s="64">
        <f t="shared" si="10"/>
        <v>108.74965000000002</v>
      </c>
      <c r="W35" s="67">
        <f>E35+H35+K35+N35+Q35+T35</f>
        <v>195132.35070922005</v>
      </c>
      <c r="X35" s="36"/>
      <c r="Y35" s="35">
        <f>U11+U35</f>
        <v>3833.3333333333367</v>
      </c>
      <c r="Z35" s="64">
        <f t="shared" si="11"/>
        <v>108.74965</v>
      </c>
      <c r="AA35" s="67">
        <f>W11+W35</f>
        <v>416873.65833333373</v>
      </c>
    </row>
    <row r="36" spans="2:32" ht="17" thickBot="1" x14ac:dyDescent="0.25">
      <c r="B36" s="315" t="s">
        <v>91</v>
      </c>
      <c r="C36" s="39">
        <f>SUM(C33:C35)</f>
        <v>63907.486523068706</v>
      </c>
      <c r="D36" s="60">
        <f>E36/C36</f>
        <v>108.74965</v>
      </c>
      <c r="E36" s="63">
        <f>SUM(E33:E35)</f>
        <v>6949916.7917634388</v>
      </c>
      <c r="F36" s="39">
        <f>SUM(F33:F35)</f>
        <v>34858.629012582933</v>
      </c>
      <c r="G36" s="60">
        <f>H36/F36</f>
        <v>108.74965</v>
      </c>
      <c r="H36" s="63">
        <f>SUM(H33:H35)</f>
        <v>3790863.7045982396</v>
      </c>
      <c r="I36" s="39">
        <f>SUM(I33:I35)</f>
        <v>63907.486523068706</v>
      </c>
      <c r="J36" s="60">
        <f>K36/I36</f>
        <v>108.74965</v>
      </c>
      <c r="K36" s="63">
        <f>SUM(K33:K35)</f>
        <v>6949916.7917634388</v>
      </c>
      <c r="L36" s="39">
        <f>SUM(L33:L35)</f>
        <v>61002.600772020131</v>
      </c>
      <c r="M36" s="60">
        <f>N36/L36</f>
        <v>108.74964999999999</v>
      </c>
      <c r="N36" s="63">
        <f>SUM(N33:N35)</f>
        <v>6634011.4830469182</v>
      </c>
      <c r="O36" s="39">
        <f>SUM(O33:O35)</f>
        <v>61002.600772020131</v>
      </c>
      <c r="P36" s="60">
        <f>Q36/O36</f>
        <v>108.74964999999999</v>
      </c>
      <c r="Q36" s="63">
        <f>SUM(Q33:Q35)</f>
        <v>6634011.4830469182</v>
      </c>
      <c r="R36" s="39">
        <f>SUM(R33:R35)</f>
        <v>34858.629012582933</v>
      </c>
      <c r="S36" s="60">
        <f>T36/R36</f>
        <v>108.74965</v>
      </c>
      <c r="T36" s="63">
        <f>SUM(T33:T35)</f>
        <v>3790863.7045982396</v>
      </c>
      <c r="U36" s="38">
        <f>SUM(U33:U35)</f>
        <v>319537.43261534348</v>
      </c>
      <c r="V36" s="65">
        <f t="shared" si="10"/>
        <v>108.74965000000002</v>
      </c>
      <c r="W36" s="68">
        <f>SUM(W33:W35)</f>
        <v>34749583.958817191</v>
      </c>
      <c r="X36" s="41"/>
      <c r="Y36" s="38">
        <f>SUM(Y33:Y35)</f>
        <v>682648.15149641572</v>
      </c>
      <c r="Z36" s="65">
        <f t="shared" si="11"/>
        <v>108.74964999999999</v>
      </c>
      <c r="AA36" s="68">
        <f>SUM(AA33:AA35)</f>
        <v>74237747.548382178</v>
      </c>
      <c r="AC36" s="48"/>
      <c r="AD36" s="48"/>
      <c r="AE36" s="48"/>
      <c r="AF36" s="43"/>
    </row>
    <row r="37" spans="2:32" x14ac:dyDescent="0.2">
      <c r="B37" s="84"/>
      <c r="D37" s="59"/>
      <c r="E37" s="62"/>
      <c r="G37" s="59"/>
      <c r="H37" s="62"/>
      <c r="J37" s="59"/>
      <c r="K37" s="62"/>
      <c r="M37" s="59"/>
      <c r="N37" s="62"/>
      <c r="P37" s="59"/>
      <c r="Q37" s="62"/>
      <c r="S37" s="59"/>
      <c r="T37" s="62"/>
      <c r="U37" s="29"/>
      <c r="V37" s="66"/>
      <c r="W37" s="67"/>
      <c r="Y37" s="29"/>
      <c r="Z37" s="66"/>
      <c r="AA37" s="67"/>
      <c r="AC37" s="48"/>
      <c r="AD37" s="48"/>
      <c r="AE37" s="48"/>
    </row>
    <row r="38" spans="2:32" x14ac:dyDescent="0.2">
      <c r="B38" s="314"/>
      <c r="D38" s="59"/>
      <c r="E38" s="62"/>
      <c r="G38" s="59"/>
      <c r="H38" s="62"/>
      <c r="J38" s="59"/>
      <c r="K38" s="62"/>
      <c r="M38" s="59"/>
      <c r="N38" s="62"/>
      <c r="P38" s="59"/>
      <c r="Q38" s="62"/>
      <c r="S38" s="59"/>
      <c r="T38" s="62"/>
      <c r="U38" s="29"/>
      <c r="V38" s="66"/>
      <c r="W38" s="67"/>
      <c r="Y38" s="29"/>
      <c r="Z38" s="66"/>
      <c r="AA38" s="67"/>
      <c r="AC38" s="48"/>
      <c r="AD38" s="48"/>
      <c r="AE38" s="48"/>
    </row>
    <row r="39" spans="2:32" x14ac:dyDescent="0.2">
      <c r="B39" s="84" t="s">
        <v>101</v>
      </c>
      <c r="C39" s="33">
        <f>'Tab 3'!C39</f>
        <v>1464.6813595881949</v>
      </c>
      <c r="D39" s="59">
        <f>'Distinta base agg'!$F$17</f>
        <v>189</v>
      </c>
      <c r="E39" s="62">
        <f>C39*D39</f>
        <v>276824.77696216886</v>
      </c>
      <c r="F39" s="33">
        <f>'Tab 3'!F39</f>
        <v>798.91710522992457</v>
      </c>
      <c r="G39" s="59">
        <f>'Distinta base agg'!$F$17</f>
        <v>189</v>
      </c>
      <c r="H39" s="62">
        <f>F39*G39</f>
        <v>150995.33288845574</v>
      </c>
      <c r="I39" s="33">
        <f>'Tab 3'!I39</f>
        <v>1464.6813595881949</v>
      </c>
      <c r="J39" s="59">
        <f>'Distinta base agg'!$F$17</f>
        <v>189</v>
      </c>
      <c r="K39" s="62">
        <f>I39*J39</f>
        <v>276824.77696216886</v>
      </c>
      <c r="L39" s="33">
        <f>'Tab 3'!L39</f>
        <v>1398.1049341523681</v>
      </c>
      <c r="M39" s="59">
        <f>'Distinta base agg'!$F$17</f>
        <v>189</v>
      </c>
      <c r="N39" s="62">
        <f>L39*M39</f>
        <v>264241.83255479758</v>
      </c>
      <c r="O39" s="33">
        <f>'Tab 3'!O39</f>
        <v>1398.1049341523681</v>
      </c>
      <c r="P39" s="59">
        <f>'Distinta base agg'!$F$17</f>
        <v>189</v>
      </c>
      <c r="Q39" s="62">
        <f>O39*P39</f>
        <v>264241.83255479758</v>
      </c>
      <c r="R39" s="33">
        <f>'Tab 3'!R39</f>
        <v>798.91710522992457</v>
      </c>
      <c r="S39" s="59">
        <f>'Distinta base agg'!$F$17</f>
        <v>189</v>
      </c>
      <c r="T39" s="62">
        <f>R39*S39</f>
        <v>150995.33288845574</v>
      </c>
      <c r="U39" s="35">
        <f>C39+F39+I39+L39+O39+R39</f>
        <v>7323.4067979409756</v>
      </c>
      <c r="V39" s="64">
        <f>IFERROR(W39/U39,0)</f>
        <v>189</v>
      </c>
      <c r="W39" s="67">
        <f>E39+H39+K39+N39+Q39+T39</f>
        <v>1384123.8848108444</v>
      </c>
      <c r="X39" s="36"/>
      <c r="Y39" s="35">
        <f>U15+U39</f>
        <v>15645.459977419358</v>
      </c>
      <c r="Z39" s="64">
        <f>IFERROR(AA39/Y39,0)</f>
        <v>189</v>
      </c>
      <c r="AA39" s="67">
        <f>W15+W39</f>
        <v>2956991.9357322585</v>
      </c>
      <c r="AC39" s="48"/>
      <c r="AD39" s="48"/>
      <c r="AE39" s="48"/>
    </row>
    <row r="40" spans="2:32" x14ac:dyDescent="0.2">
      <c r="B40" s="84" t="s">
        <v>102</v>
      </c>
      <c r="C40" s="33">
        <f>'Tab 3'!C40</f>
        <v>0</v>
      </c>
      <c r="D40" s="59">
        <f>'Distinta base agg'!$F$17</f>
        <v>189</v>
      </c>
      <c r="E40" s="62">
        <f>C40*D40</f>
        <v>0</v>
      </c>
      <c r="F40" s="33">
        <f>'Tab 3'!F40</f>
        <v>0</v>
      </c>
      <c r="G40" s="59">
        <f>'Distinta base agg'!$F$17</f>
        <v>189</v>
      </c>
      <c r="H40" s="62">
        <f>F40*G40</f>
        <v>0</v>
      </c>
      <c r="I40" s="33">
        <f>'Tab 3'!I40</f>
        <v>0</v>
      </c>
      <c r="J40" s="59">
        <f>'Distinta base agg'!$F$17</f>
        <v>189</v>
      </c>
      <c r="K40" s="62">
        <f>I40*J40</f>
        <v>0</v>
      </c>
      <c r="L40" s="33">
        <f>'Tab 3'!L40</f>
        <v>0</v>
      </c>
      <c r="M40" s="59">
        <f>'Distinta base agg'!$F$17</f>
        <v>189</v>
      </c>
      <c r="N40" s="62">
        <f>L40*M40</f>
        <v>0</v>
      </c>
      <c r="O40" s="33">
        <f>'Tab 3'!O40</f>
        <v>0</v>
      </c>
      <c r="P40" s="59">
        <f>'Distinta base agg'!$F$17</f>
        <v>189</v>
      </c>
      <c r="Q40" s="62">
        <f>O40*P40</f>
        <v>0</v>
      </c>
      <c r="R40" s="33">
        <f>'Tab 3'!R40</f>
        <v>0</v>
      </c>
      <c r="S40" s="59">
        <f>'Distinta base agg'!$F$17</f>
        <v>189</v>
      </c>
      <c r="T40" s="62">
        <f>R40*S40</f>
        <v>0</v>
      </c>
      <c r="U40" s="35">
        <f>C40+F40+I40+L40+O40+R40</f>
        <v>0</v>
      </c>
      <c r="V40" s="64">
        <f t="shared" ref="V40:V42" si="12">IFERROR(W40/U40,0)</f>
        <v>0</v>
      </c>
      <c r="W40" s="67">
        <f>E40+H40+K40+N40+Q40+T40</f>
        <v>0</v>
      </c>
      <c r="X40" s="36"/>
      <c r="Y40" s="35">
        <f>U16+U40</f>
        <v>0</v>
      </c>
      <c r="Z40" s="64">
        <f t="shared" ref="Z40:Z42" si="13">IFERROR(AA40/Y40,0)</f>
        <v>0</v>
      </c>
      <c r="AA40" s="67">
        <f>W16+W40</f>
        <v>0</v>
      </c>
      <c r="AC40" s="48"/>
      <c r="AD40" s="48"/>
      <c r="AE40" s="48"/>
    </row>
    <row r="41" spans="2:32" x14ac:dyDescent="0.2">
      <c r="B41" s="84" t="s">
        <v>103</v>
      </c>
      <c r="C41" s="33">
        <f>'Tab 3'!C41</f>
        <v>2454.6382978723404</v>
      </c>
      <c r="D41" s="59">
        <f>'Distinta base agg'!$F$17</f>
        <v>189</v>
      </c>
      <c r="E41" s="62">
        <f>C41*D41</f>
        <v>463926.63829787233</v>
      </c>
      <c r="F41" s="33">
        <f>'Tab 3'!F41</f>
        <v>1338.8936170212767</v>
      </c>
      <c r="G41" s="59">
        <f>'Distinta base agg'!$F$17</f>
        <v>189</v>
      </c>
      <c r="H41" s="62">
        <f>F41*G41</f>
        <v>253050.8936170213</v>
      </c>
      <c r="I41" s="33">
        <f>'Tab 3'!I41</f>
        <v>2454.6382978723404</v>
      </c>
      <c r="J41" s="59">
        <f>'Distinta base agg'!$F$17</f>
        <v>189</v>
      </c>
      <c r="K41" s="62">
        <f>I41*J41</f>
        <v>463926.63829787233</v>
      </c>
      <c r="L41" s="33">
        <f>'Tab 3'!L41</f>
        <v>2343.0638297872342</v>
      </c>
      <c r="M41" s="59">
        <f>'Distinta base agg'!$F$17</f>
        <v>189</v>
      </c>
      <c r="N41" s="62">
        <f>L41*M41</f>
        <v>442839.06382978725</v>
      </c>
      <c r="O41" s="33">
        <f>'Tab 3'!O41</f>
        <v>2343.0638297872342</v>
      </c>
      <c r="P41" s="59">
        <f>'Distinta base agg'!$F$17</f>
        <v>189</v>
      </c>
      <c r="Q41" s="62">
        <f>O41*P41</f>
        <v>442839.06382978725</v>
      </c>
      <c r="R41" s="33">
        <f>'Tab 3'!R41</f>
        <v>1338.8936170212767</v>
      </c>
      <c r="S41" s="59">
        <f>'Distinta base agg'!$F$17</f>
        <v>189</v>
      </c>
      <c r="T41" s="62">
        <f>R41*S41</f>
        <v>253050.8936170213</v>
      </c>
      <c r="U41" s="35">
        <f>C41+F41+I41+L41+O41+R41</f>
        <v>12273.191489361701</v>
      </c>
      <c r="V41" s="64">
        <f t="shared" si="12"/>
        <v>189</v>
      </c>
      <c r="W41" s="67">
        <f>E41+H41+K41+N41+Q41+T41</f>
        <v>2319633.1914893617</v>
      </c>
      <c r="X41" s="36"/>
      <c r="Y41" s="35">
        <f>U17+U41</f>
        <v>26220</v>
      </c>
      <c r="Z41" s="64">
        <f t="shared" si="13"/>
        <v>189</v>
      </c>
      <c r="AA41" s="67">
        <f>W17+W41</f>
        <v>4955580</v>
      </c>
      <c r="AC41" s="48"/>
      <c r="AD41" s="48"/>
      <c r="AE41" s="48"/>
    </row>
    <row r="42" spans="2:32" ht="17" thickBot="1" x14ac:dyDescent="0.25">
      <c r="B42" s="315" t="s">
        <v>92</v>
      </c>
      <c r="C42" s="39">
        <f>SUM(C39:C41)</f>
        <v>3919.3196574605354</v>
      </c>
      <c r="D42" s="60">
        <f>E42/C42</f>
        <v>189</v>
      </c>
      <c r="E42" s="63">
        <f>SUM(E39:E41)</f>
        <v>740751.41526004113</v>
      </c>
      <c r="F42" s="39">
        <f>SUM(F39:F41)</f>
        <v>2137.8107222512012</v>
      </c>
      <c r="G42" s="60">
        <f>H42/F42</f>
        <v>189</v>
      </c>
      <c r="H42" s="63">
        <f>SUM(H39:H41)</f>
        <v>404046.22650547704</v>
      </c>
      <c r="I42" s="39">
        <f>SUM(I39:I41)</f>
        <v>3919.3196574605354</v>
      </c>
      <c r="J42" s="60">
        <f>K42/I42</f>
        <v>189</v>
      </c>
      <c r="K42" s="63">
        <f>SUM(K39:K41)</f>
        <v>740751.41526004113</v>
      </c>
      <c r="L42" s="39">
        <f>SUM(L39:L41)</f>
        <v>3741.1687639396023</v>
      </c>
      <c r="M42" s="60">
        <f>N42/L42</f>
        <v>189</v>
      </c>
      <c r="N42" s="63">
        <f>SUM(N39:N41)</f>
        <v>707080.89638458483</v>
      </c>
      <c r="O42" s="39">
        <f>SUM(O39:O41)</f>
        <v>3741.1687639396023</v>
      </c>
      <c r="P42" s="60">
        <f>Q42/O42</f>
        <v>189</v>
      </c>
      <c r="Q42" s="63">
        <f>SUM(Q39:Q41)</f>
        <v>707080.89638458483</v>
      </c>
      <c r="R42" s="39">
        <f>SUM(R39:R41)</f>
        <v>2137.8107222512012</v>
      </c>
      <c r="S42" s="60">
        <f>T42/R42</f>
        <v>189</v>
      </c>
      <c r="T42" s="63">
        <f>SUM(T39:T41)</f>
        <v>404046.22650547704</v>
      </c>
      <c r="U42" s="38">
        <f>SUM(U39:U41)</f>
        <v>19596.598287302677</v>
      </c>
      <c r="V42" s="65">
        <f t="shared" si="12"/>
        <v>189</v>
      </c>
      <c r="W42" s="68">
        <f>SUM(W39:W41)</f>
        <v>3703757.0763002061</v>
      </c>
      <c r="X42" s="41"/>
      <c r="Y42" s="38">
        <f>SUM(Y39:Y41)</f>
        <v>41865.459977419356</v>
      </c>
      <c r="Z42" s="65">
        <f t="shared" si="13"/>
        <v>189</v>
      </c>
      <c r="AA42" s="68">
        <f>SUM(AA39:AA41)</f>
        <v>7912571.9357322585</v>
      </c>
      <c r="AC42" s="48"/>
      <c r="AD42" s="48"/>
      <c r="AE42" s="48"/>
      <c r="AF42" s="43"/>
    </row>
    <row r="43" spans="2:32" x14ac:dyDescent="0.2">
      <c r="B43" s="84"/>
      <c r="D43" s="59"/>
      <c r="E43" s="62"/>
      <c r="G43" s="59"/>
      <c r="H43" s="62"/>
      <c r="J43" s="59"/>
      <c r="K43" s="62"/>
      <c r="M43" s="59"/>
      <c r="N43" s="62"/>
      <c r="P43" s="59"/>
      <c r="Q43" s="62"/>
      <c r="S43" s="59"/>
      <c r="T43" s="62"/>
      <c r="U43" s="29"/>
      <c r="V43" s="66"/>
      <c r="W43" s="67"/>
      <c r="Y43" s="29"/>
      <c r="Z43" s="66"/>
      <c r="AA43" s="67"/>
    </row>
    <row r="44" spans="2:32" x14ac:dyDescent="0.2">
      <c r="B44" s="314"/>
      <c r="D44" s="59"/>
      <c r="E44" s="62"/>
      <c r="G44" s="59"/>
      <c r="H44" s="62"/>
      <c r="J44" s="59"/>
      <c r="K44" s="62"/>
      <c r="M44" s="59"/>
      <c r="N44" s="62"/>
      <c r="P44" s="59"/>
      <c r="Q44" s="62"/>
      <c r="S44" s="59"/>
      <c r="T44" s="62"/>
      <c r="U44" s="29"/>
      <c r="V44" s="66"/>
      <c r="W44" s="67"/>
      <c r="Y44" s="29"/>
      <c r="Z44" s="66"/>
      <c r="AA44" s="67"/>
    </row>
    <row r="45" spans="2:32" x14ac:dyDescent="0.2">
      <c r="B45" s="84" t="s">
        <v>101</v>
      </c>
      <c r="C45" s="33">
        <f>C33+C39</f>
        <v>24519.850908661629</v>
      </c>
      <c r="D45" s="61">
        <f>E45/C45</f>
        <v>113.54336559734516</v>
      </c>
      <c r="E45" s="62">
        <f>E33+E39</f>
        <v>2784066.3961145631</v>
      </c>
      <c r="F45" s="33">
        <f>F33+F39</f>
        <v>13374.464131997251</v>
      </c>
      <c r="G45" s="61">
        <f>H45/F45</f>
        <v>113.54336559734516</v>
      </c>
      <c r="H45" s="62">
        <f>H33+H39</f>
        <v>1518581.6706079433</v>
      </c>
      <c r="I45" s="33">
        <f>I33+I39</f>
        <v>24519.850908661629</v>
      </c>
      <c r="J45" s="61">
        <f>K45/I45</f>
        <v>113.54336559734516</v>
      </c>
      <c r="K45" s="62">
        <f>K33+K39</f>
        <v>2784066.3961145631</v>
      </c>
      <c r="L45" s="33">
        <f>L33+L39</f>
        <v>23405.31223099519</v>
      </c>
      <c r="M45" s="61">
        <f>N45/L45</f>
        <v>113.54336559734514</v>
      </c>
      <c r="N45" s="62">
        <f>N33+N39</f>
        <v>2657517.9235639009</v>
      </c>
      <c r="O45" s="33">
        <f>O33+O39</f>
        <v>23405.31223099519</v>
      </c>
      <c r="P45" s="61">
        <f>Q45/O45</f>
        <v>113.54336559734514</v>
      </c>
      <c r="Q45" s="62">
        <f>Q33+Q39</f>
        <v>2657517.9235639009</v>
      </c>
      <c r="R45" s="33">
        <f>R33+R39</f>
        <v>13374.464131997251</v>
      </c>
      <c r="S45" s="61">
        <f>T45/R45</f>
        <v>113.54336559734516</v>
      </c>
      <c r="T45" s="62">
        <f>T33+T39</f>
        <v>1518581.6706079433</v>
      </c>
      <c r="U45" s="35">
        <f>C45+F45+I45+L45+O45+R45</f>
        <v>122599.25454330814</v>
      </c>
      <c r="V45" s="64">
        <f>IFERROR(W45/U45,0)</f>
        <v>113.54336559734516</v>
      </c>
      <c r="W45" s="67">
        <f>E45+H45+K45+N45+Q45+T45</f>
        <v>13920331.980572816</v>
      </c>
      <c r="Y45" s="35">
        <f>U21+U45</f>
        <v>261916.58925161284</v>
      </c>
      <c r="Z45" s="64">
        <f>IFERROR(AA45/Y45,0)</f>
        <v>113.54336559734516</v>
      </c>
      <c r="AA45" s="67">
        <f>W21+W45</f>
        <v>29738891.04940556</v>
      </c>
    </row>
    <row r="46" spans="2:32" x14ac:dyDescent="0.2">
      <c r="B46" s="84" t="s">
        <v>102</v>
      </c>
      <c r="C46" s="33">
        <f t="shared" ref="C46" si="14">C34+C40</f>
        <v>40493.451725768318</v>
      </c>
      <c r="D46" s="61">
        <f>E46/C46</f>
        <v>108.74965</v>
      </c>
      <c r="E46" s="62">
        <f t="shared" ref="E46:F47" si="15">E34+E40</f>
        <v>4403648.7024692008</v>
      </c>
      <c r="F46" s="33">
        <f t="shared" si="15"/>
        <v>22087.337304964538</v>
      </c>
      <c r="G46" s="61">
        <f>H46/F46</f>
        <v>108.74965000000002</v>
      </c>
      <c r="H46" s="62">
        <f t="shared" ref="H46:I47" si="16">H34+H40</f>
        <v>2401990.201346837</v>
      </c>
      <c r="I46" s="33">
        <f t="shared" si="16"/>
        <v>40493.451725768318</v>
      </c>
      <c r="J46" s="61">
        <f>K46/I46</f>
        <v>108.74965</v>
      </c>
      <c r="K46" s="62">
        <f t="shared" ref="K46:L47" si="17">K34+K40</f>
        <v>4403648.7024692008</v>
      </c>
      <c r="L46" s="33">
        <f t="shared" si="17"/>
        <v>38652.84028368794</v>
      </c>
      <c r="M46" s="61">
        <f>N46/L46</f>
        <v>108.74964999999999</v>
      </c>
      <c r="N46" s="62">
        <f t="shared" ref="N46:O47" si="18">N34+N40</f>
        <v>4203482.8523569638</v>
      </c>
      <c r="O46" s="33">
        <f t="shared" si="18"/>
        <v>38652.84028368794</v>
      </c>
      <c r="P46" s="61">
        <f>Q46/O46</f>
        <v>108.74964999999999</v>
      </c>
      <c r="Q46" s="62">
        <f t="shared" ref="Q46:R47" si="19">Q34+Q40</f>
        <v>4203482.8523569638</v>
      </c>
      <c r="R46" s="33">
        <f t="shared" si="19"/>
        <v>22087.337304964538</v>
      </c>
      <c r="S46" s="61">
        <f>T46/R46</f>
        <v>108.74965000000002</v>
      </c>
      <c r="T46" s="62">
        <f t="shared" ref="T46:T47" si="20">T34+T40</f>
        <v>2401990.201346837</v>
      </c>
      <c r="U46" s="35">
        <f>C46+F46+I46+L46+O46+R46</f>
        <v>202467.25862884161</v>
      </c>
      <c r="V46" s="64">
        <f t="shared" ref="V46:V48" si="21">IFERROR(W46/U46,0)</f>
        <v>108.74964999999999</v>
      </c>
      <c r="W46" s="67">
        <f>E46+H46+K46+N46+Q46+T46</f>
        <v>22018243.512346003</v>
      </c>
      <c r="Y46" s="35">
        <f>U22+U46</f>
        <v>432543.68888888886</v>
      </c>
      <c r="Z46" s="64">
        <f t="shared" ref="Z46:Z48" si="22">IFERROR(AA46/Y46,0)</f>
        <v>108.74964999999999</v>
      </c>
      <c r="AA46" s="67">
        <f>W22+W46</f>
        <v>47038974.776375547</v>
      </c>
    </row>
    <row r="47" spans="2:32" x14ac:dyDescent="0.2">
      <c r="B47" s="84" t="s">
        <v>103</v>
      </c>
      <c r="C47" s="33">
        <f t="shared" ref="C47" si="23">C35+C41</f>
        <v>2813.5035460992913</v>
      </c>
      <c r="D47" s="61">
        <f>E47/C47</f>
        <v>178.76398596938773</v>
      </c>
      <c r="E47" s="62">
        <f t="shared" si="15"/>
        <v>502953.10843971634</v>
      </c>
      <c r="F47" s="33">
        <f t="shared" si="15"/>
        <v>1534.6382978723407</v>
      </c>
      <c r="G47" s="61">
        <f>H47/F47</f>
        <v>178.76398596938773</v>
      </c>
      <c r="H47" s="62">
        <f t="shared" si="16"/>
        <v>274338.05914893618</v>
      </c>
      <c r="I47" s="33">
        <f t="shared" si="16"/>
        <v>2813.5035460992913</v>
      </c>
      <c r="J47" s="61">
        <f>K47/I47</f>
        <v>178.76398596938773</v>
      </c>
      <c r="K47" s="62">
        <f t="shared" si="17"/>
        <v>502953.10843971634</v>
      </c>
      <c r="L47" s="33">
        <f t="shared" si="17"/>
        <v>2685.6170212765965</v>
      </c>
      <c r="M47" s="61">
        <f>N47/L47</f>
        <v>178.76398596938773</v>
      </c>
      <c r="N47" s="62">
        <f t="shared" si="18"/>
        <v>480091.60351063835</v>
      </c>
      <c r="O47" s="33">
        <f t="shared" si="18"/>
        <v>2685.6170212765965</v>
      </c>
      <c r="P47" s="61">
        <f>Q47/O47</f>
        <v>178.76398596938773</v>
      </c>
      <c r="Q47" s="62">
        <f t="shared" si="19"/>
        <v>480091.60351063835</v>
      </c>
      <c r="R47" s="33">
        <f t="shared" si="19"/>
        <v>1534.6382978723407</v>
      </c>
      <c r="S47" s="61">
        <f>T47/R47</f>
        <v>178.76398596938773</v>
      </c>
      <c r="T47" s="62">
        <f t="shared" si="20"/>
        <v>274338.05914893618</v>
      </c>
      <c r="U47" s="35">
        <f>C47+F47+I47+L47+O47+R47</f>
        <v>14067.517730496456</v>
      </c>
      <c r="V47" s="64">
        <f t="shared" si="21"/>
        <v>178.76398596938773</v>
      </c>
      <c r="W47" s="67">
        <f>E47+H47+K47+N47+Q47+T47</f>
        <v>2514765.5421985816</v>
      </c>
      <c r="Y47" s="35">
        <f>U23+U47</f>
        <v>30053.333333333339</v>
      </c>
      <c r="Z47" s="64">
        <f t="shared" si="22"/>
        <v>178.7639859693877</v>
      </c>
      <c r="AA47" s="67">
        <f>W23+W47</f>
        <v>5372453.6583333332</v>
      </c>
    </row>
    <row r="48" spans="2:32" ht="17" thickBot="1" x14ac:dyDescent="0.25">
      <c r="B48" s="315" t="s">
        <v>3</v>
      </c>
      <c r="C48" s="39">
        <f>SUM(C45:C47)</f>
        <v>67826.806180529238</v>
      </c>
      <c r="D48" s="60">
        <f>E48/C48</f>
        <v>113.38685455060109</v>
      </c>
      <c r="E48" s="63">
        <f>SUM(E45:E47)</f>
        <v>7690668.20702348</v>
      </c>
      <c r="F48" s="38">
        <f>SUM(F45:F47)</f>
        <v>36996.43973483413</v>
      </c>
      <c r="G48" s="60">
        <f>H48/F48</f>
        <v>113.3868545506011</v>
      </c>
      <c r="H48" s="63">
        <f>SUM(H45:H47)</f>
        <v>4194909.9311037166</v>
      </c>
      <c r="I48" s="38">
        <f>SUM(I45:I47)</f>
        <v>67826.806180529238</v>
      </c>
      <c r="J48" s="60">
        <f>K48/I48</f>
        <v>113.38685455060109</v>
      </c>
      <c r="K48" s="63">
        <f>SUM(K45:K47)</f>
        <v>7690668.20702348</v>
      </c>
      <c r="L48" s="38">
        <f>SUM(L45:L47)</f>
        <v>64743.76953595972</v>
      </c>
      <c r="M48" s="60">
        <f>N48/L48</f>
        <v>113.3868545506011</v>
      </c>
      <c r="N48" s="63">
        <f>SUM(N45:N47)</f>
        <v>7341092.3794315029</v>
      </c>
      <c r="O48" s="38">
        <f>SUM(O45:O47)</f>
        <v>64743.76953595972</v>
      </c>
      <c r="P48" s="60">
        <f>Q48/O48</f>
        <v>113.3868545506011</v>
      </c>
      <c r="Q48" s="63">
        <f>SUM(Q45:Q47)</f>
        <v>7341092.3794315029</v>
      </c>
      <c r="R48" s="38">
        <f>SUM(R45:R47)</f>
        <v>36996.43973483413</v>
      </c>
      <c r="S48" s="60">
        <f>T48/R48</f>
        <v>113.3868545506011</v>
      </c>
      <c r="T48" s="63">
        <f>SUM(T45:T47)</f>
        <v>4194909.9311037166</v>
      </c>
      <c r="U48" s="38">
        <f>SUM(U45:U47)</f>
        <v>339134.03090264625</v>
      </c>
      <c r="V48" s="65">
        <f t="shared" si="21"/>
        <v>113.38685455060109</v>
      </c>
      <c r="W48" s="68">
        <f>SUM(W45:W47)</f>
        <v>38453341.035117403</v>
      </c>
      <c r="Y48" s="38">
        <f>SUM(Y45:Y47)</f>
        <v>724513.61147383507</v>
      </c>
      <c r="Z48" s="65">
        <f t="shared" si="22"/>
        <v>113.38685455060107</v>
      </c>
      <c r="AA48" s="68">
        <f>SUM(AA45:AA47)</f>
        <v>82150319.484114438</v>
      </c>
    </row>
  </sheetData>
  <mergeCells count="17">
    <mergeCell ref="C5:W5"/>
    <mergeCell ref="C6:E6"/>
    <mergeCell ref="F6:H6"/>
    <mergeCell ref="I6:K6"/>
    <mergeCell ref="L6:N6"/>
    <mergeCell ref="O6:Q6"/>
    <mergeCell ref="R6:T6"/>
    <mergeCell ref="U6:W6"/>
    <mergeCell ref="C29:W29"/>
    <mergeCell ref="Y29:AA30"/>
    <mergeCell ref="C30:E30"/>
    <mergeCell ref="F30:H30"/>
    <mergeCell ref="I30:K30"/>
    <mergeCell ref="L30:N30"/>
    <mergeCell ref="O30:Q30"/>
    <mergeCell ref="R30:T30"/>
    <mergeCell ref="U30:W30"/>
  </mergeCells>
  <pageMargins left="0.25" right="0.25" top="0.75" bottom="0.75" header="0.3" footer="0.3"/>
  <pageSetup paperSize="9" scale="43" orientation="landscape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D7F09-A980-B342-A814-E5899E0130F2}">
  <sheetPr codeName="Foglio27"/>
  <dimension ref="B3:E27"/>
  <sheetViews>
    <sheetView showGridLines="0" topLeftCell="A17" zoomScale="264" zoomScaleNormal="20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6" style="2" customWidth="1"/>
    <col min="3" max="5" width="12.1640625" style="2" customWidth="1"/>
    <col min="6" max="16384" width="10.83203125" style="2"/>
  </cols>
  <sheetData>
    <row r="3" spans="2:3" x14ac:dyDescent="0.2">
      <c r="B3" s="2" t="s">
        <v>818</v>
      </c>
    </row>
    <row r="5" spans="2:3" x14ac:dyDescent="0.2">
      <c r="B5" s="464"/>
      <c r="C5" s="466" t="s">
        <v>98</v>
      </c>
    </row>
    <row r="6" spans="2:3" x14ac:dyDescent="0.2">
      <c r="B6" s="413"/>
      <c r="C6" s="389" t="s">
        <v>692</v>
      </c>
    </row>
    <row r="7" spans="2:3" x14ac:dyDescent="0.2">
      <c r="B7" s="465" t="s">
        <v>91</v>
      </c>
      <c r="C7" s="391"/>
    </row>
    <row r="8" spans="2:3" x14ac:dyDescent="0.2">
      <c r="B8" s="413" t="s">
        <v>42</v>
      </c>
      <c r="C8" s="467">
        <f>'Distinta base agg'!F8</f>
        <v>108.74965</v>
      </c>
    </row>
    <row r="9" spans="2:3" x14ac:dyDescent="0.2">
      <c r="B9" s="413" t="s">
        <v>691</v>
      </c>
      <c r="C9" s="467">
        <f>C25*'All. 1'!D10</f>
        <v>0.40663326317397169</v>
      </c>
    </row>
    <row r="10" spans="2:3" x14ac:dyDescent="0.2">
      <c r="B10" s="468" t="s">
        <v>3</v>
      </c>
      <c r="C10" s="469">
        <f>SUM(C8:C9)</f>
        <v>109.15628326317398</v>
      </c>
    </row>
    <row r="11" spans="2:3" x14ac:dyDescent="0.2">
      <c r="B11" s="465" t="s">
        <v>92</v>
      </c>
      <c r="C11" s="391"/>
    </row>
    <row r="12" spans="2:3" x14ac:dyDescent="0.2">
      <c r="B12" s="413" t="s">
        <v>42</v>
      </c>
      <c r="C12" s="467">
        <f>'Distinta base agg'!F17</f>
        <v>189</v>
      </c>
    </row>
    <row r="13" spans="2:3" x14ac:dyDescent="0.2">
      <c r="B13" s="413" t="s">
        <v>691</v>
      </c>
      <c r="C13" s="467">
        <f>D25*'All. 1'!D17</f>
        <v>0.68814859921749061</v>
      </c>
    </row>
    <row r="14" spans="2:3" x14ac:dyDescent="0.2">
      <c r="B14" s="468" t="s">
        <v>3</v>
      </c>
      <c r="C14" s="469">
        <f>SUM(C12:C13)</f>
        <v>189.6881485992175</v>
      </c>
    </row>
    <row r="17" spans="2:5" ht="15" thickBot="1" x14ac:dyDescent="0.25"/>
    <row r="18" spans="2:5" ht="15" thickBot="1" x14ac:dyDescent="0.25">
      <c r="B18" s="480" t="s">
        <v>693</v>
      </c>
      <c r="C18" s="481"/>
      <c r="D18" s="481"/>
      <c r="E18" s="482"/>
    </row>
    <row r="19" spans="2:5" x14ac:dyDescent="0.2">
      <c r="B19" s="372"/>
      <c r="C19" s="435" t="s">
        <v>664</v>
      </c>
      <c r="D19" s="435" t="s">
        <v>665</v>
      </c>
      <c r="E19" s="436" t="s">
        <v>81</v>
      </c>
    </row>
    <row r="20" spans="2:5" x14ac:dyDescent="0.2">
      <c r="B20" s="372" t="s">
        <v>694</v>
      </c>
      <c r="C20" s="470">
        <f>'Tab. 6'!O18</f>
        <v>15696</v>
      </c>
      <c r="D20" s="470">
        <f>'Tab. 6'!O40</f>
        <v>3488</v>
      </c>
      <c r="E20" s="471">
        <f>SUM(C20:D20)</f>
        <v>19184</v>
      </c>
    </row>
    <row r="21" spans="2:5" x14ac:dyDescent="0.2">
      <c r="B21" s="372" t="s">
        <v>695</v>
      </c>
      <c r="C21" s="470">
        <f>'Tab. 6'!O21</f>
        <v>666082.12060847704</v>
      </c>
      <c r="D21" s="470">
        <f>'Tab. 6'!O43</f>
        <v>42358.371125483347</v>
      </c>
      <c r="E21" s="471"/>
    </row>
    <row r="22" spans="2:5" x14ac:dyDescent="0.2">
      <c r="B22" s="372" t="s">
        <v>696</v>
      </c>
      <c r="C22" s="470">
        <f>'Tab. 6'!O22</f>
        <v>14431.779279850338</v>
      </c>
      <c r="D22" s="470">
        <f>'Tab. 6'!O44</f>
        <v>1553.1402746010565</v>
      </c>
      <c r="E22" s="471">
        <f>SUM(C22:D22)</f>
        <v>15984.919554451395</v>
      </c>
    </row>
    <row r="23" spans="2:5" x14ac:dyDescent="0.2">
      <c r="B23" s="372" t="s">
        <v>697</v>
      </c>
      <c r="C23" s="470"/>
      <c r="D23" s="470"/>
      <c r="E23" s="471"/>
    </row>
    <row r="24" spans="2:5" x14ac:dyDescent="0.2">
      <c r="B24" s="372" t="s">
        <v>698</v>
      </c>
      <c r="C24" s="378">
        <f>+$E$24/$E$22*C22</f>
        <v>270851.14624486398</v>
      </c>
      <c r="D24" s="378">
        <f>+$E$24/$E$22*D22</f>
        <v>29148.85375513597</v>
      </c>
      <c r="E24" s="472">
        <v>300000</v>
      </c>
    </row>
    <row r="25" spans="2:5" ht="15" thickBot="1" x14ac:dyDescent="0.25">
      <c r="B25" s="473" t="s">
        <v>699</v>
      </c>
      <c r="C25" s="474">
        <f>+E25</f>
        <v>0.31279481782613205</v>
      </c>
      <c r="D25" s="474">
        <f>+E25</f>
        <v>0.31279481782613205</v>
      </c>
      <c r="E25" s="475">
        <f>E24/(E22*60)</f>
        <v>0.31279481782613205</v>
      </c>
    </row>
    <row r="27" spans="2:5" x14ac:dyDescent="0.2">
      <c r="C27" s="58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8D21-FB66-4D43-AB51-4E298B1DBD32}">
  <dimension ref="B1:P32"/>
  <sheetViews>
    <sheetView showGridLines="0" zoomScale="192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baseColWidth="10" defaultRowHeight="13" x14ac:dyDescent="0.15"/>
  <cols>
    <col min="2" max="2" width="37.33203125" customWidth="1"/>
    <col min="3" max="15" width="16.5" customWidth="1"/>
  </cols>
  <sheetData>
    <row r="1" spans="2:15" ht="14" x14ac:dyDescent="0.2">
      <c r="B1" s="2" t="s">
        <v>819</v>
      </c>
    </row>
    <row r="2" spans="2:15" ht="14" thickBot="1" x14ac:dyDescent="0.2"/>
    <row r="3" spans="2:15" ht="16" x14ac:dyDescent="0.15">
      <c r="B3" s="229"/>
      <c r="C3" s="695" t="s">
        <v>98</v>
      </c>
      <c r="D3" s="653"/>
      <c r="E3" s="653"/>
      <c r="F3" s="653"/>
      <c r="G3" s="653"/>
      <c r="H3" s="653"/>
      <c r="I3" s="653"/>
      <c r="J3" s="653"/>
      <c r="K3" s="653"/>
      <c r="L3" s="653"/>
      <c r="M3" s="653"/>
      <c r="N3" s="653"/>
      <c r="O3" s="713"/>
    </row>
    <row r="4" spans="2:15" ht="16" x14ac:dyDescent="0.15">
      <c r="B4" s="238"/>
      <c r="C4" s="236" t="s">
        <v>113</v>
      </c>
      <c r="D4" s="236" t="s">
        <v>114</v>
      </c>
      <c r="E4" s="236" t="s">
        <v>115</v>
      </c>
      <c r="F4" s="236" t="s">
        <v>116</v>
      </c>
      <c r="G4" s="236" t="s">
        <v>117</v>
      </c>
      <c r="H4" s="560" t="s">
        <v>118</v>
      </c>
      <c r="I4" s="236" t="s">
        <v>119</v>
      </c>
      <c r="J4" s="236" t="s">
        <v>120</v>
      </c>
      <c r="K4" s="236" t="s">
        <v>121</v>
      </c>
      <c r="L4" s="236" t="s">
        <v>122</v>
      </c>
      <c r="M4" s="236" t="s">
        <v>123</v>
      </c>
      <c r="N4" s="236" t="s">
        <v>124</v>
      </c>
      <c r="O4" s="241" t="s">
        <v>81</v>
      </c>
    </row>
    <row r="5" spans="2:15" ht="16" x14ac:dyDescent="0.15">
      <c r="B5" s="275"/>
      <c r="C5" s="106"/>
      <c r="D5" s="106"/>
      <c r="E5" s="106"/>
      <c r="F5" s="106"/>
      <c r="G5" s="106"/>
      <c r="H5" s="561"/>
      <c r="I5" s="106"/>
      <c r="J5" s="106"/>
      <c r="K5" s="106"/>
      <c r="L5" s="106"/>
      <c r="M5" s="106"/>
      <c r="N5" s="106"/>
      <c r="O5" s="237"/>
    </row>
    <row r="6" spans="2:15" ht="16" x14ac:dyDescent="0.15">
      <c r="B6" s="549" t="s">
        <v>758</v>
      </c>
      <c r="C6" s="276">
        <f>'Tab 4 v2'!C15</f>
        <v>53085.140425531914</v>
      </c>
      <c r="D6" s="276">
        <f>'Tab 4 v2'!D15</f>
        <v>60115.491160451427</v>
      </c>
      <c r="E6" s="276">
        <f>'Tab 4 v2'!E15</f>
        <v>67407.192253488931</v>
      </c>
      <c r="F6" s="276">
        <f>'Tab 4 v2'!F15</f>
        <v>61932.663829787234</v>
      </c>
      <c r="G6" s="276">
        <f>'Tab 4 v2'!G15</f>
        <v>61932.663829787227</v>
      </c>
      <c r="H6" s="562">
        <f>'Tab 4 v2'!H15</f>
        <v>64881.83829787228</v>
      </c>
      <c r="I6" s="276">
        <f>'Tab 4 v2'!I15</f>
        <v>57041.838297872338</v>
      </c>
      <c r="J6" s="276">
        <f>'Tab 4 v2'!J15</f>
        <v>35390.093617021274</v>
      </c>
      <c r="K6" s="276">
        <f>'Tab 4 v2'!K15</f>
        <v>61002.600772020145</v>
      </c>
      <c r="L6" s="276">
        <f>'Tab 4 v2'!L15</f>
        <v>53809.840677835746</v>
      </c>
      <c r="M6" s="276">
        <f>'Tab 4 v2'!M15</f>
        <v>61932.663829787227</v>
      </c>
      <c r="N6" s="276">
        <f>'Tab 4 v2'!N15</f>
        <v>27550.093617021277</v>
      </c>
      <c r="O6" s="442">
        <f>SUM(C6:N6)</f>
        <v>666082.12060847704</v>
      </c>
    </row>
    <row r="7" spans="2:15" ht="16" x14ac:dyDescent="0.15">
      <c r="B7" s="239" t="s">
        <v>778</v>
      </c>
      <c r="C7" s="231">
        <f>'Tab. 6'!C22</f>
        <v>1150.1780425531915</v>
      </c>
      <c r="D7" s="231">
        <f>'Tab. 6'!D22</f>
        <v>1302.5023084764475</v>
      </c>
      <c r="E7" s="231">
        <f>'Tab. 6'!E22</f>
        <v>1460.4891654922628</v>
      </c>
      <c r="F7" s="231">
        <f>'Tab. 6'!F22</f>
        <v>1341.8743829787234</v>
      </c>
      <c r="G7" s="231">
        <f>'Tab. 6'!G22</f>
        <v>1341.874382978722</v>
      </c>
      <c r="H7" s="563">
        <f>'Tab. 6'!H22</f>
        <v>1405.7731631205661</v>
      </c>
      <c r="I7" s="231">
        <f>'Tab. 6'!I22</f>
        <v>1235.9064964539007</v>
      </c>
      <c r="J7" s="231">
        <f>'Tab. 6'!J22</f>
        <v>766.7853617021276</v>
      </c>
      <c r="K7" s="231">
        <f>'Tab. 6'!K22</f>
        <v>1321.7230167271032</v>
      </c>
      <c r="L7" s="231">
        <f>'Tab. 6'!L22</f>
        <v>1165.879881353108</v>
      </c>
      <c r="M7" s="231">
        <f>'Tab. 6'!M22</f>
        <v>1341.8743829787234</v>
      </c>
      <c r="N7" s="231">
        <f>'Tab. 6'!N22</f>
        <v>596.91869503546104</v>
      </c>
      <c r="O7" s="158">
        <f>SUM(C7:N7)</f>
        <v>14431.779279850338</v>
      </c>
    </row>
    <row r="8" spans="2:15" ht="16" x14ac:dyDescent="0.15">
      <c r="B8" s="239" t="s">
        <v>779</v>
      </c>
      <c r="C8" s="592">
        <f>'Tab. 11'!$E$25*60</f>
        <v>18.767689069567922</v>
      </c>
      <c r="D8" s="592">
        <f>'Tab. 11'!$E$25*60</f>
        <v>18.767689069567922</v>
      </c>
      <c r="E8" s="592">
        <f>'Tab. 11'!$E$25*60</f>
        <v>18.767689069567922</v>
      </c>
      <c r="F8" s="592">
        <f>'Tab. 11'!$E$25*60</f>
        <v>18.767689069567922</v>
      </c>
      <c r="G8" s="592">
        <f>'Tab. 11'!$E$25*60</f>
        <v>18.767689069567922</v>
      </c>
      <c r="H8" s="593">
        <f>'Tab. 11'!$E$25*60</f>
        <v>18.767689069567922</v>
      </c>
      <c r="I8" s="592">
        <f>'Tab. 11'!$E$25*60</f>
        <v>18.767689069567922</v>
      </c>
      <c r="J8" s="592">
        <f>'Tab. 11'!$E$25*60</f>
        <v>18.767689069567922</v>
      </c>
      <c r="K8" s="592">
        <f>'Tab. 11'!$E$25*60</f>
        <v>18.767689069567922</v>
      </c>
      <c r="L8" s="592">
        <f>'Tab. 11'!$E$25*60</f>
        <v>18.767689069567922</v>
      </c>
      <c r="M8" s="592">
        <f>'Tab. 11'!$E$25*60</f>
        <v>18.767689069567922</v>
      </c>
      <c r="N8" s="592">
        <f>'Tab. 11'!$E$25*60</f>
        <v>18.767689069567922</v>
      </c>
      <c r="O8" s="158"/>
    </row>
    <row r="9" spans="2:15" ht="16" x14ac:dyDescent="0.15">
      <c r="B9" s="239"/>
      <c r="H9" s="512"/>
      <c r="O9" s="158">
        <f t="shared" ref="O9" si="0">SUM(C9:N9)</f>
        <v>0</v>
      </c>
    </row>
    <row r="10" spans="2:15" ht="17" thickBot="1" x14ac:dyDescent="0.2">
      <c r="B10" s="551" t="s">
        <v>780</v>
      </c>
      <c r="C10" s="552">
        <f t="shared" ref="C10:N10" si="1">C7*C8</f>
        <v>21586.183877282561</v>
      </c>
      <c r="D10" s="552">
        <f t="shared" si="1"/>
        <v>24444.958337880409</v>
      </c>
      <c r="E10" s="552">
        <f t="shared" si="1"/>
        <v>27410.006547431516</v>
      </c>
      <c r="F10" s="552">
        <f t="shared" si="1"/>
        <v>25183.881190162985</v>
      </c>
      <c r="G10" s="552">
        <f t="shared" si="1"/>
        <v>25183.88119016296</v>
      </c>
      <c r="H10" s="565">
        <f t="shared" si="1"/>
        <v>26383.113627789771</v>
      </c>
      <c r="I10" s="552">
        <f t="shared" si="1"/>
        <v>23195.108844505856</v>
      </c>
      <c r="J10" s="552">
        <f t="shared" si="1"/>
        <v>14390.789251521706</v>
      </c>
      <c r="K10" s="552">
        <f t="shared" si="1"/>
        <v>24805.686614025595</v>
      </c>
      <c r="L10" s="552">
        <f t="shared" si="1"/>
        <v>21880.871105699869</v>
      </c>
      <c r="M10" s="552">
        <f t="shared" si="1"/>
        <v>25183.881190162985</v>
      </c>
      <c r="N10" s="552">
        <f t="shared" si="1"/>
        <v>11202.784468237771</v>
      </c>
      <c r="O10" s="553">
        <f>SUM(C10:N10)</f>
        <v>270851.14624486398</v>
      </c>
    </row>
    <row r="11" spans="2:15" ht="14" thickBot="1" x14ac:dyDescent="0.2"/>
    <row r="12" spans="2:15" ht="17" thickBot="1" x14ac:dyDescent="0.2">
      <c r="B12" s="554" t="s">
        <v>782</v>
      </c>
      <c r="C12" s="555">
        <f t="shared" ref="C12:O12" si="2">C10/C6</f>
        <v>0.40663326317397169</v>
      </c>
      <c r="D12" s="555">
        <f t="shared" si="2"/>
        <v>0.40663326317397158</v>
      </c>
      <c r="E12" s="555">
        <f t="shared" si="2"/>
        <v>0.40663326317397236</v>
      </c>
      <c r="F12" s="555">
        <f t="shared" si="2"/>
        <v>0.40663326317397164</v>
      </c>
      <c r="G12" s="555">
        <f t="shared" si="2"/>
        <v>0.40663326317397125</v>
      </c>
      <c r="H12" s="566">
        <f t="shared" si="2"/>
        <v>0.40663326317397164</v>
      </c>
      <c r="I12" s="555">
        <f t="shared" si="2"/>
        <v>0.40663326317397164</v>
      </c>
      <c r="J12" s="555">
        <f t="shared" si="2"/>
        <v>0.40663326317397169</v>
      </c>
      <c r="K12" s="555">
        <f t="shared" si="2"/>
        <v>0.40663326317397169</v>
      </c>
      <c r="L12" s="555">
        <f t="shared" si="2"/>
        <v>0.40663326317397169</v>
      </c>
      <c r="M12" s="555">
        <f t="shared" si="2"/>
        <v>0.40663326317397164</v>
      </c>
      <c r="N12" s="555">
        <f t="shared" si="2"/>
        <v>0.40663326317397169</v>
      </c>
      <c r="O12" s="556">
        <f t="shared" si="2"/>
        <v>0.40663326317397169</v>
      </c>
    </row>
    <row r="14" spans="2:15" ht="14" thickBot="1" x14ac:dyDescent="0.2"/>
    <row r="15" spans="2:15" ht="16" x14ac:dyDescent="0.15">
      <c r="B15" s="229"/>
      <c r="C15" s="695" t="s">
        <v>98</v>
      </c>
      <c r="D15" s="653"/>
      <c r="E15" s="653"/>
      <c r="F15" s="653"/>
      <c r="G15" s="653"/>
      <c r="H15" s="653"/>
      <c r="I15" s="653"/>
      <c r="J15" s="653"/>
      <c r="K15" s="653"/>
      <c r="L15" s="653"/>
      <c r="M15" s="653"/>
      <c r="N15" s="653"/>
      <c r="O15" s="654"/>
    </row>
    <row r="16" spans="2:15" ht="16" x14ac:dyDescent="0.15">
      <c r="B16" s="238"/>
      <c r="C16" s="236" t="s">
        <v>113</v>
      </c>
      <c r="D16" s="236" t="s">
        <v>114</v>
      </c>
      <c r="E16" s="236" t="s">
        <v>115</v>
      </c>
      <c r="F16" s="236" t="s">
        <v>116</v>
      </c>
      <c r="G16" s="236" t="s">
        <v>117</v>
      </c>
      <c r="H16" s="560" t="s">
        <v>118</v>
      </c>
      <c r="I16" s="236" t="s">
        <v>119</v>
      </c>
      <c r="J16" s="236" t="s">
        <v>120</v>
      </c>
      <c r="K16" s="236" t="s">
        <v>121</v>
      </c>
      <c r="L16" s="236" t="s">
        <v>122</v>
      </c>
      <c r="M16" s="236" t="s">
        <v>123</v>
      </c>
      <c r="N16" s="236" t="s">
        <v>124</v>
      </c>
      <c r="O16" s="241" t="s">
        <v>81</v>
      </c>
    </row>
    <row r="17" spans="2:16" ht="16" x14ac:dyDescent="0.15">
      <c r="B17" s="275"/>
      <c r="C17" s="106"/>
      <c r="D17" s="106"/>
      <c r="E17" s="106"/>
      <c r="F17" s="106"/>
      <c r="G17" s="106"/>
      <c r="H17" s="561"/>
      <c r="I17" s="106"/>
      <c r="J17" s="106"/>
      <c r="K17" s="106"/>
      <c r="L17" s="106"/>
      <c r="M17" s="106"/>
      <c r="N17" s="106"/>
      <c r="O17" s="237"/>
    </row>
    <row r="18" spans="2:16" ht="16" x14ac:dyDescent="0.15">
      <c r="B18" s="549" t="s">
        <v>766</v>
      </c>
      <c r="C18" s="276">
        <f>'Tab 4 v2'!C28</f>
        <v>3608.3732687165466</v>
      </c>
      <c r="D18" s="276">
        <f>'Tab 4 v2'!D28</f>
        <v>3741.1687639396141</v>
      </c>
      <c r="E18" s="276">
        <f>'Tab 4 v2'!E28</f>
        <v>3919.3196574605463</v>
      </c>
      <c r="F18" s="276">
        <f>'Tab 4 v2'!F28</f>
        <v>3919.3196574605317</v>
      </c>
      <c r="G18" s="276">
        <f>'Tab 4 v2'!G28</f>
        <v>2503.4253543994564</v>
      </c>
      <c r="H18" s="562">
        <f>'Tab 4 v2'!H28</f>
        <v>4551.6595744680817</v>
      </c>
      <c r="I18" s="276">
        <f>'Tab 4 v2'!I28</f>
        <v>4001.6595744680844</v>
      </c>
      <c r="J18" s="276">
        <f>'Tab 4 v2'!J28</f>
        <v>2482.7234042553191</v>
      </c>
      <c r="K18" s="276">
        <f>'Tab 4 v2'!K28</f>
        <v>3008.4665511662315</v>
      </c>
      <c r="L18" s="276">
        <f>'Tab 4 v2'!L28</f>
        <v>4344.765957446808</v>
      </c>
      <c r="M18" s="276">
        <f>'Tab 4 v2'!M28</f>
        <v>4344.765957446808</v>
      </c>
      <c r="N18" s="276">
        <f>'Tab 4 v2'!N28</f>
        <v>1932.7234042553191</v>
      </c>
      <c r="O18" s="442">
        <f>SUM(C18:N18)</f>
        <v>42358.37112548334</v>
      </c>
    </row>
    <row r="19" spans="2:16" ht="16" x14ac:dyDescent="0.15">
      <c r="B19" s="239" t="s">
        <v>778</v>
      </c>
      <c r="C19" s="231">
        <f>'Tab. 6'!C44</f>
        <v>132.30701985294004</v>
      </c>
      <c r="D19" s="231">
        <f>'Tab. 6'!D44</f>
        <v>137.17618801111945</v>
      </c>
      <c r="E19" s="231">
        <f>'Tab. 6'!E44</f>
        <v>143.70838744022004</v>
      </c>
      <c r="F19" s="231">
        <f>'Tab. 6'!F44</f>
        <v>143.7083874402195</v>
      </c>
      <c r="G19" s="231">
        <f>'Tab. 6'!G44</f>
        <v>91.792262994646734</v>
      </c>
      <c r="H19" s="563">
        <f>'Tab. 6'!H44</f>
        <v>166.894184397163</v>
      </c>
      <c r="I19" s="231">
        <f>'Tab. 6'!I44</f>
        <v>146.72751773049643</v>
      </c>
      <c r="J19" s="231">
        <f>'Tab. 6'!J44</f>
        <v>91.033191489361698</v>
      </c>
      <c r="K19" s="231">
        <f>'Tab. 6'!K44</f>
        <v>110.31044020942849</v>
      </c>
      <c r="L19" s="231">
        <f>'Tab. 6'!L44</f>
        <v>159.30808510638295</v>
      </c>
      <c r="M19" s="231">
        <f>'Tab. 6'!M44</f>
        <v>159.30808510638295</v>
      </c>
      <c r="N19" s="231">
        <f>'Tab. 6'!N44</f>
        <v>70.866524822695041</v>
      </c>
      <c r="O19" s="158">
        <f>SUM(C19:N19)</f>
        <v>1553.1402746010565</v>
      </c>
    </row>
    <row r="20" spans="2:16" ht="16" x14ac:dyDescent="0.15">
      <c r="B20" s="239" t="s">
        <v>779</v>
      </c>
      <c r="C20" s="592">
        <f>'Tab. 11'!$E$25*60</f>
        <v>18.767689069567922</v>
      </c>
      <c r="D20" s="592">
        <f>'Tab. 11'!$E$25*60</f>
        <v>18.767689069567922</v>
      </c>
      <c r="E20" s="592">
        <f>'Tab. 11'!$E$25*60</f>
        <v>18.767689069567922</v>
      </c>
      <c r="F20" s="592">
        <f>'Tab. 11'!$E$25*60</f>
        <v>18.767689069567922</v>
      </c>
      <c r="G20" s="592">
        <f>'Tab. 11'!$E$25*60</f>
        <v>18.767689069567922</v>
      </c>
      <c r="H20" s="593">
        <f>'Tab. 11'!$E$25*60</f>
        <v>18.767689069567922</v>
      </c>
      <c r="I20" s="592">
        <f>'Tab. 11'!$E$25*60</f>
        <v>18.767689069567922</v>
      </c>
      <c r="J20" s="592">
        <f>'Tab. 11'!$E$25*60</f>
        <v>18.767689069567922</v>
      </c>
      <c r="K20" s="592">
        <f>'Tab. 11'!$E$25*60</f>
        <v>18.767689069567922</v>
      </c>
      <c r="L20" s="592">
        <f>'Tab. 11'!$E$25*60</f>
        <v>18.767689069567922</v>
      </c>
      <c r="M20" s="592">
        <f>'Tab. 11'!$E$25*60</f>
        <v>18.767689069567922</v>
      </c>
      <c r="N20" s="592">
        <f>'Tab. 11'!$E$25*60</f>
        <v>18.767689069567922</v>
      </c>
      <c r="O20" s="158"/>
    </row>
    <row r="21" spans="2:16" ht="16" x14ac:dyDescent="0.15">
      <c r="B21" s="239"/>
      <c r="H21" s="512"/>
      <c r="O21" s="158"/>
    </row>
    <row r="22" spans="2:16" ht="17" thickBot="1" x14ac:dyDescent="0.2">
      <c r="B22" s="551" t="s">
        <v>781</v>
      </c>
      <c r="C22" s="552">
        <f t="shared" ref="C22:N22" si="3">C19*C20</f>
        <v>2483.0970103211289</v>
      </c>
      <c r="D22" s="552">
        <f t="shared" si="3"/>
        <v>2574.4800443412805</v>
      </c>
      <c r="E22" s="552">
        <f t="shared" si="3"/>
        <v>2697.0743321670498</v>
      </c>
      <c r="F22" s="552">
        <f t="shared" si="3"/>
        <v>2697.0743321670393</v>
      </c>
      <c r="G22" s="552">
        <f t="shared" si="3"/>
        <v>1722.7286508755355</v>
      </c>
      <c r="H22" s="565">
        <f t="shared" si="3"/>
        <v>3132.2181602850892</v>
      </c>
      <c r="I22" s="552">
        <f t="shared" si="3"/>
        <v>2753.7364307154712</v>
      </c>
      <c r="J22" s="552">
        <f t="shared" si="3"/>
        <v>1708.4826328827771</v>
      </c>
      <c r="K22" s="552">
        <f t="shared" si="3"/>
        <v>2070.2720429777169</v>
      </c>
      <c r="L22" s="552">
        <f t="shared" si="3"/>
        <v>2989.8446075448596</v>
      </c>
      <c r="M22" s="552">
        <f t="shared" si="3"/>
        <v>2989.8446075448596</v>
      </c>
      <c r="N22" s="552">
        <f t="shared" si="3"/>
        <v>1330.0009033131576</v>
      </c>
      <c r="O22" s="553">
        <f>SUM(C22:N22)</f>
        <v>29148.853755135962</v>
      </c>
    </row>
    <row r="23" spans="2:16" ht="14" thickBot="1" x14ac:dyDescent="0.2">
      <c r="H23" s="512"/>
    </row>
    <row r="24" spans="2:16" ht="17" thickBot="1" x14ac:dyDescent="0.2">
      <c r="B24" s="554" t="s">
        <v>782</v>
      </c>
      <c r="C24" s="555">
        <f t="shared" ref="C24:O24" si="4">C22/C18</f>
        <v>0.6881485992174905</v>
      </c>
      <c r="D24" s="555">
        <f t="shared" si="4"/>
        <v>0.68814859921749172</v>
      </c>
      <c r="E24" s="555">
        <f t="shared" si="4"/>
        <v>0.6881485992174905</v>
      </c>
      <c r="F24" s="555">
        <f t="shared" si="4"/>
        <v>0.68814859921749039</v>
      </c>
      <c r="G24" s="555">
        <f t="shared" si="4"/>
        <v>0.6881485992174905</v>
      </c>
      <c r="H24" s="566">
        <f t="shared" si="4"/>
        <v>0.6881485992174905</v>
      </c>
      <c r="I24" s="555">
        <f t="shared" si="4"/>
        <v>0.6881485992174905</v>
      </c>
      <c r="J24" s="555">
        <f t="shared" si="4"/>
        <v>0.6881485992174905</v>
      </c>
      <c r="K24" s="555">
        <f t="shared" si="4"/>
        <v>0.6881485992174905</v>
      </c>
      <c r="L24" s="555">
        <f t="shared" si="4"/>
        <v>0.6881485992174905</v>
      </c>
      <c r="M24" s="555">
        <f t="shared" si="4"/>
        <v>0.6881485992174905</v>
      </c>
      <c r="N24" s="555">
        <f t="shared" si="4"/>
        <v>0.6881485992174905</v>
      </c>
      <c r="O24" s="556">
        <f t="shared" si="4"/>
        <v>0.68814859921749061</v>
      </c>
    </row>
    <row r="26" spans="2:16" ht="14" thickBot="1" x14ac:dyDescent="0.2"/>
    <row r="27" spans="2:16" ht="16" x14ac:dyDescent="0.15">
      <c r="B27" s="535"/>
      <c r="C27" s="653" t="s">
        <v>98</v>
      </c>
      <c r="D27" s="653"/>
      <c r="E27" s="653"/>
      <c r="F27" s="653"/>
      <c r="G27" s="653"/>
      <c r="H27" s="653"/>
      <c r="I27" s="653"/>
      <c r="J27" s="653"/>
      <c r="K27" s="653"/>
      <c r="L27" s="653"/>
      <c r="M27" s="653"/>
      <c r="N27" s="653"/>
      <c r="O27" s="713"/>
      <c r="P27" s="511"/>
    </row>
    <row r="28" spans="2:16" ht="16" x14ac:dyDescent="0.15">
      <c r="B28" s="238"/>
      <c r="C28" s="236" t="s">
        <v>113</v>
      </c>
      <c r="D28" s="236" t="s">
        <v>114</v>
      </c>
      <c r="E28" s="236" t="s">
        <v>115</v>
      </c>
      <c r="F28" s="236" t="s">
        <v>116</v>
      </c>
      <c r="G28" s="236" t="s">
        <v>117</v>
      </c>
      <c r="H28" s="560" t="s">
        <v>118</v>
      </c>
      <c r="I28" s="236" t="s">
        <v>119</v>
      </c>
      <c r="J28" s="236" t="s">
        <v>120</v>
      </c>
      <c r="K28" s="236" t="s">
        <v>121</v>
      </c>
      <c r="L28" s="236" t="s">
        <v>122</v>
      </c>
      <c r="M28" s="236" t="s">
        <v>123</v>
      </c>
      <c r="N28" s="236" t="s">
        <v>124</v>
      </c>
      <c r="O28" s="567" t="s">
        <v>81</v>
      </c>
    </row>
    <row r="29" spans="2:16" ht="17" thickBot="1" x14ac:dyDescent="0.2">
      <c r="B29" s="594" t="s">
        <v>783</v>
      </c>
      <c r="C29" s="595">
        <f t="shared" ref="C29:N29" si="5">+C10+C22</f>
        <v>24069.280887603691</v>
      </c>
      <c r="D29" s="595">
        <f t="shared" si="5"/>
        <v>27019.438382221691</v>
      </c>
      <c r="E29" s="595">
        <f t="shared" si="5"/>
        <v>30107.080879598565</v>
      </c>
      <c r="F29" s="595">
        <f t="shared" si="5"/>
        <v>27880.955522330023</v>
      </c>
      <c r="G29" s="595">
        <f t="shared" si="5"/>
        <v>26906.609841038495</v>
      </c>
      <c r="H29" s="596">
        <f t="shared" si="5"/>
        <v>29515.331788074862</v>
      </c>
      <c r="I29" s="595">
        <f t="shared" si="5"/>
        <v>25948.845275221327</v>
      </c>
      <c r="J29" s="595">
        <f t="shared" si="5"/>
        <v>16099.271884404483</v>
      </c>
      <c r="K29" s="595">
        <f t="shared" si="5"/>
        <v>26875.958657003313</v>
      </c>
      <c r="L29" s="595">
        <f t="shared" si="5"/>
        <v>24870.715713244728</v>
      </c>
      <c r="M29" s="595">
        <f t="shared" si="5"/>
        <v>28173.725797707844</v>
      </c>
      <c r="N29" s="595">
        <f t="shared" si="5"/>
        <v>12532.785371550928</v>
      </c>
      <c r="O29" s="597">
        <f>SUM(C29:N29)</f>
        <v>299999.99999999994</v>
      </c>
    </row>
    <row r="32" spans="2:16" x14ac:dyDescent="0.15">
      <c r="O32" s="559">
        <f>O29-'Tab. 11'!E24</f>
        <v>0</v>
      </c>
    </row>
  </sheetData>
  <mergeCells count="3">
    <mergeCell ref="C3:O3"/>
    <mergeCell ref="C15:O15"/>
    <mergeCell ref="C27:O2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897A7-875E-F54C-A0D3-58575AF387A1}">
  <sheetPr codeName="Foglio16">
    <tabColor theme="0" tint="-0.499984740745262"/>
  </sheetPr>
  <dimension ref="B2:M195"/>
  <sheetViews>
    <sheetView zoomScale="190" zoomScaleNormal="190" workbookViewId="0">
      <selection activeCell="J24" sqref="J24"/>
    </sheetView>
  </sheetViews>
  <sheetFormatPr baseColWidth="10" defaultRowHeight="14" x14ac:dyDescent="0.2"/>
  <cols>
    <col min="1" max="1" width="10.83203125" style="2"/>
    <col min="2" max="4" width="13.5" style="2" customWidth="1"/>
    <col min="5" max="12" width="13.5" style="320" customWidth="1"/>
    <col min="13" max="13" width="12.1640625" style="2" customWidth="1"/>
    <col min="14" max="16384" width="10.83203125" style="2"/>
  </cols>
  <sheetData>
    <row r="2" spans="2:13" x14ac:dyDescent="0.2">
      <c r="B2" s="2" t="s">
        <v>820</v>
      </c>
    </row>
    <row r="4" spans="2:13" x14ac:dyDescent="0.2">
      <c r="B4" s="2" t="s">
        <v>48</v>
      </c>
      <c r="E4" s="325">
        <v>0.23810000000000001</v>
      </c>
    </row>
    <row r="5" spans="2:13" x14ac:dyDescent="0.2">
      <c r="B5" s="2" t="s">
        <v>49</v>
      </c>
      <c r="E5" s="325">
        <f>33%-E4</f>
        <v>9.1900000000000009E-2</v>
      </c>
    </row>
    <row r="6" spans="2:13" x14ac:dyDescent="0.2">
      <c r="B6" s="2" t="s">
        <v>50</v>
      </c>
      <c r="E6" s="325">
        <v>0.25</v>
      </c>
    </row>
    <row r="8" spans="2:13" x14ac:dyDescent="0.2">
      <c r="B8" s="714" t="s">
        <v>72</v>
      </c>
      <c r="C8" s="714"/>
      <c r="D8" s="714"/>
      <c r="E8" s="714"/>
      <c r="F8" s="714"/>
      <c r="G8" s="714"/>
      <c r="H8" s="714"/>
      <c r="I8" s="714"/>
      <c r="J8" s="714"/>
      <c r="K8" s="714"/>
      <c r="L8" s="714"/>
    </row>
    <row r="9" spans="2:13" x14ac:dyDescent="0.2">
      <c r="B9" s="321" t="s">
        <v>45</v>
      </c>
      <c r="C9" s="321" t="s">
        <v>568</v>
      </c>
      <c r="D9" s="321" t="s">
        <v>176</v>
      </c>
      <c r="E9" s="321" t="s">
        <v>556</v>
      </c>
      <c r="F9" s="322" t="s">
        <v>177</v>
      </c>
      <c r="G9" s="322" t="s">
        <v>39</v>
      </c>
      <c r="H9" s="322" t="s">
        <v>43</v>
      </c>
      <c r="I9" s="322" t="s">
        <v>178</v>
      </c>
      <c r="J9" s="322" t="s">
        <v>44</v>
      </c>
      <c r="K9" s="322" t="s">
        <v>179</v>
      </c>
      <c r="L9" s="322" t="s">
        <v>38</v>
      </c>
      <c r="M9" s="324" t="s">
        <v>180</v>
      </c>
    </row>
    <row r="10" spans="2:13" x14ac:dyDescent="0.2">
      <c r="B10" s="2" t="s">
        <v>371</v>
      </c>
      <c r="C10" s="2" t="s">
        <v>181</v>
      </c>
      <c r="D10" s="2" t="s">
        <v>181</v>
      </c>
      <c r="E10" s="2"/>
      <c r="F10" s="320">
        <v>52666.67</v>
      </c>
      <c r="G10" s="320">
        <f t="shared" ref="G10:G41" si="0">F10*$E$4</f>
        <v>12539.934127</v>
      </c>
      <c r="H10" s="320">
        <f>F10/12</f>
        <v>4388.8891666666668</v>
      </c>
      <c r="I10" s="320">
        <f t="shared" ref="I10:I41" si="1">H10*$E$4</f>
        <v>1044.9945105833333</v>
      </c>
      <c r="J10" s="320">
        <f>F10/12</f>
        <v>4388.8891666666668</v>
      </c>
      <c r="K10" s="320">
        <f t="shared" ref="K10:K41" si="2">J10*$E$4</f>
        <v>1044.9945105833333</v>
      </c>
      <c r="L10" s="320">
        <f>F10/13.5</f>
        <v>3901.2348148148149</v>
      </c>
      <c r="M10" s="323">
        <f>SUM(G10:L10)+F10</f>
        <v>79975.606296314814</v>
      </c>
    </row>
    <row r="11" spans="2:13" x14ac:dyDescent="0.2">
      <c r="B11" s="2" t="s">
        <v>372</v>
      </c>
      <c r="C11" s="2" t="s">
        <v>295</v>
      </c>
      <c r="D11" s="2" t="s">
        <v>182</v>
      </c>
      <c r="E11" s="2"/>
      <c r="F11" s="320">
        <v>23537.57</v>
      </c>
      <c r="G11" s="320">
        <f t="shared" si="0"/>
        <v>5604.2954170000003</v>
      </c>
      <c r="H11" s="320">
        <f t="shared" ref="H11:H53" si="3">F11/12</f>
        <v>1961.4641666666666</v>
      </c>
      <c r="I11" s="320">
        <f t="shared" si="1"/>
        <v>467.02461808333334</v>
      </c>
      <c r="J11" s="320">
        <f t="shared" ref="J11:J53" si="4">F11/12</f>
        <v>1961.4641666666666</v>
      </c>
      <c r="K11" s="320">
        <f t="shared" si="2"/>
        <v>467.02461808333334</v>
      </c>
      <c r="L11" s="320">
        <f t="shared" ref="L11:L53" si="5">F11/13.5</f>
        <v>1743.5237037037036</v>
      </c>
      <c r="M11" s="323">
        <f t="shared" ref="M11:M53" si="6">SUM(G11:L11)+F11</f>
        <v>35742.366690203708</v>
      </c>
    </row>
    <row r="12" spans="2:13" x14ac:dyDescent="0.2">
      <c r="B12" s="2" t="s">
        <v>373</v>
      </c>
      <c r="C12" s="2" t="s">
        <v>296</v>
      </c>
      <c r="D12" s="2" t="s">
        <v>183</v>
      </c>
      <c r="E12" s="2"/>
      <c r="F12" s="320">
        <v>40536.639999999999</v>
      </c>
      <c r="G12" s="320">
        <f t="shared" si="0"/>
        <v>9651.7739839999995</v>
      </c>
      <c r="H12" s="320">
        <f t="shared" si="3"/>
        <v>3378.0533333333333</v>
      </c>
      <c r="I12" s="320">
        <f t="shared" si="1"/>
        <v>804.31449866666662</v>
      </c>
      <c r="J12" s="320">
        <f t="shared" si="4"/>
        <v>3378.0533333333333</v>
      </c>
      <c r="K12" s="320">
        <f t="shared" si="2"/>
        <v>804.31449866666662</v>
      </c>
      <c r="L12" s="320">
        <f t="shared" si="5"/>
        <v>3002.7140740740742</v>
      </c>
      <c r="M12" s="323">
        <f t="shared" si="6"/>
        <v>61555.863722074071</v>
      </c>
    </row>
    <row r="13" spans="2:13" x14ac:dyDescent="0.2">
      <c r="B13" s="2" t="s">
        <v>374</v>
      </c>
      <c r="C13" s="2" t="s">
        <v>184</v>
      </c>
      <c r="D13" s="2" t="s">
        <v>184</v>
      </c>
      <c r="E13" s="2"/>
      <c r="F13" s="320">
        <v>59504.31</v>
      </c>
      <c r="G13" s="320">
        <f t="shared" si="0"/>
        <v>14167.976210999999</v>
      </c>
      <c r="H13" s="320">
        <f t="shared" si="3"/>
        <v>4958.6925000000001</v>
      </c>
      <c r="I13" s="320">
        <f t="shared" si="1"/>
        <v>1180.6646842500002</v>
      </c>
      <c r="J13" s="320">
        <f t="shared" si="4"/>
        <v>4958.6925000000001</v>
      </c>
      <c r="K13" s="320">
        <f t="shared" si="2"/>
        <v>1180.6646842500002</v>
      </c>
      <c r="L13" s="320">
        <f t="shared" si="5"/>
        <v>4407.7266666666665</v>
      </c>
      <c r="M13" s="323">
        <f t="shared" si="6"/>
        <v>90358.727246166673</v>
      </c>
    </row>
    <row r="14" spans="2:13" x14ac:dyDescent="0.2">
      <c r="B14" s="2" t="s">
        <v>375</v>
      </c>
      <c r="C14" s="2" t="s">
        <v>185</v>
      </c>
      <c r="D14" s="2" t="s">
        <v>185</v>
      </c>
      <c r="E14" s="2"/>
      <c r="F14" s="320">
        <v>27109.83</v>
      </c>
      <c r="G14" s="320">
        <f t="shared" si="0"/>
        <v>6454.850523000001</v>
      </c>
      <c r="H14" s="320">
        <f t="shared" si="3"/>
        <v>2259.1525000000001</v>
      </c>
      <c r="I14" s="320">
        <f t="shared" si="1"/>
        <v>537.90421025000001</v>
      </c>
      <c r="J14" s="320">
        <f t="shared" si="4"/>
        <v>2259.1525000000001</v>
      </c>
      <c r="K14" s="320">
        <f t="shared" si="2"/>
        <v>537.90421025000001</v>
      </c>
      <c r="L14" s="320">
        <f t="shared" si="5"/>
        <v>2008.1355555555556</v>
      </c>
      <c r="M14" s="323">
        <f t="shared" si="6"/>
        <v>41166.929499055565</v>
      </c>
    </row>
    <row r="15" spans="2:13" x14ac:dyDescent="0.2">
      <c r="B15" s="2" t="s">
        <v>376</v>
      </c>
      <c r="C15" s="2" t="s">
        <v>298</v>
      </c>
      <c r="D15" s="2" t="s">
        <v>186</v>
      </c>
      <c r="E15" s="2" t="s">
        <v>664</v>
      </c>
      <c r="F15" s="320">
        <v>23062.27</v>
      </c>
      <c r="G15" s="320">
        <f t="shared" si="0"/>
        <v>5491.1264870000005</v>
      </c>
      <c r="H15" s="320">
        <f t="shared" si="3"/>
        <v>1921.8558333333333</v>
      </c>
      <c r="I15" s="320">
        <f t="shared" si="1"/>
        <v>457.59387391666667</v>
      </c>
      <c r="J15" s="320">
        <f t="shared" si="4"/>
        <v>1921.8558333333333</v>
      </c>
      <c r="K15" s="320">
        <f t="shared" si="2"/>
        <v>457.59387391666667</v>
      </c>
      <c r="L15" s="320">
        <f t="shared" si="5"/>
        <v>1708.3162962962963</v>
      </c>
      <c r="M15" s="323">
        <f t="shared" si="6"/>
        <v>35020.612197796298</v>
      </c>
    </row>
    <row r="16" spans="2:13" x14ac:dyDescent="0.2">
      <c r="B16" s="2" t="s">
        <v>377</v>
      </c>
      <c r="C16" s="2" t="s">
        <v>298</v>
      </c>
      <c r="D16" s="2" t="s">
        <v>187</v>
      </c>
      <c r="E16" s="2" t="s">
        <v>664</v>
      </c>
      <c r="F16" s="320">
        <v>22137.439999999999</v>
      </c>
      <c r="G16" s="320">
        <f t="shared" si="0"/>
        <v>5270.9244639999997</v>
      </c>
      <c r="H16" s="320">
        <f t="shared" si="3"/>
        <v>1844.7866666666666</v>
      </c>
      <c r="I16" s="320">
        <f t="shared" si="1"/>
        <v>439.24370533333331</v>
      </c>
      <c r="J16" s="320">
        <f t="shared" si="4"/>
        <v>1844.7866666666666</v>
      </c>
      <c r="K16" s="320">
        <f t="shared" si="2"/>
        <v>439.24370533333331</v>
      </c>
      <c r="L16" s="320">
        <f t="shared" si="5"/>
        <v>1639.8103703703703</v>
      </c>
      <c r="M16" s="323">
        <f t="shared" si="6"/>
        <v>33616.235578370368</v>
      </c>
    </row>
    <row r="17" spans="2:13" x14ac:dyDescent="0.2">
      <c r="B17" s="2" t="s">
        <v>378</v>
      </c>
      <c r="C17" s="2" t="s">
        <v>298</v>
      </c>
      <c r="D17" s="2" t="s">
        <v>188</v>
      </c>
      <c r="E17" s="2" t="s">
        <v>664</v>
      </c>
      <c r="F17" s="320">
        <v>20242.759999999998</v>
      </c>
      <c r="G17" s="320">
        <f t="shared" si="0"/>
        <v>4819.8011559999995</v>
      </c>
      <c r="H17" s="320">
        <f t="shared" si="3"/>
        <v>1686.8966666666665</v>
      </c>
      <c r="I17" s="320">
        <f t="shared" si="1"/>
        <v>401.65009633333329</v>
      </c>
      <c r="J17" s="320">
        <f t="shared" si="4"/>
        <v>1686.8966666666665</v>
      </c>
      <c r="K17" s="320">
        <f t="shared" si="2"/>
        <v>401.65009633333329</v>
      </c>
      <c r="L17" s="320">
        <f t="shared" si="5"/>
        <v>1499.4637037037037</v>
      </c>
      <c r="M17" s="323">
        <f t="shared" si="6"/>
        <v>30739.118385703703</v>
      </c>
    </row>
    <row r="18" spans="2:13" x14ac:dyDescent="0.2">
      <c r="B18" s="2" t="s">
        <v>379</v>
      </c>
      <c r="C18" s="2" t="s">
        <v>298</v>
      </c>
      <c r="D18" s="2" t="s">
        <v>189</v>
      </c>
      <c r="E18" s="2" t="s">
        <v>664</v>
      </c>
      <c r="F18" s="320">
        <v>20242.759999999998</v>
      </c>
      <c r="G18" s="320">
        <f t="shared" si="0"/>
        <v>4819.8011559999995</v>
      </c>
      <c r="H18" s="320">
        <f t="shared" si="3"/>
        <v>1686.8966666666665</v>
      </c>
      <c r="I18" s="320">
        <f t="shared" si="1"/>
        <v>401.65009633333329</v>
      </c>
      <c r="J18" s="320">
        <f t="shared" si="4"/>
        <v>1686.8966666666665</v>
      </c>
      <c r="K18" s="320">
        <f t="shared" si="2"/>
        <v>401.65009633333329</v>
      </c>
      <c r="L18" s="320">
        <f t="shared" si="5"/>
        <v>1499.4637037037037</v>
      </c>
      <c r="M18" s="323">
        <f t="shared" si="6"/>
        <v>30739.118385703703</v>
      </c>
    </row>
    <row r="19" spans="2:13" x14ac:dyDescent="0.2">
      <c r="B19" s="2" t="s">
        <v>380</v>
      </c>
      <c r="C19" s="2" t="s">
        <v>298</v>
      </c>
      <c r="D19" s="2" t="s">
        <v>190</v>
      </c>
      <c r="E19" s="2" t="s">
        <v>664</v>
      </c>
      <c r="F19" s="320">
        <v>20013.53</v>
      </c>
      <c r="G19" s="320">
        <f t="shared" si="0"/>
        <v>4765.221493</v>
      </c>
      <c r="H19" s="320">
        <f t="shared" si="3"/>
        <v>1667.7941666666666</v>
      </c>
      <c r="I19" s="320">
        <f t="shared" si="1"/>
        <v>397.1017910833333</v>
      </c>
      <c r="J19" s="320">
        <f t="shared" si="4"/>
        <v>1667.7941666666666</v>
      </c>
      <c r="K19" s="320">
        <f t="shared" si="2"/>
        <v>397.1017910833333</v>
      </c>
      <c r="L19" s="320">
        <f t="shared" si="5"/>
        <v>1482.4837037037037</v>
      </c>
      <c r="M19" s="323">
        <f t="shared" si="6"/>
        <v>30391.027112203701</v>
      </c>
    </row>
    <row r="20" spans="2:13" x14ac:dyDescent="0.2">
      <c r="B20" s="2" t="s">
        <v>381</v>
      </c>
      <c r="C20" s="2" t="s">
        <v>298</v>
      </c>
      <c r="D20" s="2" t="s">
        <v>191</v>
      </c>
      <c r="E20" s="2" t="s">
        <v>664</v>
      </c>
      <c r="F20" s="320">
        <v>18900.68</v>
      </c>
      <c r="G20" s="320">
        <f t="shared" si="0"/>
        <v>4500.2519080000002</v>
      </c>
      <c r="H20" s="320">
        <f t="shared" si="3"/>
        <v>1575.0566666666666</v>
      </c>
      <c r="I20" s="320">
        <f t="shared" si="1"/>
        <v>375.02099233333331</v>
      </c>
      <c r="J20" s="320">
        <f t="shared" si="4"/>
        <v>1575.0566666666666</v>
      </c>
      <c r="K20" s="320">
        <f t="shared" si="2"/>
        <v>375.02099233333331</v>
      </c>
      <c r="L20" s="320">
        <f t="shared" si="5"/>
        <v>1400.0503703703705</v>
      </c>
      <c r="M20" s="323">
        <f t="shared" si="6"/>
        <v>28701.137596370369</v>
      </c>
    </row>
    <row r="21" spans="2:13" x14ac:dyDescent="0.2">
      <c r="B21" s="2" t="s">
        <v>382</v>
      </c>
      <c r="C21" s="2" t="s">
        <v>298</v>
      </c>
      <c r="D21" s="2" t="s">
        <v>192</v>
      </c>
      <c r="E21" s="2" t="s">
        <v>664</v>
      </c>
      <c r="F21" s="320">
        <v>18510.68</v>
      </c>
      <c r="G21" s="320">
        <f t="shared" si="0"/>
        <v>4407.3929079999998</v>
      </c>
      <c r="H21" s="320">
        <f t="shared" si="3"/>
        <v>1542.5566666666666</v>
      </c>
      <c r="I21" s="320">
        <f t="shared" si="1"/>
        <v>367.28274233333332</v>
      </c>
      <c r="J21" s="320">
        <f t="shared" si="4"/>
        <v>1542.5566666666666</v>
      </c>
      <c r="K21" s="320">
        <f t="shared" si="2"/>
        <v>367.28274233333332</v>
      </c>
      <c r="L21" s="320">
        <f t="shared" si="5"/>
        <v>1371.1614814814816</v>
      </c>
      <c r="M21" s="323">
        <f t="shared" si="6"/>
        <v>28108.913207481484</v>
      </c>
    </row>
    <row r="22" spans="2:13" x14ac:dyDescent="0.2">
      <c r="B22" s="2" t="s">
        <v>383</v>
      </c>
      <c r="C22" s="2" t="s">
        <v>298</v>
      </c>
      <c r="D22" s="2" t="s">
        <v>193</v>
      </c>
      <c r="E22" s="2" t="s">
        <v>664</v>
      </c>
      <c r="F22" s="320">
        <v>14939.09</v>
      </c>
      <c r="G22" s="320">
        <f t="shared" si="0"/>
        <v>3556.9973290000003</v>
      </c>
      <c r="H22" s="320">
        <f t="shared" si="3"/>
        <v>1244.9241666666667</v>
      </c>
      <c r="I22" s="320">
        <f t="shared" si="1"/>
        <v>296.41644408333332</v>
      </c>
      <c r="J22" s="320">
        <f t="shared" si="4"/>
        <v>1244.9241666666667</v>
      </c>
      <c r="K22" s="320">
        <f t="shared" si="2"/>
        <v>296.41644408333332</v>
      </c>
      <c r="L22" s="320">
        <f t="shared" si="5"/>
        <v>1106.5992592592593</v>
      </c>
      <c r="M22" s="323">
        <f t="shared" si="6"/>
        <v>22685.36780975926</v>
      </c>
    </row>
    <row r="23" spans="2:13" x14ac:dyDescent="0.2">
      <c r="B23" s="2" t="s">
        <v>384</v>
      </c>
      <c r="C23" s="2" t="s">
        <v>298</v>
      </c>
      <c r="D23" s="2" t="s">
        <v>194</v>
      </c>
      <c r="E23" s="2" t="s">
        <v>664</v>
      </c>
      <c r="F23" s="320">
        <v>14939.09</v>
      </c>
      <c r="G23" s="320">
        <f t="shared" si="0"/>
        <v>3556.9973290000003</v>
      </c>
      <c r="H23" s="320">
        <f t="shared" si="3"/>
        <v>1244.9241666666667</v>
      </c>
      <c r="I23" s="320">
        <f t="shared" si="1"/>
        <v>296.41644408333332</v>
      </c>
      <c r="J23" s="320">
        <f t="shared" si="4"/>
        <v>1244.9241666666667</v>
      </c>
      <c r="K23" s="320">
        <f t="shared" si="2"/>
        <v>296.41644408333332</v>
      </c>
      <c r="L23" s="320">
        <f t="shared" si="5"/>
        <v>1106.5992592592593</v>
      </c>
      <c r="M23" s="323">
        <f t="shared" si="6"/>
        <v>22685.36780975926</v>
      </c>
    </row>
    <row r="24" spans="2:13" x14ac:dyDescent="0.2">
      <c r="B24" s="2" t="s">
        <v>385</v>
      </c>
      <c r="C24" s="2" t="s">
        <v>298</v>
      </c>
      <c r="D24" s="2" t="s">
        <v>195</v>
      </c>
      <c r="E24" s="2" t="s">
        <v>664</v>
      </c>
      <c r="F24" s="320">
        <v>14939.09</v>
      </c>
      <c r="G24" s="320">
        <f t="shared" si="0"/>
        <v>3556.9973290000003</v>
      </c>
      <c r="H24" s="320">
        <f t="shared" si="3"/>
        <v>1244.9241666666667</v>
      </c>
      <c r="I24" s="320">
        <f t="shared" si="1"/>
        <v>296.41644408333332</v>
      </c>
      <c r="J24" s="320">
        <f t="shared" si="4"/>
        <v>1244.9241666666667</v>
      </c>
      <c r="K24" s="320">
        <f t="shared" si="2"/>
        <v>296.41644408333332</v>
      </c>
      <c r="L24" s="320">
        <f t="shared" si="5"/>
        <v>1106.5992592592593</v>
      </c>
      <c r="M24" s="323">
        <f t="shared" si="6"/>
        <v>22685.36780975926</v>
      </c>
    </row>
    <row r="25" spans="2:13" x14ac:dyDescent="0.2">
      <c r="B25" s="2" t="s">
        <v>386</v>
      </c>
      <c r="C25" s="2" t="s">
        <v>298</v>
      </c>
      <c r="D25" s="2" t="s">
        <v>196</v>
      </c>
      <c r="E25" s="2" t="s">
        <v>664</v>
      </c>
      <c r="F25" s="320">
        <v>14939.09</v>
      </c>
      <c r="G25" s="320">
        <f t="shared" si="0"/>
        <v>3556.9973290000003</v>
      </c>
      <c r="H25" s="320">
        <f t="shared" si="3"/>
        <v>1244.9241666666667</v>
      </c>
      <c r="I25" s="320">
        <f t="shared" si="1"/>
        <v>296.41644408333332</v>
      </c>
      <c r="J25" s="320">
        <f t="shared" si="4"/>
        <v>1244.9241666666667</v>
      </c>
      <c r="K25" s="320">
        <f t="shared" si="2"/>
        <v>296.41644408333332</v>
      </c>
      <c r="L25" s="320">
        <f t="shared" si="5"/>
        <v>1106.5992592592593</v>
      </c>
      <c r="M25" s="323">
        <f t="shared" si="6"/>
        <v>22685.36780975926</v>
      </c>
    </row>
    <row r="26" spans="2:13" x14ac:dyDescent="0.2">
      <c r="B26" s="2" t="s">
        <v>387</v>
      </c>
      <c r="C26" s="2" t="s">
        <v>298</v>
      </c>
      <c r="D26" s="2" t="s">
        <v>197</v>
      </c>
      <c r="E26" s="2" t="s">
        <v>664</v>
      </c>
      <c r="F26" s="320">
        <v>14939.09</v>
      </c>
      <c r="G26" s="320">
        <f t="shared" si="0"/>
        <v>3556.9973290000003</v>
      </c>
      <c r="H26" s="320">
        <f t="shared" si="3"/>
        <v>1244.9241666666667</v>
      </c>
      <c r="I26" s="320">
        <f t="shared" si="1"/>
        <v>296.41644408333332</v>
      </c>
      <c r="J26" s="320">
        <f t="shared" si="4"/>
        <v>1244.9241666666667</v>
      </c>
      <c r="K26" s="320">
        <f t="shared" si="2"/>
        <v>296.41644408333332</v>
      </c>
      <c r="L26" s="320">
        <f t="shared" si="5"/>
        <v>1106.5992592592593</v>
      </c>
      <c r="M26" s="323">
        <f t="shared" si="6"/>
        <v>22685.36780975926</v>
      </c>
    </row>
    <row r="27" spans="2:13" x14ac:dyDescent="0.2">
      <c r="B27" s="2" t="s">
        <v>388</v>
      </c>
      <c r="C27" s="2" t="s">
        <v>298</v>
      </c>
      <c r="D27" s="2" t="s">
        <v>198</v>
      </c>
      <c r="E27" s="2" t="s">
        <v>664</v>
      </c>
      <c r="F27" s="320">
        <v>14939.09</v>
      </c>
      <c r="G27" s="320">
        <f t="shared" si="0"/>
        <v>3556.9973290000003</v>
      </c>
      <c r="H27" s="320">
        <f t="shared" si="3"/>
        <v>1244.9241666666667</v>
      </c>
      <c r="I27" s="320">
        <f t="shared" si="1"/>
        <v>296.41644408333332</v>
      </c>
      <c r="J27" s="320">
        <f t="shared" si="4"/>
        <v>1244.9241666666667</v>
      </c>
      <c r="K27" s="320">
        <f t="shared" si="2"/>
        <v>296.41644408333332</v>
      </c>
      <c r="L27" s="320">
        <f t="shared" si="5"/>
        <v>1106.5992592592593</v>
      </c>
      <c r="M27" s="323">
        <f t="shared" si="6"/>
        <v>22685.36780975926</v>
      </c>
    </row>
    <row r="28" spans="2:13" x14ac:dyDescent="0.2">
      <c r="B28" s="2" t="s">
        <v>389</v>
      </c>
      <c r="C28" s="2" t="s">
        <v>298</v>
      </c>
      <c r="D28" s="2" t="s">
        <v>199</v>
      </c>
      <c r="E28" s="2" t="s">
        <v>664</v>
      </c>
      <c r="F28" s="320">
        <v>14939.09</v>
      </c>
      <c r="G28" s="320">
        <f t="shared" si="0"/>
        <v>3556.9973290000003</v>
      </c>
      <c r="H28" s="320">
        <f t="shared" si="3"/>
        <v>1244.9241666666667</v>
      </c>
      <c r="I28" s="320">
        <f t="shared" si="1"/>
        <v>296.41644408333332</v>
      </c>
      <c r="J28" s="320">
        <f t="shared" si="4"/>
        <v>1244.9241666666667</v>
      </c>
      <c r="K28" s="320">
        <f t="shared" si="2"/>
        <v>296.41644408333332</v>
      </c>
      <c r="L28" s="320">
        <f t="shared" si="5"/>
        <v>1106.5992592592593</v>
      </c>
      <c r="M28" s="323">
        <f t="shared" si="6"/>
        <v>22685.36780975926</v>
      </c>
    </row>
    <row r="29" spans="2:13" x14ac:dyDescent="0.2">
      <c r="B29" s="2" t="s">
        <v>390</v>
      </c>
      <c r="C29" s="2" t="s">
        <v>298</v>
      </c>
      <c r="D29" s="2" t="s">
        <v>200</v>
      </c>
      <c r="E29" s="2" t="s">
        <v>664</v>
      </c>
      <c r="F29" s="320">
        <v>14939.09</v>
      </c>
      <c r="G29" s="320">
        <f t="shared" si="0"/>
        <v>3556.9973290000003</v>
      </c>
      <c r="H29" s="320">
        <f t="shared" si="3"/>
        <v>1244.9241666666667</v>
      </c>
      <c r="I29" s="320">
        <f t="shared" si="1"/>
        <v>296.41644408333332</v>
      </c>
      <c r="J29" s="320">
        <f t="shared" si="4"/>
        <v>1244.9241666666667</v>
      </c>
      <c r="K29" s="320">
        <f t="shared" si="2"/>
        <v>296.41644408333332</v>
      </c>
      <c r="L29" s="320">
        <f t="shared" si="5"/>
        <v>1106.5992592592593</v>
      </c>
      <c r="M29" s="323">
        <f t="shared" si="6"/>
        <v>22685.36780975926</v>
      </c>
    </row>
    <row r="30" spans="2:13" x14ac:dyDescent="0.2">
      <c r="B30" s="2" t="s">
        <v>391</v>
      </c>
      <c r="C30" s="2" t="s">
        <v>298</v>
      </c>
      <c r="D30" s="2" t="s">
        <v>201</v>
      </c>
      <c r="E30" s="2" t="s">
        <v>664</v>
      </c>
      <c r="F30" s="320">
        <v>14939.09</v>
      </c>
      <c r="G30" s="320">
        <f t="shared" si="0"/>
        <v>3556.9973290000003</v>
      </c>
      <c r="H30" s="320">
        <f t="shared" si="3"/>
        <v>1244.9241666666667</v>
      </c>
      <c r="I30" s="320">
        <f t="shared" si="1"/>
        <v>296.41644408333332</v>
      </c>
      <c r="J30" s="320">
        <f t="shared" si="4"/>
        <v>1244.9241666666667</v>
      </c>
      <c r="K30" s="320">
        <f t="shared" si="2"/>
        <v>296.41644408333332</v>
      </c>
      <c r="L30" s="320">
        <f t="shared" si="5"/>
        <v>1106.5992592592593</v>
      </c>
      <c r="M30" s="323">
        <f t="shared" si="6"/>
        <v>22685.36780975926</v>
      </c>
    </row>
    <row r="31" spans="2:13" x14ac:dyDescent="0.2">
      <c r="B31" s="2" t="s">
        <v>392</v>
      </c>
      <c r="C31" s="2" t="s">
        <v>298</v>
      </c>
      <c r="D31" s="2" t="s">
        <v>202</v>
      </c>
      <c r="E31" s="2" t="s">
        <v>664</v>
      </c>
      <c r="F31" s="320">
        <v>14939.09</v>
      </c>
      <c r="G31" s="320">
        <f t="shared" si="0"/>
        <v>3556.9973290000003</v>
      </c>
      <c r="H31" s="320">
        <f t="shared" si="3"/>
        <v>1244.9241666666667</v>
      </c>
      <c r="I31" s="320">
        <f t="shared" si="1"/>
        <v>296.41644408333332</v>
      </c>
      <c r="J31" s="320">
        <f t="shared" si="4"/>
        <v>1244.9241666666667</v>
      </c>
      <c r="K31" s="320">
        <f t="shared" si="2"/>
        <v>296.41644408333332</v>
      </c>
      <c r="L31" s="320">
        <f t="shared" si="5"/>
        <v>1106.5992592592593</v>
      </c>
      <c r="M31" s="323">
        <f t="shared" si="6"/>
        <v>22685.36780975926</v>
      </c>
    </row>
    <row r="32" spans="2:13" x14ac:dyDescent="0.2">
      <c r="B32" s="2" t="s">
        <v>393</v>
      </c>
      <c r="C32" s="2" t="s">
        <v>298</v>
      </c>
      <c r="D32" s="2" t="s">
        <v>203</v>
      </c>
      <c r="E32" s="2" t="s">
        <v>664</v>
      </c>
      <c r="F32" s="320">
        <v>14939.09</v>
      </c>
      <c r="G32" s="320">
        <f t="shared" si="0"/>
        <v>3556.9973290000003</v>
      </c>
      <c r="H32" s="320">
        <f t="shared" si="3"/>
        <v>1244.9241666666667</v>
      </c>
      <c r="I32" s="320">
        <f t="shared" si="1"/>
        <v>296.41644408333332</v>
      </c>
      <c r="J32" s="320">
        <f t="shared" si="4"/>
        <v>1244.9241666666667</v>
      </c>
      <c r="K32" s="320">
        <f t="shared" si="2"/>
        <v>296.41644408333332</v>
      </c>
      <c r="L32" s="320">
        <f t="shared" si="5"/>
        <v>1106.5992592592593</v>
      </c>
      <c r="M32" s="323">
        <f t="shared" si="6"/>
        <v>22685.36780975926</v>
      </c>
    </row>
    <row r="33" spans="2:13" x14ac:dyDescent="0.2">
      <c r="B33" s="2" t="s">
        <v>394</v>
      </c>
      <c r="C33" s="2" t="s">
        <v>298</v>
      </c>
      <c r="D33" s="2" t="s">
        <v>204</v>
      </c>
      <c r="E33" s="2" t="s">
        <v>664</v>
      </c>
      <c r="F33" s="320">
        <v>14939.09</v>
      </c>
      <c r="G33" s="320">
        <f t="shared" si="0"/>
        <v>3556.9973290000003</v>
      </c>
      <c r="H33" s="320">
        <f t="shared" si="3"/>
        <v>1244.9241666666667</v>
      </c>
      <c r="I33" s="320">
        <f t="shared" si="1"/>
        <v>296.41644408333332</v>
      </c>
      <c r="J33" s="320">
        <f t="shared" si="4"/>
        <v>1244.9241666666667</v>
      </c>
      <c r="K33" s="320">
        <f t="shared" si="2"/>
        <v>296.41644408333332</v>
      </c>
      <c r="L33" s="320">
        <f t="shared" si="5"/>
        <v>1106.5992592592593</v>
      </c>
      <c r="M33" s="323">
        <f t="shared" si="6"/>
        <v>22685.36780975926</v>
      </c>
    </row>
    <row r="34" spans="2:13" x14ac:dyDescent="0.2">
      <c r="B34" s="2" t="s">
        <v>395</v>
      </c>
      <c r="C34" s="2" t="s">
        <v>298</v>
      </c>
      <c r="D34" s="2" t="s">
        <v>205</v>
      </c>
      <c r="E34" s="2" t="s">
        <v>664</v>
      </c>
      <c r="F34" s="320">
        <v>14939.09</v>
      </c>
      <c r="G34" s="320">
        <f t="shared" si="0"/>
        <v>3556.9973290000003</v>
      </c>
      <c r="H34" s="320">
        <f t="shared" si="3"/>
        <v>1244.9241666666667</v>
      </c>
      <c r="I34" s="320">
        <f t="shared" si="1"/>
        <v>296.41644408333332</v>
      </c>
      <c r="J34" s="320">
        <f t="shared" si="4"/>
        <v>1244.9241666666667</v>
      </c>
      <c r="K34" s="320">
        <f t="shared" si="2"/>
        <v>296.41644408333332</v>
      </c>
      <c r="L34" s="320">
        <f t="shared" si="5"/>
        <v>1106.5992592592593</v>
      </c>
      <c r="M34" s="323">
        <f t="shared" si="6"/>
        <v>22685.36780975926</v>
      </c>
    </row>
    <row r="35" spans="2:13" x14ac:dyDescent="0.2">
      <c r="B35" s="2" t="s">
        <v>396</v>
      </c>
      <c r="C35" s="2" t="s">
        <v>298</v>
      </c>
      <c r="D35" s="2" t="s">
        <v>206</v>
      </c>
      <c r="E35" s="2" t="s">
        <v>664</v>
      </c>
      <c r="F35" s="320">
        <v>14939.09</v>
      </c>
      <c r="G35" s="320">
        <f t="shared" si="0"/>
        <v>3556.9973290000003</v>
      </c>
      <c r="H35" s="320">
        <f t="shared" si="3"/>
        <v>1244.9241666666667</v>
      </c>
      <c r="I35" s="320">
        <f t="shared" si="1"/>
        <v>296.41644408333332</v>
      </c>
      <c r="J35" s="320">
        <f t="shared" si="4"/>
        <v>1244.9241666666667</v>
      </c>
      <c r="K35" s="320">
        <f t="shared" si="2"/>
        <v>296.41644408333332</v>
      </c>
      <c r="L35" s="320">
        <f t="shared" si="5"/>
        <v>1106.5992592592593</v>
      </c>
      <c r="M35" s="323">
        <f t="shared" si="6"/>
        <v>22685.36780975926</v>
      </c>
    </row>
    <row r="36" spans="2:13" x14ac:dyDescent="0.2">
      <c r="B36" s="2" t="s">
        <v>397</v>
      </c>
      <c r="C36" s="2" t="s">
        <v>298</v>
      </c>
      <c r="D36" s="2" t="s">
        <v>207</v>
      </c>
      <c r="E36" s="2" t="s">
        <v>664</v>
      </c>
      <c r="F36" s="320">
        <v>14939.09</v>
      </c>
      <c r="G36" s="320">
        <f t="shared" si="0"/>
        <v>3556.9973290000003</v>
      </c>
      <c r="H36" s="320">
        <f t="shared" si="3"/>
        <v>1244.9241666666667</v>
      </c>
      <c r="I36" s="320">
        <f t="shared" si="1"/>
        <v>296.41644408333332</v>
      </c>
      <c r="J36" s="320">
        <f t="shared" si="4"/>
        <v>1244.9241666666667</v>
      </c>
      <c r="K36" s="320">
        <f t="shared" si="2"/>
        <v>296.41644408333332</v>
      </c>
      <c r="L36" s="320">
        <f t="shared" si="5"/>
        <v>1106.5992592592593</v>
      </c>
      <c r="M36" s="323">
        <f t="shared" si="6"/>
        <v>22685.36780975926</v>
      </c>
    </row>
    <row r="37" spans="2:13" x14ac:dyDescent="0.2">
      <c r="B37" s="2" t="s">
        <v>398</v>
      </c>
      <c r="C37" s="2" t="s">
        <v>298</v>
      </c>
      <c r="D37" s="2" t="s">
        <v>208</v>
      </c>
      <c r="E37" s="2" t="s">
        <v>664</v>
      </c>
      <c r="F37" s="320">
        <v>14939.09</v>
      </c>
      <c r="G37" s="320">
        <f t="shared" si="0"/>
        <v>3556.9973290000003</v>
      </c>
      <c r="H37" s="320">
        <f t="shared" si="3"/>
        <v>1244.9241666666667</v>
      </c>
      <c r="I37" s="320">
        <f t="shared" si="1"/>
        <v>296.41644408333332</v>
      </c>
      <c r="J37" s="320">
        <f t="shared" si="4"/>
        <v>1244.9241666666667</v>
      </c>
      <c r="K37" s="320">
        <f t="shared" si="2"/>
        <v>296.41644408333332</v>
      </c>
      <c r="L37" s="320">
        <f t="shared" si="5"/>
        <v>1106.5992592592593</v>
      </c>
      <c r="M37" s="323">
        <f t="shared" si="6"/>
        <v>22685.36780975926</v>
      </c>
    </row>
    <row r="38" spans="2:13" x14ac:dyDescent="0.2">
      <c r="B38" s="2" t="s">
        <v>399</v>
      </c>
      <c r="C38" s="2" t="s">
        <v>298</v>
      </c>
      <c r="D38" s="2" t="s">
        <v>209</v>
      </c>
      <c r="E38" s="2" t="s">
        <v>664</v>
      </c>
      <c r="F38" s="320">
        <v>14939.09</v>
      </c>
      <c r="G38" s="320">
        <f t="shared" si="0"/>
        <v>3556.9973290000003</v>
      </c>
      <c r="H38" s="320">
        <f t="shared" si="3"/>
        <v>1244.9241666666667</v>
      </c>
      <c r="I38" s="320">
        <f t="shared" si="1"/>
        <v>296.41644408333332</v>
      </c>
      <c r="J38" s="320">
        <f t="shared" si="4"/>
        <v>1244.9241666666667</v>
      </c>
      <c r="K38" s="320">
        <f t="shared" si="2"/>
        <v>296.41644408333332</v>
      </c>
      <c r="L38" s="320">
        <f t="shared" si="5"/>
        <v>1106.5992592592593</v>
      </c>
      <c r="M38" s="323">
        <f t="shared" si="6"/>
        <v>22685.36780975926</v>
      </c>
    </row>
    <row r="39" spans="2:13" x14ac:dyDescent="0.2">
      <c r="B39" s="2" t="s">
        <v>400</v>
      </c>
      <c r="C39" s="2" t="s">
        <v>298</v>
      </c>
      <c r="D39" s="2" t="s">
        <v>210</v>
      </c>
      <c r="E39" s="2" t="s">
        <v>664</v>
      </c>
      <c r="F39" s="320">
        <v>14939.09</v>
      </c>
      <c r="G39" s="320">
        <f t="shared" si="0"/>
        <v>3556.9973290000003</v>
      </c>
      <c r="H39" s="320">
        <f t="shared" si="3"/>
        <v>1244.9241666666667</v>
      </c>
      <c r="I39" s="320">
        <f t="shared" si="1"/>
        <v>296.41644408333332</v>
      </c>
      <c r="J39" s="320">
        <f t="shared" si="4"/>
        <v>1244.9241666666667</v>
      </c>
      <c r="K39" s="320">
        <f t="shared" si="2"/>
        <v>296.41644408333332</v>
      </c>
      <c r="L39" s="320">
        <f t="shared" si="5"/>
        <v>1106.5992592592593</v>
      </c>
      <c r="M39" s="323">
        <f t="shared" si="6"/>
        <v>22685.36780975926</v>
      </c>
    </row>
    <row r="40" spans="2:13" x14ac:dyDescent="0.2">
      <c r="B40" s="2" t="s">
        <v>401</v>
      </c>
      <c r="C40" s="2" t="s">
        <v>298</v>
      </c>
      <c r="D40" s="2" t="s">
        <v>211</v>
      </c>
      <c r="E40" s="2" t="s">
        <v>664</v>
      </c>
      <c r="F40" s="320">
        <v>14939.09</v>
      </c>
      <c r="G40" s="320">
        <f t="shared" si="0"/>
        <v>3556.9973290000003</v>
      </c>
      <c r="H40" s="320">
        <f t="shared" si="3"/>
        <v>1244.9241666666667</v>
      </c>
      <c r="I40" s="320">
        <f t="shared" si="1"/>
        <v>296.41644408333332</v>
      </c>
      <c r="J40" s="320">
        <f t="shared" si="4"/>
        <v>1244.9241666666667</v>
      </c>
      <c r="K40" s="320">
        <f t="shared" si="2"/>
        <v>296.41644408333332</v>
      </c>
      <c r="L40" s="320">
        <f t="shared" si="5"/>
        <v>1106.5992592592593</v>
      </c>
      <c r="M40" s="323">
        <f t="shared" si="6"/>
        <v>22685.36780975926</v>
      </c>
    </row>
    <row r="41" spans="2:13" x14ac:dyDescent="0.2">
      <c r="B41" s="2" t="s">
        <v>402</v>
      </c>
      <c r="C41" s="2" t="s">
        <v>298</v>
      </c>
      <c r="D41" s="2" t="s">
        <v>212</v>
      </c>
      <c r="E41" s="2" t="s">
        <v>664</v>
      </c>
      <c r="F41" s="320">
        <v>14939.09</v>
      </c>
      <c r="G41" s="320">
        <f t="shared" si="0"/>
        <v>3556.9973290000003</v>
      </c>
      <c r="H41" s="320">
        <f t="shared" si="3"/>
        <v>1244.9241666666667</v>
      </c>
      <c r="I41" s="320">
        <f t="shared" si="1"/>
        <v>296.41644408333332</v>
      </c>
      <c r="J41" s="320">
        <f t="shared" si="4"/>
        <v>1244.9241666666667</v>
      </c>
      <c r="K41" s="320">
        <f t="shared" si="2"/>
        <v>296.41644408333332</v>
      </c>
      <c r="L41" s="320">
        <f t="shared" si="5"/>
        <v>1106.5992592592593</v>
      </c>
      <c r="M41" s="323">
        <f t="shared" si="6"/>
        <v>22685.36780975926</v>
      </c>
    </row>
    <row r="42" spans="2:13" x14ac:dyDescent="0.2">
      <c r="B42" s="2" t="s">
        <v>403</v>
      </c>
      <c r="C42" s="2" t="s">
        <v>298</v>
      </c>
      <c r="D42" s="2" t="s">
        <v>213</v>
      </c>
      <c r="E42" s="2" t="s">
        <v>664</v>
      </c>
      <c r="F42" s="320">
        <v>14939.09</v>
      </c>
      <c r="G42" s="320">
        <f t="shared" ref="G42:G73" si="7">F42*$E$4</f>
        <v>3556.9973290000003</v>
      </c>
      <c r="H42" s="320">
        <f t="shared" si="3"/>
        <v>1244.9241666666667</v>
      </c>
      <c r="I42" s="320">
        <f t="shared" ref="I42:I73" si="8">H42*$E$4</f>
        <v>296.41644408333332</v>
      </c>
      <c r="J42" s="320">
        <f t="shared" si="4"/>
        <v>1244.9241666666667</v>
      </c>
      <c r="K42" s="320">
        <f t="shared" ref="K42:K73" si="9">J42*$E$4</f>
        <v>296.41644408333332</v>
      </c>
      <c r="L42" s="320">
        <f t="shared" si="5"/>
        <v>1106.5992592592593</v>
      </c>
      <c r="M42" s="323">
        <f t="shared" si="6"/>
        <v>22685.36780975926</v>
      </c>
    </row>
    <row r="43" spans="2:13" x14ac:dyDescent="0.2">
      <c r="B43" s="2" t="s">
        <v>404</v>
      </c>
      <c r="C43" s="2" t="s">
        <v>298</v>
      </c>
      <c r="D43" s="2" t="s">
        <v>214</v>
      </c>
      <c r="E43" s="2" t="s">
        <v>664</v>
      </c>
      <c r="F43" s="320">
        <v>14939.09</v>
      </c>
      <c r="G43" s="320">
        <f t="shared" si="7"/>
        <v>3556.9973290000003</v>
      </c>
      <c r="H43" s="320">
        <f t="shared" si="3"/>
        <v>1244.9241666666667</v>
      </c>
      <c r="I43" s="320">
        <f t="shared" si="8"/>
        <v>296.41644408333332</v>
      </c>
      <c r="J43" s="320">
        <f t="shared" si="4"/>
        <v>1244.9241666666667</v>
      </c>
      <c r="K43" s="320">
        <f t="shared" si="9"/>
        <v>296.41644408333332</v>
      </c>
      <c r="L43" s="320">
        <f t="shared" si="5"/>
        <v>1106.5992592592593</v>
      </c>
      <c r="M43" s="323">
        <f t="shared" si="6"/>
        <v>22685.36780975926</v>
      </c>
    </row>
    <row r="44" spans="2:13" x14ac:dyDescent="0.2">
      <c r="B44" s="2" t="s">
        <v>405</v>
      </c>
      <c r="C44" s="2" t="s">
        <v>298</v>
      </c>
      <c r="D44" s="2" t="s">
        <v>215</v>
      </c>
      <c r="E44" s="2" t="s">
        <v>664</v>
      </c>
      <c r="F44" s="320">
        <v>14939.09</v>
      </c>
      <c r="G44" s="320">
        <f t="shared" si="7"/>
        <v>3556.9973290000003</v>
      </c>
      <c r="H44" s="320">
        <f t="shared" si="3"/>
        <v>1244.9241666666667</v>
      </c>
      <c r="I44" s="320">
        <f t="shared" si="8"/>
        <v>296.41644408333332</v>
      </c>
      <c r="J44" s="320">
        <f t="shared" si="4"/>
        <v>1244.9241666666667</v>
      </c>
      <c r="K44" s="320">
        <f t="shared" si="9"/>
        <v>296.41644408333332</v>
      </c>
      <c r="L44" s="320">
        <f t="shared" si="5"/>
        <v>1106.5992592592593</v>
      </c>
      <c r="M44" s="323">
        <f t="shared" si="6"/>
        <v>22685.36780975926</v>
      </c>
    </row>
    <row r="45" spans="2:13" x14ac:dyDescent="0.2">
      <c r="B45" s="2" t="s">
        <v>406</v>
      </c>
      <c r="C45" s="2" t="s">
        <v>298</v>
      </c>
      <c r="D45" s="2" t="s">
        <v>216</v>
      </c>
      <c r="E45" s="2" t="s">
        <v>664</v>
      </c>
      <c r="F45" s="320">
        <v>14939.09</v>
      </c>
      <c r="G45" s="320">
        <f t="shared" si="7"/>
        <v>3556.9973290000003</v>
      </c>
      <c r="H45" s="320">
        <f t="shared" si="3"/>
        <v>1244.9241666666667</v>
      </c>
      <c r="I45" s="320">
        <f t="shared" si="8"/>
        <v>296.41644408333332</v>
      </c>
      <c r="J45" s="320">
        <f t="shared" si="4"/>
        <v>1244.9241666666667</v>
      </c>
      <c r="K45" s="320">
        <f t="shared" si="9"/>
        <v>296.41644408333332</v>
      </c>
      <c r="L45" s="320">
        <f t="shared" si="5"/>
        <v>1106.5992592592593</v>
      </c>
      <c r="M45" s="323">
        <f t="shared" si="6"/>
        <v>22685.36780975926</v>
      </c>
    </row>
    <row r="46" spans="2:13" x14ac:dyDescent="0.2">
      <c r="B46" s="2" t="s">
        <v>407</v>
      </c>
      <c r="C46" s="2" t="s">
        <v>298</v>
      </c>
      <c r="D46" s="2" t="s">
        <v>217</v>
      </c>
      <c r="E46" s="2" t="s">
        <v>664</v>
      </c>
      <c r="F46" s="320">
        <v>14939.09</v>
      </c>
      <c r="G46" s="320">
        <f t="shared" si="7"/>
        <v>3556.9973290000003</v>
      </c>
      <c r="H46" s="320">
        <f t="shared" si="3"/>
        <v>1244.9241666666667</v>
      </c>
      <c r="I46" s="320">
        <f t="shared" si="8"/>
        <v>296.41644408333332</v>
      </c>
      <c r="J46" s="320">
        <f t="shared" si="4"/>
        <v>1244.9241666666667</v>
      </c>
      <c r="K46" s="320">
        <f t="shared" si="9"/>
        <v>296.41644408333332</v>
      </c>
      <c r="L46" s="320">
        <f t="shared" si="5"/>
        <v>1106.5992592592593</v>
      </c>
      <c r="M46" s="323">
        <f t="shared" si="6"/>
        <v>22685.36780975926</v>
      </c>
    </row>
    <row r="47" spans="2:13" x14ac:dyDescent="0.2">
      <c r="B47" s="2" t="s">
        <v>408</v>
      </c>
      <c r="C47" s="2" t="s">
        <v>298</v>
      </c>
      <c r="D47" s="2" t="s">
        <v>218</v>
      </c>
      <c r="E47" s="2" t="s">
        <v>664</v>
      </c>
      <c r="F47" s="320">
        <v>14939.09</v>
      </c>
      <c r="G47" s="320">
        <f t="shared" si="7"/>
        <v>3556.9973290000003</v>
      </c>
      <c r="H47" s="320">
        <f t="shared" si="3"/>
        <v>1244.9241666666667</v>
      </c>
      <c r="I47" s="320">
        <f t="shared" si="8"/>
        <v>296.41644408333332</v>
      </c>
      <c r="J47" s="320">
        <f t="shared" si="4"/>
        <v>1244.9241666666667</v>
      </c>
      <c r="K47" s="320">
        <f t="shared" si="9"/>
        <v>296.41644408333332</v>
      </c>
      <c r="L47" s="320">
        <f t="shared" si="5"/>
        <v>1106.5992592592593</v>
      </c>
      <c r="M47" s="323">
        <f t="shared" si="6"/>
        <v>22685.36780975926</v>
      </c>
    </row>
    <row r="48" spans="2:13" x14ac:dyDescent="0.2">
      <c r="B48" s="2" t="s">
        <v>409</v>
      </c>
      <c r="C48" s="2" t="s">
        <v>298</v>
      </c>
      <c r="D48" s="2" t="s">
        <v>219</v>
      </c>
      <c r="E48" s="2" t="s">
        <v>664</v>
      </c>
      <c r="F48" s="320">
        <v>14939.09</v>
      </c>
      <c r="G48" s="320">
        <f t="shared" si="7"/>
        <v>3556.9973290000003</v>
      </c>
      <c r="H48" s="320">
        <f t="shared" si="3"/>
        <v>1244.9241666666667</v>
      </c>
      <c r="I48" s="320">
        <f t="shared" si="8"/>
        <v>296.41644408333332</v>
      </c>
      <c r="J48" s="320">
        <f t="shared" si="4"/>
        <v>1244.9241666666667</v>
      </c>
      <c r="K48" s="320">
        <f t="shared" si="9"/>
        <v>296.41644408333332</v>
      </c>
      <c r="L48" s="320">
        <f t="shared" si="5"/>
        <v>1106.5992592592593</v>
      </c>
      <c r="M48" s="323">
        <f t="shared" si="6"/>
        <v>22685.36780975926</v>
      </c>
    </row>
    <row r="49" spans="2:13" x14ac:dyDescent="0.2">
      <c r="B49" s="2" t="s">
        <v>410</v>
      </c>
      <c r="C49" s="2" t="s">
        <v>298</v>
      </c>
      <c r="D49" s="2" t="s">
        <v>220</v>
      </c>
      <c r="E49" s="2" t="s">
        <v>664</v>
      </c>
      <c r="F49" s="320">
        <v>14939.09</v>
      </c>
      <c r="G49" s="320">
        <f t="shared" si="7"/>
        <v>3556.9973290000003</v>
      </c>
      <c r="H49" s="320">
        <f t="shared" si="3"/>
        <v>1244.9241666666667</v>
      </c>
      <c r="I49" s="320">
        <f t="shared" si="8"/>
        <v>296.41644408333332</v>
      </c>
      <c r="J49" s="320">
        <f t="shared" si="4"/>
        <v>1244.9241666666667</v>
      </c>
      <c r="K49" s="320">
        <f t="shared" si="9"/>
        <v>296.41644408333332</v>
      </c>
      <c r="L49" s="320">
        <f t="shared" si="5"/>
        <v>1106.5992592592593</v>
      </c>
      <c r="M49" s="323">
        <f t="shared" si="6"/>
        <v>22685.36780975926</v>
      </c>
    </row>
    <row r="50" spans="2:13" x14ac:dyDescent="0.2">
      <c r="B50" s="2" t="s">
        <v>411</v>
      </c>
      <c r="C50" s="2" t="s">
        <v>298</v>
      </c>
      <c r="D50" s="2" t="s">
        <v>221</v>
      </c>
      <c r="E50" s="2" t="s">
        <v>664</v>
      </c>
      <c r="F50" s="320">
        <v>14939.09</v>
      </c>
      <c r="G50" s="320">
        <f t="shared" si="7"/>
        <v>3556.9973290000003</v>
      </c>
      <c r="H50" s="320">
        <f t="shared" si="3"/>
        <v>1244.9241666666667</v>
      </c>
      <c r="I50" s="320">
        <f t="shared" si="8"/>
        <v>296.41644408333332</v>
      </c>
      <c r="J50" s="320">
        <f t="shared" si="4"/>
        <v>1244.9241666666667</v>
      </c>
      <c r="K50" s="320">
        <f t="shared" si="9"/>
        <v>296.41644408333332</v>
      </c>
      <c r="L50" s="320">
        <f t="shared" si="5"/>
        <v>1106.5992592592593</v>
      </c>
      <c r="M50" s="323">
        <f t="shared" si="6"/>
        <v>22685.36780975926</v>
      </c>
    </row>
    <row r="51" spans="2:13" x14ac:dyDescent="0.2">
      <c r="B51" s="2" t="s">
        <v>412</v>
      </c>
      <c r="C51" s="2" t="s">
        <v>298</v>
      </c>
      <c r="D51" s="2" t="s">
        <v>222</v>
      </c>
      <c r="E51" s="2" t="s">
        <v>664</v>
      </c>
      <c r="F51" s="320">
        <v>14939.09</v>
      </c>
      <c r="G51" s="320">
        <f t="shared" si="7"/>
        <v>3556.9973290000003</v>
      </c>
      <c r="H51" s="320">
        <f t="shared" si="3"/>
        <v>1244.9241666666667</v>
      </c>
      <c r="I51" s="320">
        <f t="shared" si="8"/>
        <v>296.41644408333332</v>
      </c>
      <c r="J51" s="320">
        <f t="shared" si="4"/>
        <v>1244.9241666666667</v>
      </c>
      <c r="K51" s="320">
        <f t="shared" si="9"/>
        <v>296.41644408333332</v>
      </c>
      <c r="L51" s="320">
        <f t="shared" si="5"/>
        <v>1106.5992592592593</v>
      </c>
      <c r="M51" s="323">
        <f t="shared" si="6"/>
        <v>22685.36780975926</v>
      </c>
    </row>
    <row r="52" spans="2:13" x14ac:dyDescent="0.2">
      <c r="B52" s="2" t="s">
        <v>413</v>
      </c>
      <c r="C52" s="2" t="s">
        <v>298</v>
      </c>
      <c r="D52" s="2" t="s">
        <v>223</v>
      </c>
      <c r="E52" s="2" t="s">
        <v>664</v>
      </c>
      <c r="F52" s="320">
        <v>22137.439999999999</v>
      </c>
      <c r="G52" s="320">
        <f t="shared" si="7"/>
        <v>5270.9244639999997</v>
      </c>
      <c r="H52" s="320">
        <f t="shared" si="3"/>
        <v>1844.7866666666666</v>
      </c>
      <c r="I52" s="320">
        <f t="shared" si="8"/>
        <v>439.24370533333331</v>
      </c>
      <c r="J52" s="320">
        <f t="shared" si="4"/>
        <v>1844.7866666666666</v>
      </c>
      <c r="K52" s="320">
        <f t="shared" si="9"/>
        <v>439.24370533333331</v>
      </c>
      <c r="L52" s="320">
        <f t="shared" si="5"/>
        <v>1639.8103703703703</v>
      </c>
      <c r="M52" s="323">
        <f t="shared" si="6"/>
        <v>33616.235578370368</v>
      </c>
    </row>
    <row r="53" spans="2:13" x14ac:dyDescent="0.2">
      <c r="B53" s="2" t="s">
        <v>414</v>
      </c>
      <c r="C53" s="2" t="s">
        <v>298</v>
      </c>
      <c r="D53" s="2" t="s">
        <v>224</v>
      </c>
      <c r="E53" s="2" t="s">
        <v>664</v>
      </c>
      <c r="F53" s="320">
        <v>20242.759999999998</v>
      </c>
      <c r="G53" s="320">
        <f t="shared" si="7"/>
        <v>4819.8011559999995</v>
      </c>
      <c r="H53" s="320">
        <f t="shared" si="3"/>
        <v>1686.8966666666665</v>
      </c>
      <c r="I53" s="320">
        <f t="shared" si="8"/>
        <v>401.65009633333329</v>
      </c>
      <c r="J53" s="320">
        <f t="shared" si="4"/>
        <v>1686.8966666666665</v>
      </c>
      <c r="K53" s="320">
        <f t="shared" si="9"/>
        <v>401.65009633333329</v>
      </c>
      <c r="L53" s="320">
        <f t="shared" si="5"/>
        <v>1499.4637037037037</v>
      </c>
      <c r="M53" s="323">
        <f t="shared" si="6"/>
        <v>30739.118385703703</v>
      </c>
    </row>
    <row r="54" spans="2:13" x14ac:dyDescent="0.2">
      <c r="B54" s="2" t="s">
        <v>415</v>
      </c>
      <c r="C54" s="2" t="s">
        <v>298</v>
      </c>
      <c r="D54" s="2" t="s">
        <v>225</v>
      </c>
      <c r="E54" s="2" t="s">
        <v>664</v>
      </c>
      <c r="F54" s="320">
        <v>20242.759999999998</v>
      </c>
      <c r="G54" s="320">
        <f t="shared" si="7"/>
        <v>4819.8011559999995</v>
      </c>
      <c r="H54" s="320">
        <f t="shared" ref="H54:H66" si="10">F54/12</f>
        <v>1686.8966666666665</v>
      </c>
      <c r="I54" s="320">
        <f t="shared" si="8"/>
        <v>401.65009633333329</v>
      </c>
      <c r="J54" s="320">
        <f t="shared" ref="J54:J66" si="11">F54/12</f>
        <v>1686.8966666666665</v>
      </c>
      <c r="K54" s="320">
        <f t="shared" si="9"/>
        <v>401.65009633333329</v>
      </c>
      <c r="L54" s="320">
        <f t="shared" ref="L54:L66" si="12">F54/13.5</f>
        <v>1499.4637037037037</v>
      </c>
      <c r="M54" s="323">
        <f t="shared" ref="M54:M66" si="13">SUM(G54:L54)+F54</f>
        <v>30739.118385703703</v>
      </c>
    </row>
    <row r="55" spans="2:13" x14ac:dyDescent="0.2">
      <c r="B55" s="2" t="s">
        <v>416</v>
      </c>
      <c r="C55" s="2" t="s">
        <v>298</v>
      </c>
      <c r="D55" s="2" t="s">
        <v>226</v>
      </c>
      <c r="E55" s="2" t="s">
        <v>664</v>
      </c>
      <c r="F55" s="320">
        <v>20013.53</v>
      </c>
      <c r="G55" s="320">
        <f t="shared" si="7"/>
        <v>4765.221493</v>
      </c>
      <c r="H55" s="320">
        <f t="shared" si="10"/>
        <v>1667.7941666666666</v>
      </c>
      <c r="I55" s="320">
        <f t="shared" si="8"/>
        <v>397.1017910833333</v>
      </c>
      <c r="J55" s="320">
        <f t="shared" si="11"/>
        <v>1667.7941666666666</v>
      </c>
      <c r="K55" s="320">
        <f t="shared" si="9"/>
        <v>397.1017910833333</v>
      </c>
      <c r="L55" s="320">
        <f t="shared" si="12"/>
        <v>1482.4837037037037</v>
      </c>
      <c r="M55" s="323">
        <f t="shared" si="13"/>
        <v>30391.027112203701</v>
      </c>
    </row>
    <row r="56" spans="2:13" x14ac:dyDescent="0.2">
      <c r="B56" s="2" t="s">
        <v>417</v>
      </c>
      <c r="C56" s="2" t="s">
        <v>298</v>
      </c>
      <c r="D56" s="2" t="s">
        <v>227</v>
      </c>
      <c r="E56" s="2" t="s">
        <v>664</v>
      </c>
      <c r="F56" s="320">
        <v>18900.68</v>
      </c>
      <c r="G56" s="320">
        <f t="shared" si="7"/>
        <v>4500.2519080000002</v>
      </c>
      <c r="H56" s="320">
        <f t="shared" si="10"/>
        <v>1575.0566666666666</v>
      </c>
      <c r="I56" s="320">
        <f t="shared" si="8"/>
        <v>375.02099233333331</v>
      </c>
      <c r="J56" s="320">
        <f t="shared" si="11"/>
        <v>1575.0566666666666</v>
      </c>
      <c r="K56" s="320">
        <f t="shared" si="9"/>
        <v>375.02099233333331</v>
      </c>
      <c r="L56" s="320">
        <f t="shared" si="12"/>
        <v>1400.0503703703705</v>
      </c>
      <c r="M56" s="323">
        <f t="shared" si="13"/>
        <v>28701.137596370369</v>
      </c>
    </row>
    <row r="57" spans="2:13" x14ac:dyDescent="0.2">
      <c r="B57" s="2" t="s">
        <v>418</v>
      </c>
      <c r="C57" s="2" t="s">
        <v>298</v>
      </c>
      <c r="D57" s="2" t="s">
        <v>228</v>
      </c>
      <c r="E57" s="2" t="s">
        <v>664</v>
      </c>
      <c r="F57" s="320">
        <v>18510.68</v>
      </c>
      <c r="G57" s="320">
        <f t="shared" si="7"/>
        <v>4407.3929079999998</v>
      </c>
      <c r="H57" s="320">
        <f t="shared" si="10"/>
        <v>1542.5566666666666</v>
      </c>
      <c r="I57" s="320">
        <f t="shared" si="8"/>
        <v>367.28274233333332</v>
      </c>
      <c r="J57" s="320">
        <f t="shared" si="11"/>
        <v>1542.5566666666666</v>
      </c>
      <c r="K57" s="320">
        <f t="shared" si="9"/>
        <v>367.28274233333332</v>
      </c>
      <c r="L57" s="320">
        <f t="shared" si="12"/>
        <v>1371.1614814814816</v>
      </c>
      <c r="M57" s="323">
        <f t="shared" si="13"/>
        <v>28108.913207481484</v>
      </c>
    </row>
    <row r="58" spans="2:13" x14ac:dyDescent="0.2">
      <c r="B58" s="2" t="s">
        <v>419</v>
      </c>
      <c r="C58" s="2" t="s">
        <v>298</v>
      </c>
      <c r="D58" s="2" t="s">
        <v>229</v>
      </c>
      <c r="E58" s="2" t="s">
        <v>664</v>
      </c>
      <c r="F58" s="320">
        <v>14939.09</v>
      </c>
      <c r="G58" s="320">
        <f t="shared" si="7"/>
        <v>3556.9973290000003</v>
      </c>
      <c r="H58" s="320">
        <f t="shared" si="10"/>
        <v>1244.9241666666667</v>
      </c>
      <c r="I58" s="320">
        <f t="shared" si="8"/>
        <v>296.41644408333332</v>
      </c>
      <c r="J58" s="320">
        <f t="shared" si="11"/>
        <v>1244.9241666666667</v>
      </c>
      <c r="K58" s="320">
        <f t="shared" si="9"/>
        <v>296.41644408333332</v>
      </c>
      <c r="L58" s="320">
        <f t="shared" si="12"/>
        <v>1106.5992592592593</v>
      </c>
      <c r="M58" s="323">
        <f t="shared" si="13"/>
        <v>22685.36780975926</v>
      </c>
    </row>
    <row r="59" spans="2:13" x14ac:dyDescent="0.2">
      <c r="B59" s="2" t="s">
        <v>420</v>
      </c>
      <c r="C59" s="2" t="s">
        <v>298</v>
      </c>
      <c r="D59" s="2" t="s">
        <v>230</v>
      </c>
      <c r="E59" s="2" t="s">
        <v>664</v>
      </c>
      <c r="F59" s="320">
        <v>14939.09</v>
      </c>
      <c r="G59" s="320">
        <f t="shared" si="7"/>
        <v>3556.9973290000003</v>
      </c>
      <c r="H59" s="320">
        <f t="shared" si="10"/>
        <v>1244.9241666666667</v>
      </c>
      <c r="I59" s="320">
        <f t="shared" si="8"/>
        <v>296.41644408333332</v>
      </c>
      <c r="J59" s="320">
        <f t="shared" si="11"/>
        <v>1244.9241666666667</v>
      </c>
      <c r="K59" s="320">
        <f t="shared" si="9"/>
        <v>296.41644408333332</v>
      </c>
      <c r="L59" s="320">
        <f t="shared" si="12"/>
        <v>1106.5992592592593</v>
      </c>
      <c r="M59" s="323">
        <f t="shared" si="13"/>
        <v>22685.36780975926</v>
      </c>
    </row>
    <row r="60" spans="2:13" x14ac:dyDescent="0.2">
      <c r="B60" s="2" t="s">
        <v>421</v>
      </c>
      <c r="C60" s="2" t="s">
        <v>298</v>
      </c>
      <c r="D60" s="2" t="s">
        <v>231</v>
      </c>
      <c r="E60" s="2" t="s">
        <v>664</v>
      </c>
      <c r="F60" s="320">
        <v>14939.09</v>
      </c>
      <c r="G60" s="320">
        <f t="shared" si="7"/>
        <v>3556.9973290000003</v>
      </c>
      <c r="H60" s="320">
        <f t="shared" si="10"/>
        <v>1244.9241666666667</v>
      </c>
      <c r="I60" s="320">
        <f t="shared" si="8"/>
        <v>296.41644408333332</v>
      </c>
      <c r="J60" s="320">
        <f t="shared" si="11"/>
        <v>1244.9241666666667</v>
      </c>
      <c r="K60" s="320">
        <f t="shared" si="9"/>
        <v>296.41644408333332</v>
      </c>
      <c r="L60" s="320">
        <f t="shared" si="12"/>
        <v>1106.5992592592593</v>
      </c>
      <c r="M60" s="323">
        <f t="shared" si="13"/>
        <v>22685.36780975926</v>
      </c>
    </row>
    <row r="61" spans="2:13" x14ac:dyDescent="0.2">
      <c r="B61" s="2" t="s">
        <v>422</v>
      </c>
      <c r="C61" s="2" t="s">
        <v>298</v>
      </c>
      <c r="D61" s="2" t="s">
        <v>232</v>
      </c>
      <c r="E61" s="2" t="s">
        <v>664</v>
      </c>
      <c r="F61" s="320">
        <v>14939.09</v>
      </c>
      <c r="G61" s="320">
        <f t="shared" si="7"/>
        <v>3556.9973290000003</v>
      </c>
      <c r="H61" s="320">
        <f t="shared" si="10"/>
        <v>1244.9241666666667</v>
      </c>
      <c r="I61" s="320">
        <f t="shared" si="8"/>
        <v>296.41644408333332</v>
      </c>
      <c r="J61" s="320">
        <f t="shared" si="11"/>
        <v>1244.9241666666667</v>
      </c>
      <c r="K61" s="320">
        <f t="shared" si="9"/>
        <v>296.41644408333332</v>
      </c>
      <c r="L61" s="320">
        <f t="shared" si="12"/>
        <v>1106.5992592592593</v>
      </c>
      <c r="M61" s="323">
        <f t="shared" si="13"/>
        <v>22685.36780975926</v>
      </c>
    </row>
    <row r="62" spans="2:13" x14ac:dyDescent="0.2">
      <c r="B62" s="2" t="s">
        <v>423</v>
      </c>
      <c r="C62" s="2" t="s">
        <v>298</v>
      </c>
      <c r="D62" s="2" t="s">
        <v>233</v>
      </c>
      <c r="E62" s="2" t="s">
        <v>664</v>
      </c>
      <c r="F62" s="320">
        <v>14939.09</v>
      </c>
      <c r="G62" s="320">
        <f t="shared" si="7"/>
        <v>3556.9973290000003</v>
      </c>
      <c r="H62" s="320">
        <f t="shared" si="10"/>
        <v>1244.9241666666667</v>
      </c>
      <c r="I62" s="320">
        <f t="shared" si="8"/>
        <v>296.41644408333332</v>
      </c>
      <c r="J62" s="320">
        <f t="shared" si="11"/>
        <v>1244.9241666666667</v>
      </c>
      <c r="K62" s="320">
        <f t="shared" si="9"/>
        <v>296.41644408333332</v>
      </c>
      <c r="L62" s="320">
        <f t="shared" si="12"/>
        <v>1106.5992592592593</v>
      </c>
      <c r="M62" s="323">
        <f t="shared" si="13"/>
        <v>22685.36780975926</v>
      </c>
    </row>
    <row r="63" spans="2:13" x14ac:dyDescent="0.2">
      <c r="B63" s="2" t="s">
        <v>424</v>
      </c>
      <c r="C63" s="2" t="s">
        <v>298</v>
      </c>
      <c r="D63" s="2" t="s">
        <v>234</v>
      </c>
      <c r="E63" s="2" t="s">
        <v>664</v>
      </c>
      <c r="F63" s="320">
        <v>14939.09</v>
      </c>
      <c r="G63" s="320">
        <f t="shared" si="7"/>
        <v>3556.9973290000003</v>
      </c>
      <c r="H63" s="320">
        <f t="shared" si="10"/>
        <v>1244.9241666666667</v>
      </c>
      <c r="I63" s="320">
        <f t="shared" si="8"/>
        <v>296.41644408333332</v>
      </c>
      <c r="J63" s="320">
        <f t="shared" si="11"/>
        <v>1244.9241666666667</v>
      </c>
      <c r="K63" s="320">
        <f t="shared" si="9"/>
        <v>296.41644408333332</v>
      </c>
      <c r="L63" s="320">
        <f t="shared" si="12"/>
        <v>1106.5992592592593</v>
      </c>
      <c r="M63" s="323">
        <f t="shared" si="13"/>
        <v>22685.36780975926</v>
      </c>
    </row>
    <row r="64" spans="2:13" x14ac:dyDescent="0.2">
      <c r="B64" s="2" t="s">
        <v>425</v>
      </c>
      <c r="C64" s="2" t="s">
        <v>298</v>
      </c>
      <c r="D64" s="2" t="s">
        <v>235</v>
      </c>
      <c r="E64" s="2" t="s">
        <v>664</v>
      </c>
      <c r="F64" s="320">
        <v>14939.09</v>
      </c>
      <c r="G64" s="320">
        <f t="shared" si="7"/>
        <v>3556.9973290000003</v>
      </c>
      <c r="H64" s="320">
        <f t="shared" si="10"/>
        <v>1244.9241666666667</v>
      </c>
      <c r="I64" s="320">
        <f t="shared" si="8"/>
        <v>296.41644408333332</v>
      </c>
      <c r="J64" s="320">
        <f t="shared" si="11"/>
        <v>1244.9241666666667</v>
      </c>
      <c r="K64" s="320">
        <f t="shared" si="9"/>
        <v>296.41644408333332</v>
      </c>
      <c r="L64" s="320">
        <f t="shared" si="12"/>
        <v>1106.5992592592593</v>
      </c>
      <c r="M64" s="323">
        <f t="shared" si="13"/>
        <v>22685.36780975926</v>
      </c>
    </row>
    <row r="65" spans="2:13" x14ac:dyDescent="0.2">
      <c r="B65" s="2" t="s">
        <v>426</v>
      </c>
      <c r="C65" s="2" t="s">
        <v>298</v>
      </c>
      <c r="D65" s="2" t="s">
        <v>236</v>
      </c>
      <c r="E65" s="2" t="s">
        <v>664</v>
      </c>
      <c r="F65" s="320">
        <v>14939.09</v>
      </c>
      <c r="G65" s="320">
        <f t="shared" si="7"/>
        <v>3556.9973290000003</v>
      </c>
      <c r="H65" s="320">
        <f t="shared" si="10"/>
        <v>1244.9241666666667</v>
      </c>
      <c r="I65" s="320">
        <f t="shared" si="8"/>
        <v>296.41644408333332</v>
      </c>
      <c r="J65" s="320">
        <f t="shared" si="11"/>
        <v>1244.9241666666667</v>
      </c>
      <c r="K65" s="320">
        <f t="shared" si="9"/>
        <v>296.41644408333332</v>
      </c>
      <c r="L65" s="320">
        <f t="shared" si="12"/>
        <v>1106.5992592592593</v>
      </c>
      <c r="M65" s="323">
        <f t="shared" si="13"/>
        <v>22685.36780975926</v>
      </c>
    </row>
    <row r="66" spans="2:13" x14ac:dyDescent="0.2">
      <c r="B66" s="2" t="s">
        <v>427</v>
      </c>
      <c r="C66" s="2" t="s">
        <v>298</v>
      </c>
      <c r="D66" s="2" t="s">
        <v>237</v>
      </c>
      <c r="E66" s="2" t="s">
        <v>664</v>
      </c>
      <c r="F66" s="320">
        <v>14939.09</v>
      </c>
      <c r="G66" s="320">
        <f t="shared" si="7"/>
        <v>3556.9973290000003</v>
      </c>
      <c r="H66" s="320">
        <f t="shared" si="10"/>
        <v>1244.9241666666667</v>
      </c>
      <c r="I66" s="320">
        <f t="shared" si="8"/>
        <v>296.41644408333332</v>
      </c>
      <c r="J66" s="320">
        <f t="shared" si="11"/>
        <v>1244.9241666666667</v>
      </c>
      <c r="K66" s="320">
        <f t="shared" si="9"/>
        <v>296.41644408333332</v>
      </c>
      <c r="L66" s="320">
        <f t="shared" si="12"/>
        <v>1106.5992592592593</v>
      </c>
      <c r="M66" s="323">
        <f t="shared" si="13"/>
        <v>22685.36780975926</v>
      </c>
    </row>
    <row r="67" spans="2:13" x14ac:dyDescent="0.2">
      <c r="B67" s="2" t="s">
        <v>428</v>
      </c>
      <c r="C67" s="2" t="s">
        <v>298</v>
      </c>
      <c r="D67" s="2" t="s">
        <v>238</v>
      </c>
      <c r="E67" s="2" t="s">
        <v>664</v>
      </c>
      <c r="F67" s="320">
        <v>14939.09</v>
      </c>
      <c r="G67" s="320">
        <f t="shared" si="7"/>
        <v>3556.9973290000003</v>
      </c>
      <c r="H67" s="320">
        <f t="shared" ref="H67:H127" si="14">F67/12</f>
        <v>1244.9241666666667</v>
      </c>
      <c r="I67" s="320">
        <f t="shared" si="8"/>
        <v>296.41644408333332</v>
      </c>
      <c r="J67" s="320">
        <f t="shared" ref="J67:J127" si="15">F67/12</f>
        <v>1244.9241666666667</v>
      </c>
      <c r="K67" s="320">
        <f t="shared" si="9"/>
        <v>296.41644408333332</v>
      </c>
      <c r="L67" s="320">
        <f t="shared" ref="L67:L127" si="16">F67/13.5</f>
        <v>1106.5992592592593</v>
      </c>
      <c r="M67" s="323">
        <f t="shared" ref="M67:M127" si="17">SUM(G67:L67)+F67</f>
        <v>22685.36780975926</v>
      </c>
    </row>
    <row r="68" spans="2:13" x14ac:dyDescent="0.2">
      <c r="B68" s="2" t="s">
        <v>429</v>
      </c>
      <c r="C68" s="2" t="s">
        <v>298</v>
      </c>
      <c r="D68" s="2" t="s">
        <v>239</v>
      </c>
      <c r="E68" s="2" t="s">
        <v>664</v>
      </c>
      <c r="F68" s="320">
        <v>14939.09</v>
      </c>
      <c r="G68" s="320">
        <f t="shared" si="7"/>
        <v>3556.9973290000003</v>
      </c>
      <c r="H68" s="320">
        <f t="shared" si="14"/>
        <v>1244.9241666666667</v>
      </c>
      <c r="I68" s="320">
        <f t="shared" si="8"/>
        <v>296.41644408333332</v>
      </c>
      <c r="J68" s="320">
        <f t="shared" si="15"/>
        <v>1244.9241666666667</v>
      </c>
      <c r="K68" s="320">
        <f t="shared" si="9"/>
        <v>296.41644408333332</v>
      </c>
      <c r="L68" s="320">
        <f t="shared" si="16"/>
        <v>1106.5992592592593</v>
      </c>
      <c r="M68" s="323">
        <f t="shared" si="17"/>
        <v>22685.36780975926</v>
      </c>
    </row>
    <row r="69" spans="2:13" x14ac:dyDescent="0.2">
      <c r="B69" s="2" t="s">
        <v>430</v>
      </c>
      <c r="C69" s="2" t="s">
        <v>298</v>
      </c>
      <c r="D69" s="2" t="s">
        <v>240</v>
      </c>
      <c r="E69" s="2" t="s">
        <v>664</v>
      </c>
      <c r="F69" s="320">
        <v>14939.09</v>
      </c>
      <c r="G69" s="320">
        <f t="shared" si="7"/>
        <v>3556.9973290000003</v>
      </c>
      <c r="H69" s="320">
        <f t="shared" si="14"/>
        <v>1244.9241666666667</v>
      </c>
      <c r="I69" s="320">
        <f t="shared" si="8"/>
        <v>296.41644408333332</v>
      </c>
      <c r="J69" s="320">
        <f t="shared" si="15"/>
        <v>1244.9241666666667</v>
      </c>
      <c r="K69" s="320">
        <f t="shared" si="9"/>
        <v>296.41644408333332</v>
      </c>
      <c r="L69" s="320">
        <f t="shared" si="16"/>
        <v>1106.5992592592593</v>
      </c>
      <c r="M69" s="323">
        <f t="shared" si="17"/>
        <v>22685.36780975926</v>
      </c>
    </row>
    <row r="70" spans="2:13" x14ac:dyDescent="0.2">
      <c r="B70" s="2" t="s">
        <v>431</v>
      </c>
      <c r="C70" s="2" t="s">
        <v>298</v>
      </c>
      <c r="D70" s="2" t="s">
        <v>241</v>
      </c>
      <c r="E70" s="2" t="s">
        <v>664</v>
      </c>
      <c r="F70" s="320">
        <v>14939.09</v>
      </c>
      <c r="G70" s="320">
        <f t="shared" si="7"/>
        <v>3556.9973290000003</v>
      </c>
      <c r="H70" s="320">
        <f t="shared" si="14"/>
        <v>1244.9241666666667</v>
      </c>
      <c r="I70" s="320">
        <f t="shared" si="8"/>
        <v>296.41644408333332</v>
      </c>
      <c r="J70" s="320">
        <f t="shared" si="15"/>
        <v>1244.9241666666667</v>
      </c>
      <c r="K70" s="320">
        <f t="shared" si="9"/>
        <v>296.41644408333332</v>
      </c>
      <c r="L70" s="320">
        <f t="shared" si="16"/>
        <v>1106.5992592592593</v>
      </c>
      <c r="M70" s="323">
        <f t="shared" si="17"/>
        <v>22685.36780975926</v>
      </c>
    </row>
    <row r="71" spans="2:13" x14ac:dyDescent="0.2">
      <c r="B71" s="2" t="s">
        <v>432</v>
      </c>
      <c r="C71" s="2" t="s">
        <v>298</v>
      </c>
      <c r="D71" s="2" t="s">
        <v>242</v>
      </c>
      <c r="E71" s="2" t="s">
        <v>664</v>
      </c>
      <c r="F71" s="320">
        <v>14939.09</v>
      </c>
      <c r="G71" s="320">
        <f t="shared" si="7"/>
        <v>3556.9973290000003</v>
      </c>
      <c r="H71" s="320">
        <f t="shared" si="14"/>
        <v>1244.9241666666667</v>
      </c>
      <c r="I71" s="320">
        <f t="shared" si="8"/>
        <v>296.41644408333332</v>
      </c>
      <c r="J71" s="320">
        <f t="shared" si="15"/>
        <v>1244.9241666666667</v>
      </c>
      <c r="K71" s="320">
        <f t="shared" si="9"/>
        <v>296.41644408333332</v>
      </c>
      <c r="L71" s="320">
        <f t="shared" si="16"/>
        <v>1106.5992592592593</v>
      </c>
      <c r="M71" s="323">
        <f t="shared" si="17"/>
        <v>22685.36780975926</v>
      </c>
    </row>
    <row r="72" spans="2:13" x14ac:dyDescent="0.2">
      <c r="B72" s="2" t="s">
        <v>433</v>
      </c>
      <c r="C72" s="2" t="s">
        <v>298</v>
      </c>
      <c r="D72" s="2" t="s">
        <v>243</v>
      </c>
      <c r="E72" s="2" t="s">
        <v>664</v>
      </c>
      <c r="F72" s="320">
        <v>14939.09</v>
      </c>
      <c r="G72" s="320">
        <f t="shared" si="7"/>
        <v>3556.9973290000003</v>
      </c>
      <c r="H72" s="320">
        <f t="shared" si="14"/>
        <v>1244.9241666666667</v>
      </c>
      <c r="I72" s="320">
        <f t="shared" si="8"/>
        <v>296.41644408333332</v>
      </c>
      <c r="J72" s="320">
        <f t="shared" si="15"/>
        <v>1244.9241666666667</v>
      </c>
      <c r="K72" s="320">
        <f t="shared" si="9"/>
        <v>296.41644408333332</v>
      </c>
      <c r="L72" s="320">
        <f t="shared" si="16"/>
        <v>1106.5992592592593</v>
      </c>
      <c r="M72" s="323">
        <f t="shared" si="17"/>
        <v>22685.36780975926</v>
      </c>
    </row>
    <row r="73" spans="2:13" x14ac:dyDescent="0.2">
      <c r="B73" s="2" t="s">
        <v>434</v>
      </c>
      <c r="C73" s="2" t="s">
        <v>298</v>
      </c>
      <c r="D73" s="2" t="s">
        <v>244</v>
      </c>
      <c r="E73" s="2" t="s">
        <v>664</v>
      </c>
      <c r="F73" s="320">
        <v>14939.09</v>
      </c>
      <c r="G73" s="320">
        <f t="shared" si="7"/>
        <v>3556.9973290000003</v>
      </c>
      <c r="H73" s="320">
        <f t="shared" si="14"/>
        <v>1244.9241666666667</v>
      </c>
      <c r="I73" s="320">
        <f t="shared" si="8"/>
        <v>296.41644408333332</v>
      </c>
      <c r="J73" s="320">
        <f t="shared" si="15"/>
        <v>1244.9241666666667</v>
      </c>
      <c r="K73" s="320">
        <f t="shared" si="9"/>
        <v>296.41644408333332</v>
      </c>
      <c r="L73" s="320">
        <f t="shared" si="16"/>
        <v>1106.5992592592593</v>
      </c>
      <c r="M73" s="323">
        <f t="shared" si="17"/>
        <v>22685.36780975926</v>
      </c>
    </row>
    <row r="74" spans="2:13" x14ac:dyDescent="0.2">
      <c r="B74" s="2" t="s">
        <v>435</v>
      </c>
      <c r="C74" s="2" t="s">
        <v>298</v>
      </c>
      <c r="D74" s="2" t="s">
        <v>245</v>
      </c>
      <c r="E74" s="2" t="s">
        <v>664</v>
      </c>
      <c r="F74" s="320">
        <v>14939.09</v>
      </c>
      <c r="G74" s="320">
        <f t="shared" ref="G74:G105" si="18">F74*$E$4</f>
        <v>3556.9973290000003</v>
      </c>
      <c r="H74" s="320">
        <f t="shared" si="14"/>
        <v>1244.9241666666667</v>
      </c>
      <c r="I74" s="320">
        <f t="shared" ref="I74:I105" si="19">H74*$E$4</f>
        <v>296.41644408333332</v>
      </c>
      <c r="J74" s="320">
        <f t="shared" si="15"/>
        <v>1244.9241666666667</v>
      </c>
      <c r="K74" s="320">
        <f t="shared" ref="K74:K105" si="20">J74*$E$4</f>
        <v>296.41644408333332</v>
      </c>
      <c r="L74" s="320">
        <f t="shared" si="16"/>
        <v>1106.5992592592593</v>
      </c>
      <c r="M74" s="323">
        <f t="shared" si="17"/>
        <v>22685.36780975926</v>
      </c>
    </row>
    <row r="75" spans="2:13" x14ac:dyDescent="0.2">
      <c r="B75" s="2" t="s">
        <v>436</v>
      </c>
      <c r="C75" s="2" t="s">
        <v>298</v>
      </c>
      <c r="D75" s="2" t="s">
        <v>246</v>
      </c>
      <c r="E75" s="2" t="s">
        <v>664</v>
      </c>
      <c r="F75" s="320">
        <v>14939.09</v>
      </c>
      <c r="G75" s="320">
        <f t="shared" si="18"/>
        <v>3556.9973290000003</v>
      </c>
      <c r="H75" s="320">
        <f t="shared" si="14"/>
        <v>1244.9241666666667</v>
      </c>
      <c r="I75" s="320">
        <f t="shared" si="19"/>
        <v>296.41644408333332</v>
      </c>
      <c r="J75" s="320">
        <f t="shared" si="15"/>
        <v>1244.9241666666667</v>
      </c>
      <c r="K75" s="320">
        <f t="shared" si="20"/>
        <v>296.41644408333332</v>
      </c>
      <c r="L75" s="320">
        <f t="shared" si="16"/>
        <v>1106.5992592592593</v>
      </c>
      <c r="M75" s="323">
        <f t="shared" si="17"/>
        <v>22685.36780975926</v>
      </c>
    </row>
    <row r="76" spans="2:13" x14ac:dyDescent="0.2">
      <c r="B76" s="2" t="s">
        <v>437</v>
      </c>
      <c r="C76" s="2" t="s">
        <v>298</v>
      </c>
      <c r="D76" s="2" t="s">
        <v>247</v>
      </c>
      <c r="E76" s="2" t="s">
        <v>664</v>
      </c>
      <c r="F76" s="320">
        <v>14939.09</v>
      </c>
      <c r="G76" s="320">
        <f t="shared" si="18"/>
        <v>3556.9973290000003</v>
      </c>
      <c r="H76" s="320">
        <f t="shared" si="14"/>
        <v>1244.9241666666667</v>
      </c>
      <c r="I76" s="320">
        <f t="shared" si="19"/>
        <v>296.41644408333332</v>
      </c>
      <c r="J76" s="320">
        <f t="shared" si="15"/>
        <v>1244.9241666666667</v>
      </c>
      <c r="K76" s="320">
        <f t="shared" si="20"/>
        <v>296.41644408333332</v>
      </c>
      <c r="L76" s="320">
        <f t="shared" si="16"/>
        <v>1106.5992592592593</v>
      </c>
      <c r="M76" s="323">
        <f t="shared" si="17"/>
        <v>22685.36780975926</v>
      </c>
    </row>
    <row r="77" spans="2:13" x14ac:dyDescent="0.2">
      <c r="B77" s="2" t="s">
        <v>438</v>
      </c>
      <c r="C77" s="2" t="s">
        <v>298</v>
      </c>
      <c r="D77" s="2" t="s">
        <v>248</v>
      </c>
      <c r="E77" s="2" t="s">
        <v>664</v>
      </c>
      <c r="F77" s="320">
        <v>14939.09</v>
      </c>
      <c r="G77" s="320">
        <f t="shared" si="18"/>
        <v>3556.9973290000003</v>
      </c>
      <c r="H77" s="320">
        <f t="shared" si="14"/>
        <v>1244.9241666666667</v>
      </c>
      <c r="I77" s="320">
        <f t="shared" si="19"/>
        <v>296.41644408333332</v>
      </c>
      <c r="J77" s="320">
        <f t="shared" si="15"/>
        <v>1244.9241666666667</v>
      </c>
      <c r="K77" s="320">
        <f t="shared" si="20"/>
        <v>296.41644408333332</v>
      </c>
      <c r="L77" s="320">
        <f t="shared" si="16"/>
        <v>1106.5992592592593</v>
      </c>
      <c r="M77" s="323">
        <f t="shared" si="17"/>
        <v>22685.36780975926</v>
      </c>
    </row>
    <row r="78" spans="2:13" x14ac:dyDescent="0.2">
      <c r="B78" s="2" t="s">
        <v>439</v>
      </c>
      <c r="C78" s="2" t="s">
        <v>298</v>
      </c>
      <c r="D78" s="2" t="s">
        <v>249</v>
      </c>
      <c r="E78" s="2" t="s">
        <v>664</v>
      </c>
      <c r="F78" s="320">
        <v>14939.09</v>
      </c>
      <c r="G78" s="320">
        <f t="shared" si="18"/>
        <v>3556.9973290000003</v>
      </c>
      <c r="H78" s="320">
        <f t="shared" si="14"/>
        <v>1244.9241666666667</v>
      </c>
      <c r="I78" s="320">
        <f t="shared" si="19"/>
        <v>296.41644408333332</v>
      </c>
      <c r="J78" s="320">
        <f t="shared" si="15"/>
        <v>1244.9241666666667</v>
      </c>
      <c r="K78" s="320">
        <f t="shared" si="20"/>
        <v>296.41644408333332</v>
      </c>
      <c r="L78" s="320">
        <f t="shared" si="16"/>
        <v>1106.5992592592593</v>
      </c>
      <c r="M78" s="323">
        <f t="shared" si="17"/>
        <v>22685.36780975926</v>
      </c>
    </row>
    <row r="79" spans="2:13" x14ac:dyDescent="0.2">
      <c r="B79" s="2" t="s">
        <v>440</v>
      </c>
      <c r="C79" s="2" t="s">
        <v>298</v>
      </c>
      <c r="D79" s="2" t="s">
        <v>250</v>
      </c>
      <c r="E79" s="2" t="s">
        <v>664</v>
      </c>
      <c r="F79" s="320">
        <v>14939.09</v>
      </c>
      <c r="G79" s="320">
        <f t="shared" si="18"/>
        <v>3556.9973290000003</v>
      </c>
      <c r="H79" s="320">
        <f t="shared" si="14"/>
        <v>1244.9241666666667</v>
      </c>
      <c r="I79" s="320">
        <f t="shared" si="19"/>
        <v>296.41644408333332</v>
      </c>
      <c r="J79" s="320">
        <f t="shared" si="15"/>
        <v>1244.9241666666667</v>
      </c>
      <c r="K79" s="320">
        <f t="shared" si="20"/>
        <v>296.41644408333332</v>
      </c>
      <c r="L79" s="320">
        <f t="shared" si="16"/>
        <v>1106.5992592592593</v>
      </c>
      <c r="M79" s="323">
        <f t="shared" si="17"/>
        <v>22685.36780975926</v>
      </c>
    </row>
    <row r="80" spans="2:13" x14ac:dyDescent="0.2">
      <c r="B80" s="2" t="s">
        <v>441</v>
      </c>
      <c r="C80" s="2" t="s">
        <v>298</v>
      </c>
      <c r="D80" s="2" t="s">
        <v>251</v>
      </c>
      <c r="E80" s="2" t="s">
        <v>664</v>
      </c>
      <c r="F80" s="320">
        <v>14939.09</v>
      </c>
      <c r="G80" s="320">
        <f t="shared" si="18"/>
        <v>3556.9973290000003</v>
      </c>
      <c r="H80" s="320">
        <f t="shared" si="14"/>
        <v>1244.9241666666667</v>
      </c>
      <c r="I80" s="320">
        <f t="shared" si="19"/>
        <v>296.41644408333332</v>
      </c>
      <c r="J80" s="320">
        <f t="shared" si="15"/>
        <v>1244.9241666666667</v>
      </c>
      <c r="K80" s="320">
        <f t="shared" si="20"/>
        <v>296.41644408333332</v>
      </c>
      <c r="L80" s="320">
        <f t="shared" si="16"/>
        <v>1106.5992592592593</v>
      </c>
      <c r="M80" s="323">
        <f t="shared" si="17"/>
        <v>22685.36780975926</v>
      </c>
    </row>
    <row r="81" spans="2:13" x14ac:dyDescent="0.2">
      <c r="B81" s="2" t="s">
        <v>442</v>
      </c>
      <c r="C81" s="2" t="s">
        <v>298</v>
      </c>
      <c r="D81" s="2" t="s">
        <v>252</v>
      </c>
      <c r="E81" s="2" t="s">
        <v>664</v>
      </c>
      <c r="F81" s="320">
        <v>14939.09</v>
      </c>
      <c r="G81" s="320">
        <f t="shared" si="18"/>
        <v>3556.9973290000003</v>
      </c>
      <c r="H81" s="320">
        <f t="shared" si="14"/>
        <v>1244.9241666666667</v>
      </c>
      <c r="I81" s="320">
        <f t="shared" si="19"/>
        <v>296.41644408333332</v>
      </c>
      <c r="J81" s="320">
        <f t="shared" si="15"/>
        <v>1244.9241666666667</v>
      </c>
      <c r="K81" s="320">
        <f t="shared" si="20"/>
        <v>296.41644408333332</v>
      </c>
      <c r="L81" s="320">
        <f t="shared" si="16"/>
        <v>1106.5992592592593</v>
      </c>
      <c r="M81" s="323">
        <f t="shared" si="17"/>
        <v>22685.36780975926</v>
      </c>
    </row>
    <row r="82" spans="2:13" x14ac:dyDescent="0.2">
      <c r="B82" s="2" t="s">
        <v>443</v>
      </c>
      <c r="C82" s="2" t="s">
        <v>298</v>
      </c>
      <c r="D82" s="2" t="s">
        <v>253</v>
      </c>
      <c r="E82" s="2" t="s">
        <v>664</v>
      </c>
      <c r="F82" s="320">
        <v>14939.09</v>
      </c>
      <c r="G82" s="320">
        <f t="shared" si="18"/>
        <v>3556.9973290000003</v>
      </c>
      <c r="H82" s="320">
        <f t="shared" si="14"/>
        <v>1244.9241666666667</v>
      </c>
      <c r="I82" s="320">
        <f t="shared" si="19"/>
        <v>296.41644408333332</v>
      </c>
      <c r="J82" s="320">
        <f t="shared" si="15"/>
        <v>1244.9241666666667</v>
      </c>
      <c r="K82" s="320">
        <f t="shared" si="20"/>
        <v>296.41644408333332</v>
      </c>
      <c r="L82" s="320">
        <f t="shared" si="16"/>
        <v>1106.5992592592593</v>
      </c>
      <c r="M82" s="323">
        <f t="shared" si="17"/>
        <v>22685.36780975926</v>
      </c>
    </row>
    <row r="83" spans="2:13" x14ac:dyDescent="0.2">
      <c r="B83" s="2" t="s">
        <v>444</v>
      </c>
      <c r="C83" s="2" t="s">
        <v>298</v>
      </c>
      <c r="D83" s="2" t="s">
        <v>254</v>
      </c>
      <c r="E83" s="2" t="s">
        <v>664</v>
      </c>
      <c r="F83" s="320">
        <v>14939.09</v>
      </c>
      <c r="G83" s="320">
        <f t="shared" si="18"/>
        <v>3556.9973290000003</v>
      </c>
      <c r="H83" s="320">
        <f t="shared" si="14"/>
        <v>1244.9241666666667</v>
      </c>
      <c r="I83" s="320">
        <f t="shared" si="19"/>
        <v>296.41644408333332</v>
      </c>
      <c r="J83" s="320">
        <f t="shared" si="15"/>
        <v>1244.9241666666667</v>
      </c>
      <c r="K83" s="320">
        <f t="shared" si="20"/>
        <v>296.41644408333332</v>
      </c>
      <c r="L83" s="320">
        <f t="shared" si="16"/>
        <v>1106.5992592592593</v>
      </c>
      <c r="M83" s="323">
        <f t="shared" si="17"/>
        <v>22685.36780975926</v>
      </c>
    </row>
    <row r="84" spans="2:13" x14ac:dyDescent="0.2">
      <c r="B84" s="2" t="s">
        <v>445</v>
      </c>
      <c r="C84" s="2" t="s">
        <v>298</v>
      </c>
      <c r="D84" s="2" t="s">
        <v>255</v>
      </c>
      <c r="E84" s="2" t="s">
        <v>664</v>
      </c>
      <c r="F84" s="320">
        <v>14939.09</v>
      </c>
      <c r="G84" s="320">
        <f t="shared" si="18"/>
        <v>3556.9973290000003</v>
      </c>
      <c r="H84" s="320">
        <f t="shared" si="14"/>
        <v>1244.9241666666667</v>
      </c>
      <c r="I84" s="320">
        <f t="shared" si="19"/>
        <v>296.41644408333332</v>
      </c>
      <c r="J84" s="320">
        <f t="shared" si="15"/>
        <v>1244.9241666666667</v>
      </c>
      <c r="K84" s="320">
        <f t="shared" si="20"/>
        <v>296.41644408333332</v>
      </c>
      <c r="L84" s="320">
        <f t="shared" si="16"/>
        <v>1106.5992592592593</v>
      </c>
      <c r="M84" s="323">
        <f t="shared" si="17"/>
        <v>22685.36780975926</v>
      </c>
    </row>
    <row r="85" spans="2:13" x14ac:dyDescent="0.2">
      <c r="B85" s="2" t="s">
        <v>446</v>
      </c>
      <c r="C85" s="2" t="s">
        <v>298</v>
      </c>
      <c r="D85" s="2" t="s">
        <v>256</v>
      </c>
      <c r="E85" s="2" t="s">
        <v>664</v>
      </c>
      <c r="F85" s="320">
        <v>14939.09</v>
      </c>
      <c r="G85" s="320">
        <f t="shared" si="18"/>
        <v>3556.9973290000003</v>
      </c>
      <c r="H85" s="320">
        <f t="shared" si="14"/>
        <v>1244.9241666666667</v>
      </c>
      <c r="I85" s="320">
        <f t="shared" si="19"/>
        <v>296.41644408333332</v>
      </c>
      <c r="J85" s="320">
        <f t="shared" si="15"/>
        <v>1244.9241666666667</v>
      </c>
      <c r="K85" s="320">
        <f t="shared" si="20"/>
        <v>296.41644408333332</v>
      </c>
      <c r="L85" s="320">
        <f t="shared" si="16"/>
        <v>1106.5992592592593</v>
      </c>
      <c r="M85" s="323">
        <f t="shared" si="17"/>
        <v>22685.36780975926</v>
      </c>
    </row>
    <row r="86" spans="2:13" x14ac:dyDescent="0.2">
      <c r="B86" s="2" t="s">
        <v>447</v>
      </c>
      <c r="C86" s="2" t="s">
        <v>298</v>
      </c>
      <c r="D86" s="2" t="s">
        <v>257</v>
      </c>
      <c r="E86" s="2" t="s">
        <v>664</v>
      </c>
      <c r="F86" s="320">
        <v>14939.09</v>
      </c>
      <c r="G86" s="320">
        <f t="shared" si="18"/>
        <v>3556.9973290000003</v>
      </c>
      <c r="H86" s="320">
        <f t="shared" si="14"/>
        <v>1244.9241666666667</v>
      </c>
      <c r="I86" s="320">
        <f t="shared" si="19"/>
        <v>296.41644408333332</v>
      </c>
      <c r="J86" s="320">
        <f t="shared" si="15"/>
        <v>1244.9241666666667</v>
      </c>
      <c r="K86" s="320">
        <f t="shared" si="20"/>
        <v>296.41644408333332</v>
      </c>
      <c r="L86" s="320">
        <f t="shared" si="16"/>
        <v>1106.5992592592593</v>
      </c>
      <c r="M86" s="323">
        <f t="shared" si="17"/>
        <v>22685.36780975926</v>
      </c>
    </row>
    <row r="87" spans="2:13" x14ac:dyDescent="0.2">
      <c r="B87" s="2" t="s">
        <v>448</v>
      </c>
      <c r="C87" s="2" t="s">
        <v>298</v>
      </c>
      <c r="D87" s="2" t="s">
        <v>258</v>
      </c>
      <c r="E87" s="2" t="s">
        <v>664</v>
      </c>
      <c r="F87" s="320">
        <v>14939.09</v>
      </c>
      <c r="G87" s="320">
        <f t="shared" si="18"/>
        <v>3556.9973290000003</v>
      </c>
      <c r="H87" s="320">
        <f t="shared" si="14"/>
        <v>1244.9241666666667</v>
      </c>
      <c r="I87" s="320">
        <f t="shared" si="19"/>
        <v>296.41644408333332</v>
      </c>
      <c r="J87" s="320">
        <f t="shared" si="15"/>
        <v>1244.9241666666667</v>
      </c>
      <c r="K87" s="320">
        <f t="shared" si="20"/>
        <v>296.41644408333332</v>
      </c>
      <c r="L87" s="320">
        <f t="shared" si="16"/>
        <v>1106.5992592592593</v>
      </c>
      <c r="M87" s="323">
        <f t="shared" si="17"/>
        <v>22685.36780975926</v>
      </c>
    </row>
    <row r="88" spans="2:13" x14ac:dyDescent="0.2">
      <c r="B88" s="2" t="s">
        <v>449</v>
      </c>
      <c r="C88" s="2" t="s">
        <v>298</v>
      </c>
      <c r="D88" s="2" t="s">
        <v>259</v>
      </c>
      <c r="E88" s="2" t="s">
        <v>664</v>
      </c>
      <c r="F88" s="320">
        <v>14939.09</v>
      </c>
      <c r="G88" s="320">
        <f t="shared" si="18"/>
        <v>3556.9973290000003</v>
      </c>
      <c r="H88" s="320">
        <f t="shared" si="14"/>
        <v>1244.9241666666667</v>
      </c>
      <c r="I88" s="320">
        <f t="shared" si="19"/>
        <v>296.41644408333332</v>
      </c>
      <c r="J88" s="320">
        <f t="shared" si="15"/>
        <v>1244.9241666666667</v>
      </c>
      <c r="K88" s="320">
        <f t="shared" si="20"/>
        <v>296.41644408333332</v>
      </c>
      <c r="L88" s="320">
        <f t="shared" si="16"/>
        <v>1106.5992592592593</v>
      </c>
      <c r="M88" s="323">
        <f t="shared" si="17"/>
        <v>22685.36780975926</v>
      </c>
    </row>
    <row r="89" spans="2:13" x14ac:dyDescent="0.2">
      <c r="B89" s="2" t="s">
        <v>450</v>
      </c>
      <c r="C89" s="2" t="s">
        <v>298</v>
      </c>
      <c r="D89" s="2" t="s">
        <v>260</v>
      </c>
      <c r="E89" s="2" t="s">
        <v>664</v>
      </c>
      <c r="F89" s="320">
        <v>14939.09</v>
      </c>
      <c r="G89" s="320">
        <f t="shared" si="18"/>
        <v>3556.9973290000003</v>
      </c>
      <c r="H89" s="320">
        <f t="shared" si="14"/>
        <v>1244.9241666666667</v>
      </c>
      <c r="I89" s="320">
        <f t="shared" si="19"/>
        <v>296.41644408333332</v>
      </c>
      <c r="J89" s="320">
        <f t="shared" si="15"/>
        <v>1244.9241666666667</v>
      </c>
      <c r="K89" s="320">
        <f t="shared" si="20"/>
        <v>296.41644408333332</v>
      </c>
      <c r="L89" s="320">
        <f t="shared" si="16"/>
        <v>1106.5992592592593</v>
      </c>
      <c r="M89" s="323">
        <f t="shared" si="17"/>
        <v>22685.36780975926</v>
      </c>
    </row>
    <row r="90" spans="2:13" x14ac:dyDescent="0.2">
      <c r="B90" s="2" t="s">
        <v>451</v>
      </c>
      <c r="C90" s="2" t="s">
        <v>298</v>
      </c>
      <c r="D90" s="2" t="s">
        <v>261</v>
      </c>
      <c r="E90" s="2" t="s">
        <v>664</v>
      </c>
      <c r="F90" s="320">
        <v>14939.09</v>
      </c>
      <c r="G90" s="320">
        <f t="shared" si="18"/>
        <v>3556.9973290000003</v>
      </c>
      <c r="H90" s="320">
        <f t="shared" si="14"/>
        <v>1244.9241666666667</v>
      </c>
      <c r="I90" s="320">
        <f t="shared" si="19"/>
        <v>296.41644408333332</v>
      </c>
      <c r="J90" s="320">
        <f t="shared" si="15"/>
        <v>1244.9241666666667</v>
      </c>
      <c r="K90" s="320">
        <f t="shared" si="20"/>
        <v>296.41644408333332</v>
      </c>
      <c r="L90" s="320">
        <f t="shared" si="16"/>
        <v>1106.5992592592593</v>
      </c>
      <c r="M90" s="323">
        <f t="shared" si="17"/>
        <v>22685.36780975926</v>
      </c>
    </row>
    <row r="91" spans="2:13" x14ac:dyDescent="0.2">
      <c r="B91" s="2" t="s">
        <v>452</v>
      </c>
      <c r="C91" s="2" t="s">
        <v>298</v>
      </c>
      <c r="D91" s="2" t="s">
        <v>262</v>
      </c>
      <c r="E91" s="2" t="s">
        <v>664</v>
      </c>
      <c r="F91" s="320">
        <v>14939.09</v>
      </c>
      <c r="G91" s="320">
        <f t="shared" si="18"/>
        <v>3556.9973290000003</v>
      </c>
      <c r="H91" s="320">
        <f t="shared" si="14"/>
        <v>1244.9241666666667</v>
      </c>
      <c r="I91" s="320">
        <f t="shared" si="19"/>
        <v>296.41644408333332</v>
      </c>
      <c r="J91" s="320">
        <f t="shared" si="15"/>
        <v>1244.9241666666667</v>
      </c>
      <c r="K91" s="320">
        <f t="shared" si="20"/>
        <v>296.41644408333332</v>
      </c>
      <c r="L91" s="320">
        <f t="shared" si="16"/>
        <v>1106.5992592592593</v>
      </c>
      <c r="M91" s="323">
        <f t="shared" si="17"/>
        <v>22685.36780975926</v>
      </c>
    </row>
    <row r="92" spans="2:13" x14ac:dyDescent="0.2">
      <c r="B92" s="2" t="s">
        <v>453</v>
      </c>
      <c r="C92" s="2" t="s">
        <v>298</v>
      </c>
      <c r="D92" s="2" t="s">
        <v>263</v>
      </c>
      <c r="E92" s="2" t="s">
        <v>664</v>
      </c>
      <c r="F92" s="320">
        <v>14939.09</v>
      </c>
      <c r="G92" s="320">
        <f t="shared" si="18"/>
        <v>3556.9973290000003</v>
      </c>
      <c r="H92" s="320">
        <f t="shared" si="14"/>
        <v>1244.9241666666667</v>
      </c>
      <c r="I92" s="320">
        <f t="shared" si="19"/>
        <v>296.41644408333332</v>
      </c>
      <c r="J92" s="320">
        <f t="shared" si="15"/>
        <v>1244.9241666666667</v>
      </c>
      <c r="K92" s="320">
        <f t="shared" si="20"/>
        <v>296.41644408333332</v>
      </c>
      <c r="L92" s="320">
        <f t="shared" si="16"/>
        <v>1106.5992592592593</v>
      </c>
      <c r="M92" s="323">
        <f t="shared" si="17"/>
        <v>22685.36780975926</v>
      </c>
    </row>
    <row r="93" spans="2:13" x14ac:dyDescent="0.2">
      <c r="B93" s="2" t="s">
        <v>454</v>
      </c>
      <c r="C93" s="2" t="s">
        <v>298</v>
      </c>
      <c r="D93" s="2" t="s">
        <v>264</v>
      </c>
      <c r="E93" s="2" t="s">
        <v>664</v>
      </c>
      <c r="F93" s="320">
        <v>14939.09</v>
      </c>
      <c r="G93" s="320">
        <f t="shared" si="18"/>
        <v>3556.9973290000003</v>
      </c>
      <c r="H93" s="320">
        <f t="shared" si="14"/>
        <v>1244.9241666666667</v>
      </c>
      <c r="I93" s="320">
        <f t="shared" si="19"/>
        <v>296.41644408333332</v>
      </c>
      <c r="J93" s="320">
        <f t="shared" si="15"/>
        <v>1244.9241666666667</v>
      </c>
      <c r="K93" s="320">
        <f t="shared" si="20"/>
        <v>296.41644408333332</v>
      </c>
      <c r="L93" s="320">
        <f t="shared" si="16"/>
        <v>1106.5992592592593</v>
      </c>
      <c r="M93" s="323">
        <f t="shared" si="17"/>
        <v>22685.36780975926</v>
      </c>
    </row>
    <row r="94" spans="2:13" x14ac:dyDescent="0.2">
      <c r="B94" s="2" t="s">
        <v>455</v>
      </c>
      <c r="C94" s="2" t="s">
        <v>298</v>
      </c>
      <c r="D94" s="2" t="s">
        <v>265</v>
      </c>
      <c r="E94" s="2" t="s">
        <v>664</v>
      </c>
      <c r="F94" s="320">
        <v>14939.09</v>
      </c>
      <c r="G94" s="320">
        <f t="shared" si="18"/>
        <v>3556.9973290000003</v>
      </c>
      <c r="H94" s="320">
        <f t="shared" si="14"/>
        <v>1244.9241666666667</v>
      </c>
      <c r="I94" s="320">
        <f t="shared" si="19"/>
        <v>296.41644408333332</v>
      </c>
      <c r="J94" s="320">
        <f t="shared" si="15"/>
        <v>1244.9241666666667</v>
      </c>
      <c r="K94" s="320">
        <f t="shared" si="20"/>
        <v>296.41644408333332</v>
      </c>
      <c r="L94" s="320">
        <f t="shared" si="16"/>
        <v>1106.5992592592593</v>
      </c>
      <c r="M94" s="323">
        <f t="shared" si="17"/>
        <v>22685.36780975926</v>
      </c>
    </row>
    <row r="95" spans="2:13" x14ac:dyDescent="0.2">
      <c r="B95" s="2" t="s">
        <v>456</v>
      </c>
      <c r="C95" s="2" t="s">
        <v>298</v>
      </c>
      <c r="D95" s="2" t="s">
        <v>266</v>
      </c>
      <c r="E95" s="2" t="s">
        <v>664</v>
      </c>
      <c r="F95" s="320">
        <v>14939.09</v>
      </c>
      <c r="G95" s="320">
        <f t="shared" si="18"/>
        <v>3556.9973290000003</v>
      </c>
      <c r="H95" s="320">
        <f t="shared" si="14"/>
        <v>1244.9241666666667</v>
      </c>
      <c r="I95" s="320">
        <f t="shared" si="19"/>
        <v>296.41644408333332</v>
      </c>
      <c r="J95" s="320">
        <f t="shared" si="15"/>
        <v>1244.9241666666667</v>
      </c>
      <c r="K95" s="320">
        <f t="shared" si="20"/>
        <v>296.41644408333332</v>
      </c>
      <c r="L95" s="320">
        <f t="shared" si="16"/>
        <v>1106.5992592592593</v>
      </c>
      <c r="M95" s="323">
        <f t="shared" si="17"/>
        <v>22685.36780975926</v>
      </c>
    </row>
    <row r="96" spans="2:13" x14ac:dyDescent="0.2">
      <c r="B96" s="2" t="s">
        <v>457</v>
      </c>
      <c r="C96" s="2" t="s">
        <v>298</v>
      </c>
      <c r="D96" s="2" t="s">
        <v>267</v>
      </c>
      <c r="E96" s="2" t="s">
        <v>664</v>
      </c>
      <c r="F96" s="320">
        <v>14939.09</v>
      </c>
      <c r="G96" s="320">
        <f t="shared" si="18"/>
        <v>3556.9973290000003</v>
      </c>
      <c r="H96" s="320">
        <f t="shared" si="14"/>
        <v>1244.9241666666667</v>
      </c>
      <c r="I96" s="320">
        <f t="shared" si="19"/>
        <v>296.41644408333332</v>
      </c>
      <c r="J96" s="320">
        <f t="shared" si="15"/>
        <v>1244.9241666666667</v>
      </c>
      <c r="K96" s="320">
        <f t="shared" si="20"/>
        <v>296.41644408333332</v>
      </c>
      <c r="L96" s="320">
        <f t="shared" si="16"/>
        <v>1106.5992592592593</v>
      </c>
      <c r="M96" s="323">
        <f t="shared" si="17"/>
        <v>22685.36780975926</v>
      </c>
    </row>
    <row r="97" spans="2:13" x14ac:dyDescent="0.2">
      <c r="B97" s="2" t="s">
        <v>458</v>
      </c>
      <c r="C97" s="2" t="s">
        <v>298</v>
      </c>
      <c r="D97" s="2" t="s">
        <v>268</v>
      </c>
      <c r="E97" s="2" t="s">
        <v>664</v>
      </c>
      <c r="F97" s="320">
        <v>14939.09</v>
      </c>
      <c r="G97" s="320">
        <f t="shared" si="18"/>
        <v>3556.9973290000003</v>
      </c>
      <c r="H97" s="320">
        <f t="shared" si="14"/>
        <v>1244.9241666666667</v>
      </c>
      <c r="I97" s="320">
        <f t="shared" si="19"/>
        <v>296.41644408333332</v>
      </c>
      <c r="J97" s="320">
        <f t="shared" si="15"/>
        <v>1244.9241666666667</v>
      </c>
      <c r="K97" s="320">
        <f t="shared" si="20"/>
        <v>296.41644408333332</v>
      </c>
      <c r="L97" s="320">
        <f t="shared" si="16"/>
        <v>1106.5992592592593</v>
      </c>
      <c r="M97" s="323">
        <f t="shared" si="17"/>
        <v>22685.36780975926</v>
      </c>
    </row>
    <row r="98" spans="2:13" x14ac:dyDescent="0.2">
      <c r="B98" s="2" t="s">
        <v>459</v>
      </c>
      <c r="C98" s="2" t="s">
        <v>298</v>
      </c>
      <c r="D98" s="2" t="s">
        <v>269</v>
      </c>
      <c r="E98" s="2" t="s">
        <v>664</v>
      </c>
      <c r="F98" s="320">
        <v>14939.09</v>
      </c>
      <c r="G98" s="320">
        <f t="shared" si="18"/>
        <v>3556.9973290000003</v>
      </c>
      <c r="H98" s="320">
        <f t="shared" si="14"/>
        <v>1244.9241666666667</v>
      </c>
      <c r="I98" s="320">
        <f t="shared" si="19"/>
        <v>296.41644408333332</v>
      </c>
      <c r="J98" s="320">
        <f t="shared" si="15"/>
        <v>1244.9241666666667</v>
      </c>
      <c r="K98" s="320">
        <f t="shared" si="20"/>
        <v>296.41644408333332</v>
      </c>
      <c r="L98" s="320">
        <f t="shared" si="16"/>
        <v>1106.5992592592593</v>
      </c>
      <c r="M98" s="323">
        <f t="shared" si="17"/>
        <v>22685.36780975926</v>
      </c>
    </row>
    <row r="99" spans="2:13" x14ac:dyDescent="0.2">
      <c r="B99" s="2" t="s">
        <v>460</v>
      </c>
      <c r="C99" s="2" t="s">
        <v>298</v>
      </c>
      <c r="D99" s="2" t="s">
        <v>270</v>
      </c>
      <c r="E99" s="2" t="s">
        <v>664</v>
      </c>
      <c r="F99" s="320">
        <v>14939.09</v>
      </c>
      <c r="G99" s="320">
        <f t="shared" si="18"/>
        <v>3556.9973290000003</v>
      </c>
      <c r="H99" s="320">
        <f t="shared" si="14"/>
        <v>1244.9241666666667</v>
      </c>
      <c r="I99" s="320">
        <f t="shared" si="19"/>
        <v>296.41644408333332</v>
      </c>
      <c r="J99" s="320">
        <f t="shared" si="15"/>
        <v>1244.9241666666667</v>
      </c>
      <c r="K99" s="320">
        <f t="shared" si="20"/>
        <v>296.41644408333332</v>
      </c>
      <c r="L99" s="320">
        <f t="shared" si="16"/>
        <v>1106.5992592592593</v>
      </c>
      <c r="M99" s="323">
        <f t="shared" si="17"/>
        <v>22685.36780975926</v>
      </c>
    </row>
    <row r="100" spans="2:13" x14ac:dyDescent="0.2">
      <c r="B100" s="2" t="s">
        <v>461</v>
      </c>
      <c r="C100" s="2" t="s">
        <v>298</v>
      </c>
      <c r="D100" s="2" t="s">
        <v>271</v>
      </c>
      <c r="E100" s="2" t="s">
        <v>664</v>
      </c>
      <c r="F100" s="320">
        <v>14939.09</v>
      </c>
      <c r="G100" s="320">
        <f t="shared" si="18"/>
        <v>3556.9973290000003</v>
      </c>
      <c r="H100" s="320">
        <f t="shared" si="14"/>
        <v>1244.9241666666667</v>
      </c>
      <c r="I100" s="320">
        <f t="shared" si="19"/>
        <v>296.41644408333332</v>
      </c>
      <c r="J100" s="320">
        <f t="shared" si="15"/>
        <v>1244.9241666666667</v>
      </c>
      <c r="K100" s="320">
        <f t="shared" si="20"/>
        <v>296.41644408333332</v>
      </c>
      <c r="L100" s="320">
        <f t="shared" si="16"/>
        <v>1106.5992592592593</v>
      </c>
      <c r="M100" s="323">
        <f t="shared" si="17"/>
        <v>22685.36780975926</v>
      </c>
    </row>
    <row r="101" spans="2:13" x14ac:dyDescent="0.2">
      <c r="B101" s="2" t="s">
        <v>462</v>
      </c>
      <c r="C101" s="2" t="s">
        <v>298</v>
      </c>
      <c r="D101" s="2" t="s">
        <v>272</v>
      </c>
      <c r="E101" s="2" t="s">
        <v>664</v>
      </c>
      <c r="F101" s="320">
        <v>14939.09</v>
      </c>
      <c r="G101" s="320">
        <f t="shared" si="18"/>
        <v>3556.9973290000003</v>
      </c>
      <c r="H101" s="320">
        <f t="shared" si="14"/>
        <v>1244.9241666666667</v>
      </c>
      <c r="I101" s="320">
        <f t="shared" si="19"/>
        <v>296.41644408333332</v>
      </c>
      <c r="J101" s="320">
        <f t="shared" si="15"/>
        <v>1244.9241666666667</v>
      </c>
      <c r="K101" s="320">
        <f t="shared" si="20"/>
        <v>296.41644408333332</v>
      </c>
      <c r="L101" s="320">
        <f t="shared" si="16"/>
        <v>1106.5992592592593</v>
      </c>
      <c r="M101" s="323">
        <f t="shared" si="17"/>
        <v>22685.36780975926</v>
      </c>
    </row>
    <row r="102" spans="2:13" x14ac:dyDescent="0.2">
      <c r="B102" s="2" t="s">
        <v>463</v>
      </c>
      <c r="C102" s="2" t="s">
        <v>298</v>
      </c>
      <c r="D102" s="2" t="s">
        <v>273</v>
      </c>
      <c r="E102" s="2" t="s">
        <v>664</v>
      </c>
      <c r="F102" s="320">
        <v>14939.09</v>
      </c>
      <c r="G102" s="320">
        <f t="shared" si="18"/>
        <v>3556.9973290000003</v>
      </c>
      <c r="H102" s="320">
        <f t="shared" si="14"/>
        <v>1244.9241666666667</v>
      </c>
      <c r="I102" s="320">
        <f t="shared" si="19"/>
        <v>296.41644408333332</v>
      </c>
      <c r="J102" s="320">
        <f t="shared" si="15"/>
        <v>1244.9241666666667</v>
      </c>
      <c r="K102" s="320">
        <f t="shared" si="20"/>
        <v>296.41644408333332</v>
      </c>
      <c r="L102" s="320">
        <f t="shared" si="16"/>
        <v>1106.5992592592593</v>
      </c>
      <c r="M102" s="323">
        <f t="shared" si="17"/>
        <v>22685.36780975926</v>
      </c>
    </row>
    <row r="103" spans="2:13" x14ac:dyDescent="0.2">
      <c r="B103" s="2" t="s">
        <v>464</v>
      </c>
      <c r="C103" s="2" t="s">
        <v>298</v>
      </c>
      <c r="D103" s="2" t="s">
        <v>274</v>
      </c>
      <c r="E103" s="2" t="s">
        <v>664</v>
      </c>
      <c r="F103" s="320">
        <v>14939.09</v>
      </c>
      <c r="G103" s="320">
        <f t="shared" si="18"/>
        <v>3556.9973290000003</v>
      </c>
      <c r="H103" s="320">
        <f t="shared" si="14"/>
        <v>1244.9241666666667</v>
      </c>
      <c r="I103" s="320">
        <f t="shared" si="19"/>
        <v>296.41644408333332</v>
      </c>
      <c r="J103" s="320">
        <f t="shared" si="15"/>
        <v>1244.9241666666667</v>
      </c>
      <c r="K103" s="320">
        <f t="shared" si="20"/>
        <v>296.41644408333332</v>
      </c>
      <c r="L103" s="320">
        <f t="shared" si="16"/>
        <v>1106.5992592592593</v>
      </c>
      <c r="M103" s="323">
        <f t="shared" si="17"/>
        <v>22685.36780975926</v>
      </c>
    </row>
    <row r="104" spans="2:13" x14ac:dyDescent="0.2">
      <c r="B104" s="2" t="s">
        <v>465</v>
      </c>
      <c r="C104" s="2" t="s">
        <v>298</v>
      </c>
      <c r="D104" s="2" t="s">
        <v>275</v>
      </c>
      <c r="E104" s="2" t="s">
        <v>664</v>
      </c>
      <c r="F104" s="320">
        <v>14939.09</v>
      </c>
      <c r="G104" s="320">
        <f t="shared" si="18"/>
        <v>3556.9973290000003</v>
      </c>
      <c r="H104" s="320">
        <f t="shared" si="14"/>
        <v>1244.9241666666667</v>
      </c>
      <c r="I104" s="320">
        <f t="shared" si="19"/>
        <v>296.41644408333332</v>
      </c>
      <c r="J104" s="320">
        <f t="shared" si="15"/>
        <v>1244.9241666666667</v>
      </c>
      <c r="K104" s="320">
        <f t="shared" si="20"/>
        <v>296.41644408333332</v>
      </c>
      <c r="L104" s="320">
        <f t="shared" si="16"/>
        <v>1106.5992592592593</v>
      </c>
      <c r="M104" s="323">
        <f t="shared" si="17"/>
        <v>22685.36780975926</v>
      </c>
    </row>
    <row r="105" spans="2:13" x14ac:dyDescent="0.2">
      <c r="B105" s="2" t="s">
        <v>466</v>
      </c>
      <c r="C105" s="2" t="s">
        <v>298</v>
      </c>
      <c r="D105" s="2" t="s">
        <v>276</v>
      </c>
      <c r="E105" s="2" t="s">
        <v>664</v>
      </c>
      <c r="F105" s="320">
        <v>14939.09</v>
      </c>
      <c r="G105" s="320">
        <f t="shared" si="18"/>
        <v>3556.9973290000003</v>
      </c>
      <c r="H105" s="320">
        <f t="shared" si="14"/>
        <v>1244.9241666666667</v>
      </c>
      <c r="I105" s="320">
        <f t="shared" si="19"/>
        <v>296.41644408333332</v>
      </c>
      <c r="J105" s="320">
        <f t="shared" si="15"/>
        <v>1244.9241666666667</v>
      </c>
      <c r="K105" s="320">
        <f t="shared" si="20"/>
        <v>296.41644408333332</v>
      </c>
      <c r="L105" s="320">
        <f t="shared" si="16"/>
        <v>1106.5992592592593</v>
      </c>
      <c r="M105" s="323">
        <f t="shared" si="17"/>
        <v>22685.36780975926</v>
      </c>
    </row>
    <row r="106" spans="2:13" x14ac:dyDescent="0.2">
      <c r="B106" s="2" t="s">
        <v>467</v>
      </c>
      <c r="C106" s="2" t="s">
        <v>298</v>
      </c>
      <c r="D106" s="2" t="s">
        <v>277</v>
      </c>
      <c r="E106" s="2" t="s">
        <v>664</v>
      </c>
      <c r="F106" s="320">
        <v>14939.09</v>
      </c>
      <c r="G106" s="320">
        <f t="shared" ref="G106:G137" si="21">F106*$E$4</f>
        <v>3556.9973290000003</v>
      </c>
      <c r="H106" s="320">
        <f t="shared" si="14"/>
        <v>1244.9241666666667</v>
      </c>
      <c r="I106" s="320">
        <f t="shared" ref="I106:I137" si="22">H106*$E$4</f>
        <v>296.41644408333332</v>
      </c>
      <c r="J106" s="320">
        <f t="shared" si="15"/>
        <v>1244.9241666666667</v>
      </c>
      <c r="K106" s="320">
        <f t="shared" ref="K106:K137" si="23">J106*$E$4</f>
        <v>296.41644408333332</v>
      </c>
      <c r="L106" s="320">
        <f t="shared" si="16"/>
        <v>1106.5992592592593</v>
      </c>
      <c r="M106" s="323">
        <f t="shared" si="17"/>
        <v>22685.36780975926</v>
      </c>
    </row>
    <row r="107" spans="2:13" x14ac:dyDescent="0.2">
      <c r="B107" s="2" t="s">
        <v>468</v>
      </c>
      <c r="C107" s="2" t="s">
        <v>298</v>
      </c>
      <c r="D107" s="2" t="s">
        <v>278</v>
      </c>
      <c r="E107" s="2" t="s">
        <v>664</v>
      </c>
      <c r="F107" s="320">
        <v>14939.09</v>
      </c>
      <c r="G107" s="320">
        <f t="shared" si="21"/>
        <v>3556.9973290000003</v>
      </c>
      <c r="H107" s="320">
        <f t="shared" si="14"/>
        <v>1244.9241666666667</v>
      </c>
      <c r="I107" s="320">
        <f t="shared" si="22"/>
        <v>296.41644408333332</v>
      </c>
      <c r="J107" s="320">
        <f t="shared" si="15"/>
        <v>1244.9241666666667</v>
      </c>
      <c r="K107" s="320">
        <f t="shared" si="23"/>
        <v>296.41644408333332</v>
      </c>
      <c r="L107" s="320">
        <f t="shared" si="16"/>
        <v>1106.5992592592593</v>
      </c>
      <c r="M107" s="323">
        <f t="shared" si="17"/>
        <v>22685.36780975926</v>
      </c>
    </row>
    <row r="108" spans="2:13" x14ac:dyDescent="0.2">
      <c r="B108" s="2" t="s">
        <v>469</v>
      </c>
      <c r="C108" s="2" t="s">
        <v>298</v>
      </c>
      <c r="D108" s="2" t="s">
        <v>279</v>
      </c>
      <c r="E108" s="2" t="s">
        <v>664</v>
      </c>
      <c r="F108" s="320">
        <v>14939.09</v>
      </c>
      <c r="G108" s="320">
        <f t="shared" si="21"/>
        <v>3556.9973290000003</v>
      </c>
      <c r="H108" s="320">
        <f t="shared" si="14"/>
        <v>1244.9241666666667</v>
      </c>
      <c r="I108" s="320">
        <f t="shared" si="22"/>
        <v>296.41644408333332</v>
      </c>
      <c r="J108" s="320">
        <f t="shared" si="15"/>
        <v>1244.9241666666667</v>
      </c>
      <c r="K108" s="320">
        <f t="shared" si="23"/>
        <v>296.41644408333332</v>
      </c>
      <c r="L108" s="320">
        <f t="shared" si="16"/>
        <v>1106.5992592592593</v>
      </c>
      <c r="M108" s="323">
        <f t="shared" si="17"/>
        <v>22685.36780975926</v>
      </c>
    </row>
    <row r="109" spans="2:13" x14ac:dyDescent="0.2">
      <c r="B109" s="2" t="s">
        <v>470</v>
      </c>
      <c r="C109" s="2" t="s">
        <v>298</v>
      </c>
      <c r="D109" s="2" t="s">
        <v>280</v>
      </c>
      <c r="E109" s="2" t="s">
        <v>664</v>
      </c>
      <c r="F109" s="320">
        <v>14939.09</v>
      </c>
      <c r="G109" s="320">
        <f t="shared" si="21"/>
        <v>3556.9973290000003</v>
      </c>
      <c r="H109" s="320">
        <f t="shared" si="14"/>
        <v>1244.9241666666667</v>
      </c>
      <c r="I109" s="320">
        <f t="shared" si="22"/>
        <v>296.41644408333332</v>
      </c>
      <c r="J109" s="320">
        <f t="shared" si="15"/>
        <v>1244.9241666666667</v>
      </c>
      <c r="K109" s="320">
        <f t="shared" si="23"/>
        <v>296.41644408333332</v>
      </c>
      <c r="L109" s="320">
        <f t="shared" si="16"/>
        <v>1106.5992592592593</v>
      </c>
      <c r="M109" s="323">
        <f t="shared" si="17"/>
        <v>22685.36780975926</v>
      </c>
    </row>
    <row r="110" spans="2:13" x14ac:dyDescent="0.2">
      <c r="B110" s="2" t="s">
        <v>471</v>
      </c>
      <c r="C110" s="2" t="s">
        <v>298</v>
      </c>
      <c r="D110" s="2" t="s">
        <v>281</v>
      </c>
      <c r="E110" s="2" t="s">
        <v>664</v>
      </c>
      <c r="F110" s="320">
        <v>14939.09</v>
      </c>
      <c r="G110" s="320">
        <f t="shared" si="21"/>
        <v>3556.9973290000003</v>
      </c>
      <c r="H110" s="320">
        <f t="shared" si="14"/>
        <v>1244.9241666666667</v>
      </c>
      <c r="I110" s="320">
        <f t="shared" si="22"/>
        <v>296.41644408333332</v>
      </c>
      <c r="J110" s="320">
        <f t="shared" si="15"/>
        <v>1244.9241666666667</v>
      </c>
      <c r="K110" s="320">
        <f t="shared" si="23"/>
        <v>296.41644408333332</v>
      </c>
      <c r="L110" s="320">
        <f t="shared" si="16"/>
        <v>1106.5992592592593</v>
      </c>
      <c r="M110" s="323">
        <f t="shared" si="17"/>
        <v>22685.36780975926</v>
      </c>
    </row>
    <row r="111" spans="2:13" x14ac:dyDescent="0.2">
      <c r="B111" s="2" t="s">
        <v>472</v>
      </c>
      <c r="C111" s="2" t="s">
        <v>298</v>
      </c>
      <c r="D111" s="2" t="s">
        <v>282</v>
      </c>
      <c r="E111" s="2" t="s">
        <v>664</v>
      </c>
      <c r="F111" s="320">
        <v>14939.09</v>
      </c>
      <c r="G111" s="320">
        <f t="shared" si="21"/>
        <v>3556.9973290000003</v>
      </c>
      <c r="H111" s="320">
        <f t="shared" si="14"/>
        <v>1244.9241666666667</v>
      </c>
      <c r="I111" s="320">
        <f t="shared" si="22"/>
        <v>296.41644408333332</v>
      </c>
      <c r="J111" s="320">
        <f t="shared" si="15"/>
        <v>1244.9241666666667</v>
      </c>
      <c r="K111" s="320">
        <f t="shared" si="23"/>
        <v>296.41644408333332</v>
      </c>
      <c r="L111" s="320">
        <f t="shared" si="16"/>
        <v>1106.5992592592593</v>
      </c>
      <c r="M111" s="323">
        <f t="shared" si="17"/>
        <v>22685.36780975926</v>
      </c>
    </row>
    <row r="112" spans="2:13" x14ac:dyDescent="0.2">
      <c r="B112" s="2" t="s">
        <v>473</v>
      </c>
      <c r="C112" s="2" t="s">
        <v>298</v>
      </c>
      <c r="D112" s="2" t="s">
        <v>283</v>
      </c>
      <c r="E112" s="2" t="s">
        <v>664</v>
      </c>
      <c r="F112" s="320">
        <v>14939.09</v>
      </c>
      <c r="G112" s="320">
        <f t="shared" si="21"/>
        <v>3556.9973290000003</v>
      </c>
      <c r="H112" s="320">
        <f t="shared" si="14"/>
        <v>1244.9241666666667</v>
      </c>
      <c r="I112" s="320">
        <f t="shared" si="22"/>
        <v>296.41644408333332</v>
      </c>
      <c r="J112" s="320">
        <f t="shared" si="15"/>
        <v>1244.9241666666667</v>
      </c>
      <c r="K112" s="320">
        <f t="shared" si="23"/>
        <v>296.41644408333332</v>
      </c>
      <c r="L112" s="320">
        <f t="shared" si="16"/>
        <v>1106.5992592592593</v>
      </c>
      <c r="M112" s="323">
        <f t="shared" si="17"/>
        <v>22685.36780975926</v>
      </c>
    </row>
    <row r="113" spans="2:13" x14ac:dyDescent="0.2">
      <c r="B113" s="2" t="s">
        <v>474</v>
      </c>
      <c r="C113" s="2" t="s">
        <v>298</v>
      </c>
      <c r="D113" s="2" t="s">
        <v>284</v>
      </c>
      <c r="E113" s="2" t="s">
        <v>665</v>
      </c>
      <c r="F113" s="320">
        <v>14939.09</v>
      </c>
      <c r="G113" s="320">
        <f t="shared" si="21"/>
        <v>3556.9973290000003</v>
      </c>
      <c r="H113" s="320">
        <f t="shared" si="14"/>
        <v>1244.9241666666667</v>
      </c>
      <c r="I113" s="320">
        <f t="shared" si="22"/>
        <v>296.41644408333332</v>
      </c>
      <c r="J113" s="320">
        <f t="shared" si="15"/>
        <v>1244.9241666666667</v>
      </c>
      <c r="K113" s="320">
        <f t="shared" si="23"/>
        <v>296.41644408333332</v>
      </c>
      <c r="L113" s="320">
        <f t="shared" si="16"/>
        <v>1106.5992592592593</v>
      </c>
      <c r="M113" s="323">
        <f t="shared" si="17"/>
        <v>22685.36780975926</v>
      </c>
    </row>
    <row r="114" spans="2:13" x14ac:dyDescent="0.2">
      <c r="B114" s="2" t="s">
        <v>475</v>
      </c>
      <c r="C114" s="2" t="s">
        <v>298</v>
      </c>
      <c r="D114" s="2" t="s">
        <v>285</v>
      </c>
      <c r="E114" s="2" t="s">
        <v>665</v>
      </c>
      <c r="F114" s="320">
        <v>14939.09</v>
      </c>
      <c r="G114" s="320">
        <f t="shared" si="21"/>
        <v>3556.9973290000003</v>
      </c>
      <c r="H114" s="320">
        <f t="shared" si="14"/>
        <v>1244.9241666666667</v>
      </c>
      <c r="I114" s="320">
        <f t="shared" si="22"/>
        <v>296.41644408333332</v>
      </c>
      <c r="J114" s="320">
        <f t="shared" si="15"/>
        <v>1244.9241666666667</v>
      </c>
      <c r="K114" s="320">
        <f t="shared" si="23"/>
        <v>296.41644408333332</v>
      </c>
      <c r="L114" s="320">
        <f t="shared" si="16"/>
        <v>1106.5992592592593</v>
      </c>
      <c r="M114" s="323">
        <f t="shared" si="17"/>
        <v>22685.36780975926</v>
      </c>
    </row>
    <row r="115" spans="2:13" x14ac:dyDescent="0.2">
      <c r="B115" s="2" t="s">
        <v>476</v>
      </c>
      <c r="C115" s="2" t="s">
        <v>298</v>
      </c>
      <c r="D115" s="2" t="s">
        <v>286</v>
      </c>
      <c r="E115" s="2" t="s">
        <v>665</v>
      </c>
      <c r="F115" s="320">
        <v>14939.09</v>
      </c>
      <c r="G115" s="320">
        <f t="shared" si="21"/>
        <v>3556.9973290000003</v>
      </c>
      <c r="H115" s="320">
        <f t="shared" si="14"/>
        <v>1244.9241666666667</v>
      </c>
      <c r="I115" s="320">
        <f t="shared" si="22"/>
        <v>296.41644408333332</v>
      </c>
      <c r="J115" s="320">
        <f t="shared" si="15"/>
        <v>1244.9241666666667</v>
      </c>
      <c r="K115" s="320">
        <f t="shared" si="23"/>
        <v>296.41644408333332</v>
      </c>
      <c r="L115" s="320">
        <f t="shared" si="16"/>
        <v>1106.5992592592593</v>
      </c>
      <c r="M115" s="323">
        <f t="shared" si="17"/>
        <v>22685.36780975926</v>
      </c>
    </row>
    <row r="116" spans="2:13" x14ac:dyDescent="0.2">
      <c r="B116" s="2" t="s">
        <v>477</v>
      </c>
      <c r="C116" s="2" t="s">
        <v>298</v>
      </c>
      <c r="D116" s="2" t="s">
        <v>287</v>
      </c>
      <c r="E116" s="2" t="s">
        <v>665</v>
      </c>
      <c r="F116" s="320">
        <v>14939.09</v>
      </c>
      <c r="G116" s="320">
        <f t="shared" si="21"/>
        <v>3556.9973290000003</v>
      </c>
      <c r="H116" s="320">
        <f t="shared" si="14"/>
        <v>1244.9241666666667</v>
      </c>
      <c r="I116" s="320">
        <f t="shared" si="22"/>
        <v>296.41644408333332</v>
      </c>
      <c r="J116" s="320">
        <f t="shared" si="15"/>
        <v>1244.9241666666667</v>
      </c>
      <c r="K116" s="320">
        <f t="shared" si="23"/>
        <v>296.41644408333332</v>
      </c>
      <c r="L116" s="320">
        <f t="shared" si="16"/>
        <v>1106.5992592592593</v>
      </c>
      <c r="M116" s="323">
        <f t="shared" si="17"/>
        <v>22685.36780975926</v>
      </c>
    </row>
    <row r="117" spans="2:13" x14ac:dyDescent="0.2">
      <c r="B117" s="2" t="s">
        <v>478</v>
      </c>
      <c r="C117" s="2" t="s">
        <v>298</v>
      </c>
      <c r="D117" s="2" t="s">
        <v>288</v>
      </c>
      <c r="E117" s="2" t="s">
        <v>665</v>
      </c>
      <c r="F117" s="320">
        <v>14939.09</v>
      </c>
      <c r="G117" s="320">
        <f t="shared" si="21"/>
        <v>3556.9973290000003</v>
      </c>
      <c r="H117" s="320">
        <f t="shared" si="14"/>
        <v>1244.9241666666667</v>
      </c>
      <c r="I117" s="320">
        <f t="shared" si="22"/>
        <v>296.41644408333332</v>
      </c>
      <c r="J117" s="320">
        <f t="shared" si="15"/>
        <v>1244.9241666666667</v>
      </c>
      <c r="K117" s="320">
        <f t="shared" si="23"/>
        <v>296.41644408333332</v>
      </c>
      <c r="L117" s="320">
        <f t="shared" si="16"/>
        <v>1106.5992592592593</v>
      </c>
      <c r="M117" s="323">
        <f t="shared" si="17"/>
        <v>22685.36780975926</v>
      </c>
    </row>
    <row r="118" spans="2:13" x14ac:dyDescent="0.2">
      <c r="B118" s="2" t="s">
        <v>479</v>
      </c>
      <c r="C118" s="2" t="s">
        <v>298</v>
      </c>
      <c r="D118" s="2" t="s">
        <v>289</v>
      </c>
      <c r="E118" s="2" t="s">
        <v>665</v>
      </c>
      <c r="F118" s="320">
        <v>14939.09</v>
      </c>
      <c r="G118" s="320">
        <f t="shared" si="21"/>
        <v>3556.9973290000003</v>
      </c>
      <c r="H118" s="320">
        <f t="shared" si="14"/>
        <v>1244.9241666666667</v>
      </c>
      <c r="I118" s="320">
        <f t="shared" si="22"/>
        <v>296.41644408333332</v>
      </c>
      <c r="J118" s="320">
        <f t="shared" si="15"/>
        <v>1244.9241666666667</v>
      </c>
      <c r="K118" s="320">
        <f t="shared" si="23"/>
        <v>296.41644408333332</v>
      </c>
      <c r="L118" s="320">
        <f t="shared" si="16"/>
        <v>1106.5992592592593</v>
      </c>
      <c r="M118" s="323">
        <f t="shared" si="17"/>
        <v>22685.36780975926</v>
      </c>
    </row>
    <row r="119" spans="2:13" x14ac:dyDescent="0.2">
      <c r="B119" s="2" t="s">
        <v>480</v>
      </c>
      <c r="C119" s="2" t="s">
        <v>298</v>
      </c>
      <c r="D119" s="2" t="s">
        <v>290</v>
      </c>
      <c r="E119" s="2" t="s">
        <v>665</v>
      </c>
      <c r="F119" s="320">
        <v>14939.09</v>
      </c>
      <c r="G119" s="320">
        <f t="shared" si="21"/>
        <v>3556.9973290000003</v>
      </c>
      <c r="H119" s="320">
        <f t="shared" si="14"/>
        <v>1244.9241666666667</v>
      </c>
      <c r="I119" s="320">
        <f t="shared" si="22"/>
        <v>296.41644408333332</v>
      </c>
      <c r="J119" s="320">
        <f t="shared" si="15"/>
        <v>1244.9241666666667</v>
      </c>
      <c r="K119" s="320">
        <f t="shared" si="23"/>
        <v>296.41644408333332</v>
      </c>
      <c r="L119" s="320">
        <f t="shared" si="16"/>
        <v>1106.5992592592593</v>
      </c>
      <c r="M119" s="323">
        <f t="shared" si="17"/>
        <v>22685.36780975926</v>
      </c>
    </row>
    <row r="120" spans="2:13" x14ac:dyDescent="0.2">
      <c r="B120" s="2" t="s">
        <v>481</v>
      </c>
      <c r="C120" s="2" t="s">
        <v>298</v>
      </c>
      <c r="D120" s="2" t="s">
        <v>291</v>
      </c>
      <c r="E120" s="2" t="s">
        <v>665</v>
      </c>
      <c r="F120" s="320">
        <v>14939.09</v>
      </c>
      <c r="G120" s="320">
        <f t="shared" si="21"/>
        <v>3556.9973290000003</v>
      </c>
      <c r="H120" s="320">
        <f t="shared" si="14"/>
        <v>1244.9241666666667</v>
      </c>
      <c r="I120" s="320">
        <f t="shared" si="22"/>
        <v>296.41644408333332</v>
      </c>
      <c r="J120" s="320">
        <f t="shared" si="15"/>
        <v>1244.9241666666667</v>
      </c>
      <c r="K120" s="320">
        <f t="shared" si="23"/>
        <v>296.41644408333332</v>
      </c>
      <c r="L120" s="320">
        <f t="shared" si="16"/>
        <v>1106.5992592592593</v>
      </c>
      <c r="M120" s="323">
        <f t="shared" si="17"/>
        <v>22685.36780975926</v>
      </c>
    </row>
    <row r="121" spans="2:13" x14ac:dyDescent="0.2">
      <c r="B121" s="2" t="s">
        <v>482</v>
      </c>
      <c r="C121" s="2" t="s">
        <v>298</v>
      </c>
      <c r="D121" s="2" t="s">
        <v>292</v>
      </c>
      <c r="E121" s="2" t="s">
        <v>665</v>
      </c>
      <c r="F121" s="320">
        <v>14939.09</v>
      </c>
      <c r="G121" s="320">
        <f t="shared" si="21"/>
        <v>3556.9973290000003</v>
      </c>
      <c r="H121" s="320">
        <f t="shared" si="14"/>
        <v>1244.9241666666667</v>
      </c>
      <c r="I121" s="320">
        <f t="shared" si="22"/>
        <v>296.41644408333332</v>
      </c>
      <c r="J121" s="320">
        <f t="shared" si="15"/>
        <v>1244.9241666666667</v>
      </c>
      <c r="K121" s="320">
        <f t="shared" si="23"/>
        <v>296.41644408333332</v>
      </c>
      <c r="L121" s="320">
        <f t="shared" si="16"/>
        <v>1106.5992592592593</v>
      </c>
      <c r="M121" s="323">
        <f t="shared" si="17"/>
        <v>22685.36780975926</v>
      </c>
    </row>
    <row r="122" spans="2:13" x14ac:dyDescent="0.2">
      <c r="B122" s="2" t="s">
        <v>483</v>
      </c>
      <c r="C122" s="2" t="s">
        <v>298</v>
      </c>
      <c r="D122" s="2" t="s">
        <v>293</v>
      </c>
      <c r="E122" s="2" t="s">
        <v>665</v>
      </c>
      <c r="F122" s="320">
        <v>14939.09</v>
      </c>
      <c r="G122" s="320">
        <f t="shared" si="21"/>
        <v>3556.9973290000003</v>
      </c>
      <c r="H122" s="320">
        <f t="shared" si="14"/>
        <v>1244.9241666666667</v>
      </c>
      <c r="I122" s="320">
        <f t="shared" si="22"/>
        <v>296.41644408333332</v>
      </c>
      <c r="J122" s="320">
        <f t="shared" si="15"/>
        <v>1244.9241666666667</v>
      </c>
      <c r="K122" s="320">
        <f t="shared" si="23"/>
        <v>296.41644408333332</v>
      </c>
      <c r="L122" s="320">
        <f t="shared" si="16"/>
        <v>1106.5992592592593</v>
      </c>
      <c r="M122" s="323">
        <f t="shared" si="17"/>
        <v>22685.36780975926</v>
      </c>
    </row>
    <row r="123" spans="2:13" x14ac:dyDescent="0.2">
      <c r="B123" s="2" t="s">
        <v>484</v>
      </c>
      <c r="C123" s="2" t="s">
        <v>298</v>
      </c>
      <c r="D123" s="2" t="s">
        <v>294</v>
      </c>
      <c r="E123" s="2" t="s">
        <v>665</v>
      </c>
      <c r="F123" s="320">
        <v>14939.09</v>
      </c>
      <c r="G123" s="320">
        <f t="shared" si="21"/>
        <v>3556.9973290000003</v>
      </c>
      <c r="H123" s="320">
        <f t="shared" si="14"/>
        <v>1244.9241666666667</v>
      </c>
      <c r="I123" s="320">
        <f t="shared" si="22"/>
        <v>296.41644408333332</v>
      </c>
      <c r="J123" s="320">
        <f t="shared" si="15"/>
        <v>1244.9241666666667</v>
      </c>
      <c r="K123" s="320">
        <f t="shared" si="23"/>
        <v>296.41644408333332</v>
      </c>
      <c r="L123" s="320">
        <f t="shared" si="16"/>
        <v>1106.5992592592593</v>
      </c>
      <c r="M123" s="323">
        <f t="shared" si="17"/>
        <v>22685.36780975926</v>
      </c>
    </row>
    <row r="124" spans="2:13" x14ac:dyDescent="0.2">
      <c r="B124" s="2" t="s">
        <v>485</v>
      </c>
      <c r="C124" s="2" t="s">
        <v>299</v>
      </c>
      <c r="D124" s="2" t="s">
        <v>300</v>
      </c>
      <c r="E124" s="2"/>
      <c r="F124" s="320">
        <v>27109.83</v>
      </c>
      <c r="G124" s="320">
        <f t="shared" si="21"/>
        <v>6454.850523000001</v>
      </c>
      <c r="H124" s="320">
        <f t="shared" si="14"/>
        <v>2259.1525000000001</v>
      </c>
      <c r="I124" s="320">
        <f t="shared" si="22"/>
        <v>537.90421025000001</v>
      </c>
      <c r="J124" s="320">
        <f t="shared" si="15"/>
        <v>2259.1525000000001</v>
      </c>
      <c r="K124" s="320">
        <f t="shared" si="23"/>
        <v>537.90421025000001</v>
      </c>
      <c r="L124" s="320">
        <f t="shared" si="16"/>
        <v>2008.1355555555556</v>
      </c>
      <c r="M124" s="323">
        <f t="shared" si="17"/>
        <v>41166.929499055565</v>
      </c>
    </row>
    <row r="125" spans="2:13" x14ac:dyDescent="0.2">
      <c r="B125" s="2" t="s">
        <v>486</v>
      </c>
      <c r="C125" s="2" t="s">
        <v>299</v>
      </c>
      <c r="D125" s="2" t="s">
        <v>301</v>
      </c>
      <c r="E125" s="2"/>
      <c r="F125" s="320">
        <v>14939.09</v>
      </c>
      <c r="G125" s="320">
        <f t="shared" si="21"/>
        <v>3556.9973290000003</v>
      </c>
      <c r="H125" s="320">
        <f t="shared" si="14"/>
        <v>1244.9241666666667</v>
      </c>
      <c r="I125" s="320">
        <f t="shared" si="22"/>
        <v>296.41644408333332</v>
      </c>
      <c r="J125" s="320">
        <f t="shared" si="15"/>
        <v>1244.9241666666667</v>
      </c>
      <c r="K125" s="320">
        <f t="shared" si="23"/>
        <v>296.41644408333332</v>
      </c>
      <c r="L125" s="320">
        <f t="shared" si="16"/>
        <v>1106.5992592592593</v>
      </c>
      <c r="M125" s="323">
        <f t="shared" si="17"/>
        <v>22685.36780975926</v>
      </c>
    </row>
    <row r="126" spans="2:13" x14ac:dyDescent="0.2">
      <c r="B126" s="2" t="s">
        <v>487</v>
      </c>
      <c r="C126" s="2" t="s">
        <v>299</v>
      </c>
      <c r="D126" s="2" t="s">
        <v>302</v>
      </c>
      <c r="E126" s="2"/>
      <c r="F126" s="320">
        <v>9723.3700000000008</v>
      </c>
      <c r="G126" s="320">
        <f t="shared" si="21"/>
        <v>2315.1343970000003</v>
      </c>
      <c r="H126" s="320">
        <f t="shared" si="14"/>
        <v>810.28083333333336</v>
      </c>
      <c r="I126" s="320">
        <f t="shared" si="22"/>
        <v>192.92786641666669</v>
      </c>
      <c r="J126" s="320">
        <f t="shared" si="15"/>
        <v>810.28083333333336</v>
      </c>
      <c r="K126" s="320">
        <f t="shared" si="23"/>
        <v>192.92786641666669</v>
      </c>
      <c r="L126" s="320">
        <f t="shared" si="16"/>
        <v>720.24962962962968</v>
      </c>
      <c r="M126" s="323">
        <f t="shared" si="17"/>
        <v>14765.171426129631</v>
      </c>
    </row>
    <row r="127" spans="2:13" x14ac:dyDescent="0.2">
      <c r="B127" s="2" t="s">
        <v>488</v>
      </c>
      <c r="C127" s="2" t="s">
        <v>299</v>
      </c>
      <c r="D127" s="2" t="s">
        <v>303</v>
      </c>
      <c r="E127" s="2"/>
      <c r="F127" s="320">
        <v>14421.64</v>
      </c>
      <c r="G127" s="320">
        <f t="shared" si="21"/>
        <v>3433.7924840000001</v>
      </c>
      <c r="H127" s="320">
        <f t="shared" si="14"/>
        <v>1201.8033333333333</v>
      </c>
      <c r="I127" s="320">
        <f t="shared" si="22"/>
        <v>286.14937366666669</v>
      </c>
      <c r="J127" s="320">
        <f t="shared" si="15"/>
        <v>1201.8033333333333</v>
      </c>
      <c r="K127" s="320">
        <f t="shared" si="23"/>
        <v>286.14937366666669</v>
      </c>
      <c r="L127" s="320">
        <f t="shared" si="16"/>
        <v>1068.2696296296297</v>
      </c>
      <c r="M127" s="323">
        <f t="shared" si="17"/>
        <v>21899.607527629629</v>
      </c>
    </row>
    <row r="128" spans="2:13" x14ac:dyDescent="0.2">
      <c r="B128" s="2" t="s">
        <v>489</v>
      </c>
      <c r="C128" s="2" t="s">
        <v>299</v>
      </c>
      <c r="D128" s="2" t="s">
        <v>304</v>
      </c>
      <c r="E128" s="2"/>
      <c r="F128" s="320">
        <v>14939.09</v>
      </c>
      <c r="G128" s="320">
        <f t="shared" si="21"/>
        <v>3556.9973290000003</v>
      </c>
      <c r="H128" s="320">
        <f t="shared" ref="H128:H131" si="24">F128/12</f>
        <v>1244.9241666666667</v>
      </c>
      <c r="I128" s="320">
        <f t="shared" si="22"/>
        <v>296.41644408333332</v>
      </c>
      <c r="J128" s="320">
        <f t="shared" ref="J128:J131" si="25">F128/12</f>
        <v>1244.9241666666667</v>
      </c>
      <c r="K128" s="320">
        <f t="shared" si="23"/>
        <v>296.41644408333332</v>
      </c>
      <c r="L128" s="320">
        <f t="shared" ref="L128:L131" si="26">F128/13.5</f>
        <v>1106.5992592592593</v>
      </c>
      <c r="M128" s="323">
        <f t="shared" ref="M128:M131" si="27">SUM(G128:L128)+F128</f>
        <v>22685.36780975926</v>
      </c>
    </row>
    <row r="129" spans="2:13" x14ac:dyDescent="0.2">
      <c r="B129" s="2" t="s">
        <v>490</v>
      </c>
      <c r="C129" s="2" t="s">
        <v>299</v>
      </c>
      <c r="D129" s="2" t="s">
        <v>305</v>
      </c>
      <c r="E129" s="2"/>
      <c r="F129" s="320">
        <v>14939.09</v>
      </c>
      <c r="G129" s="320">
        <f t="shared" si="21"/>
        <v>3556.9973290000003</v>
      </c>
      <c r="H129" s="320">
        <f t="shared" si="24"/>
        <v>1244.9241666666667</v>
      </c>
      <c r="I129" s="320">
        <f t="shared" si="22"/>
        <v>296.41644408333332</v>
      </c>
      <c r="J129" s="320">
        <f t="shared" si="25"/>
        <v>1244.9241666666667</v>
      </c>
      <c r="K129" s="320">
        <f t="shared" si="23"/>
        <v>296.41644408333332</v>
      </c>
      <c r="L129" s="320">
        <f t="shared" si="26"/>
        <v>1106.5992592592593</v>
      </c>
      <c r="M129" s="323">
        <f t="shared" si="27"/>
        <v>22685.36780975926</v>
      </c>
    </row>
    <row r="130" spans="2:13" x14ac:dyDescent="0.2">
      <c r="B130" s="2" t="s">
        <v>491</v>
      </c>
      <c r="C130" s="2" t="s">
        <v>299</v>
      </c>
      <c r="D130" s="2" t="s">
        <v>306</v>
      </c>
      <c r="E130" s="2"/>
      <c r="F130" s="320">
        <v>14939.09</v>
      </c>
      <c r="G130" s="320">
        <f t="shared" si="21"/>
        <v>3556.9973290000003</v>
      </c>
      <c r="H130" s="320">
        <f t="shared" si="24"/>
        <v>1244.9241666666667</v>
      </c>
      <c r="I130" s="320">
        <f t="shared" si="22"/>
        <v>296.41644408333332</v>
      </c>
      <c r="J130" s="320">
        <f t="shared" si="25"/>
        <v>1244.9241666666667</v>
      </c>
      <c r="K130" s="320">
        <f t="shared" si="23"/>
        <v>296.41644408333332</v>
      </c>
      <c r="L130" s="320">
        <f t="shared" si="26"/>
        <v>1106.5992592592593</v>
      </c>
      <c r="M130" s="323">
        <f t="shared" si="27"/>
        <v>22685.36780975926</v>
      </c>
    </row>
    <row r="131" spans="2:13" x14ac:dyDescent="0.2">
      <c r="B131" s="2" t="s">
        <v>492</v>
      </c>
      <c r="C131" s="2" t="s">
        <v>299</v>
      </c>
      <c r="D131" s="2" t="s">
        <v>307</v>
      </c>
      <c r="E131" s="2"/>
      <c r="F131" s="320">
        <v>14939.09</v>
      </c>
      <c r="G131" s="320">
        <f t="shared" si="21"/>
        <v>3556.9973290000003</v>
      </c>
      <c r="H131" s="320">
        <f t="shared" si="24"/>
        <v>1244.9241666666667</v>
      </c>
      <c r="I131" s="320">
        <f t="shared" si="22"/>
        <v>296.41644408333332</v>
      </c>
      <c r="J131" s="320">
        <f t="shared" si="25"/>
        <v>1244.9241666666667</v>
      </c>
      <c r="K131" s="320">
        <f t="shared" si="23"/>
        <v>296.41644408333332</v>
      </c>
      <c r="L131" s="320">
        <f t="shared" si="26"/>
        <v>1106.5992592592593</v>
      </c>
      <c r="M131" s="323">
        <f t="shared" si="27"/>
        <v>22685.36780975926</v>
      </c>
    </row>
    <row r="132" spans="2:13" x14ac:dyDescent="0.2">
      <c r="B132" s="2" t="s">
        <v>493</v>
      </c>
      <c r="C132" s="2" t="s">
        <v>299</v>
      </c>
      <c r="D132" s="2" t="s">
        <v>308</v>
      </c>
      <c r="E132" s="2"/>
      <c r="F132" s="320">
        <v>14939.09</v>
      </c>
      <c r="G132" s="320">
        <f t="shared" si="21"/>
        <v>3556.9973290000003</v>
      </c>
      <c r="H132" s="320">
        <f t="shared" ref="H132:H143" si="28">F132/12</f>
        <v>1244.9241666666667</v>
      </c>
      <c r="I132" s="320">
        <f t="shared" si="22"/>
        <v>296.41644408333332</v>
      </c>
      <c r="J132" s="320">
        <f t="shared" ref="J132:J143" si="29">F132/12</f>
        <v>1244.9241666666667</v>
      </c>
      <c r="K132" s="320">
        <f t="shared" si="23"/>
        <v>296.41644408333332</v>
      </c>
      <c r="L132" s="320">
        <f t="shared" ref="L132:L143" si="30">F132/13.5</f>
        <v>1106.5992592592593</v>
      </c>
      <c r="M132" s="323">
        <f t="shared" ref="M132:M143" si="31">SUM(G132:L132)+F132</f>
        <v>22685.36780975926</v>
      </c>
    </row>
    <row r="133" spans="2:13" x14ac:dyDescent="0.2">
      <c r="B133" s="2" t="s">
        <v>494</v>
      </c>
      <c r="C133" s="2" t="s">
        <v>299</v>
      </c>
      <c r="D133" s="2" t="s">
        <v>309</v>
      </c>
      <c r="E133" s="2"/>
      <c r="F133" s="320">
        <v>14939.09</v>
      </c>
      <c r="G133" s="320">
        <f t="shared" si="21"/>
        <v>3556.9973290000003</v>
      </c>
      <c r="H133" s="320">
        <f t="shared" si="28"/>
        <v>1244.9241666666667</v>
      </c>
      <c r="I133" s="320">
        <f t="shared" si="22"/>
        <v>296.41644408333332</v>
      </c>
      <c r="J133" s="320">
        <f t="shared" si="29"/>
        <v>1244.9241666666667</v>
      </c>
      <c r="K133" s="320">
        <f t="shared" si="23"/>
        <v>296.41644408333332</v>
      </c>
      <c r="L133" s="320">
        <f t="shared" si="30"/>
        <v>1106.5992592592593</v>
      </c>
      <c r="M133" s="323">
        <f t="shared" si="31"/>
        <v>22685.36780975926</v>
      </c>
    </row>
    <row r="134" spans="2:13" x14ac:dyDescent="0.2">
      <c r="B134" s="2" t="s">
        <v>495</v>
      </c>
      <c r="C134" s="2" t="s">
        <v>299</v>
      </c>
      <c r="D134" s="2" t="s">
        <v>310</v>
      </c>
      <c r="E134" s="2"/>
      <c r="F134" s="320">
        <v>14939.09</v>
      </c>
      <c r="G134" s="320">
        <f t="shared" si="21"/>
        <v>3556.9973290000003</v>
      </c>
      <c r="H134" s="320">
        <f t="shared" si="28"/>
        <v>1244.9241666666667</v>
      </c>
      <c r="I134" s="320">
        <f t="shared" si="22"/>
        <v>296.41644408333332</v>
      </c>
      <c r="J134" s="320">
        <f t="shared" si="29"/>
        <v>1244.9241666666667</v>
      </c>
      <c r="K134" s="320">
        <f t="shared" si="23"/>
        <v>296.41644408333332</v>
      </c>
      <c r="L134" s="320">
        <f t="shared" si="30"/>
        <v>1106.5992592592593</v>
      </c>
      <c r="M134" s="323">
        <f t="shared" si="31"/>
        <v>22685.36780975926</v>
      </c>
    </row>
    <row r="135" spans="2:13" x14ac:dyDescent="0.2">
      <c r="B135" s="2" t="s">
        <v>496</v>
      </c>
      <c r="C135" s="2" t="s">
        <v>299</v>
      </c>
      <c r="D135" s="2" t="s">
        <v>311</v>
      </c>
      <c r="E135" s="2"/>
      <c r="F135" s="320">
        <v>14939.09</v>
      </c>
      <c r="G135" s="320">
        <f t="shared" si="21"/>
        <v>3556.9973290000003</v>
      </c>
      <c r="H135" s="320">
        <f t="shared" si="28"/>
        <v>1244.9241666666667</v>
      </c>
      <c r="I135" s="320">
        <f t="shared" si="22"/>
        <v>296.41644408333332</v>
      </c>
      <c r="J135" s="320">
        <f t="shared" si="29"/>
        <v>1244.9241666666667</v>
      </c>
      <c r="K135" s="320">
        <f t="shared" si="23"/>
        <v>296.41644408333332</v>
      </c>
      <c r="L135" s="320">
        <f t="shared" si="30"/>
        <v>1106.5992592592593</v>
      </c>
      <c r="M135" s="323">
        <f t="shared" si="31"/>
        <v>22685.36780975926</v>
      </c>
    </row>
    <row r="136" spans="2:13" x14ac:dyDescent="0.2">
      <c r="B136" s="2" t="s">
        <v>497</v>
      </c>
      <c r="C136" s="2" t="s">
        <v>299</v>
      </c>
      <c r="D136" s="2" t="s">
        <v>312</v>
      </c>
      <c r="E136" s="2"/>
      <c r="F136" s="320">
        <v>14939.09</v>
      </c>
      <c r="G136" s="320">
        <f t="shared" si="21"/>
        <v>3556.9973290000003</v>
      </c>
      <c r="H136" s="320">
        <f t="shared" si="28"/>
        <v>1244.9241666666667</v>
      </c>
      <c r="I136" s="320">
        <f t="shared" si="22"/>
        <v>296.41644408333332</v>
      </c>
      <c r="J136" s="320">
        <f t="shared" si="29"/>
        <v>1244.9241666666667</v>
      </c>
      <c r="K136" s="320">
        <f t="shared" si="23"/>
        <v>296.41644408333332</v>
      </c>
      <c r="L136" s="320">
        <f t="shared" si="30"/>
        <v>1106.5992592592593</v>
      </c>
      <c r="M136" s="323">
        <f t="shared" si="31"/>
        <v>22685.36780975926</v>
      </c>
    </row>
    <row r="137" spans="2:13" x14ac:dyDescent="0.2">
      <c r="B137" s="2" t="s">
        <v>498</v>
      </c>
      <c r="C137" s="2" t="s">
        <v>299</v>
      </c>
      <c r="D137" s="2" t="s">
        <v>313</v>
      </c>
      <c r="E137" s="2"/>
      <c r="F137" s="320">
        <v>14939.09</v>
      </c>
      <c r="G137" s="320">
        <f t="shared" si="21"/>
        <v>3556.9973290000003</v>
      </c>
      <c r="H137" s="320">
        <f t="shared" si="28"/>
        <v>1244.9241666666667</v>
      </c>
      <c r="I137" s="320">
        <f t="shared" si="22"/>
        <v>296.41644408333332</v>
      </c>
      <c r="J137" s="320">
        <f t="shared" si="29"/>
        <v>1244.9241666666667</v>
      </c>
      <c r="K137" s="320">
        <f t="shared" si="23"/>
        <v>296.41644408333332</v>
      </c>
      <c r="L137" s="320">
        <f t="shared" si="30"/>
        <v>1106.5992592592593</v>
      </c>
      <c r="M137" s="323">
        <f t="shared" si="31"/>
        <v>22685.36780975926</v>
      </c>
    </row>
    <row r="138" spans="2:13" x14ac:dyDescent="0.2">
      <c r="B138" s="2" t="s">
        <v>499</v>
      </c>
      <c r="C138" s="2" t="s">
        <v>299</v>
      </c>
      <c r="D138" s="2" t="s">
        <v>314</v>
      </c>
      <c r="E138" s="2"/>
      <c r="F138" s="320">
        <v>14939.09</v>
      </c>
      <c r="G138" s="320">
        <f t="shared" ref="G138:G169" si="32">F138*$E$4</f>
        <v>3556.9973290000003</v>
      </c>
      <c r="H138" s="320">
        <f t="shared" si="28"/>
        <v>1244.9241666666667</v>
      </c>
      <c r="I138" s="320">
        <f t="shared" ref="I138:I169" si="33">H138*$E$4</f>
        <v>296.41644408333332</v>
      </c>
      <c r="J138" s="320">
        <f t="shared" si="29"/>
        <v>1244.9241666666667</v>
      </c>
      <c r="K138" s="320">
        <f t="shared" ref="K138:K169" si="34">J138*$E$4</f>
        <v>296.41644408333332</v>
      </c>
      <c r="L138" s="320">
        <f t="shared" si="30"/>
        <v>1106.5992592592593</v>
      </c>
      <c r="M138" s="323">
        <f t="shared" si="31"/>
        <v>22685.36780975926</v>
      </c>
    </row>
    <row r="139" spans="2:13" x14ac:dyDescent="0.2">
      <c r="B139" s="2" t="s">
        <v>500</v>
      </c>
      <c r="C139" s="2" t="s">
        <v>299</v>
      </c>
      <c r="D139" s="2" t="s">
        <v>315</v>
      </c>
      <c r="E139" s="2"/>
      <c r="F139" s="320">
        <v>14939.09</v>
      </c>
      <c r="G139" s="320">
        <f t="shared" si="32"/>
        <v>3556.9973290000003</v>
      </c>
      <c r="H139" s="320">
        <f t="shared" si="28"/>
        <v>1244.9241666666667</v>
      </c>
      <c r="I139" s="320">
        <f t="shared" si="33"/>
        <v>296.41644408333332</v>
      </c>
      <c r="J139" s="320">
        <f t="shared" si="29"/>
        <v>1244.9241666666667</v>
      </c>
      <c r="K139" s="320">
        <f t="shared" si="34"/>
        <v>296.41644408333332</v>
      </c>
      <c r="L139" s="320">
        <f t="shared" si="30"/>
        <v>1106.5992592592593</v>
      </c>
      <c r="M139" s="323">
        <f t="shared" si="31"/>
        <v>22685.36780975926</v>
      </c>
    </row>
    <row r="140" spans="2:13" x14ac:dyDescent="0.2">
      <c r="B140" s="2" t="s">
        <v>501</v>
      </c>
      <c r="C140" s="2" t="s">
        <v>316</v>
      </c>
      <c r="D140" s="2" t="s">
        <v>316</v>
      </c>
      <c r="E140" s="2"/>
      <c r="F140" s="320">
        <v>24078.080000000002</v>
      </c>
      <c r="G140" s="320">
        <f t="shared" si="32"/>
        <v>5732.9908480000004</v>
      </c>
      <c r="H140" s="320">
        <f t="shared" si="28"/>
        <v>2006.5066666666669</v>
      </c>
      <c r="I140" s="320">
        <f t="shared" si="33"/>
        <v>477.74923733333338</v>
      </c>
      <c r="J140" s="320">
        <f t="shared" si="29"/>
        <v>2006.5066666666669</v>
      </c>
      <c r="K140" s="320">
        <f t="shared" si="34"/>
        <v>477.74923733333338</v>
      </c>
      <c r="L140" s="320">
        <f t="shared" si="30"/>
        <v>1783.5614814814817</v>
      </c>
      <c r="M140" s="323">
        <f t="shared" si="31"/>
        <v>36563.144137481482</v>
      </c>
    </row>
    <row r="141" spans="2:13" x14ac:dyDescent="0.2">
      <c r="B141" s="2" t="s">
        <v>502</v>
      </c>
      <c r="C141" s="2" t="s">
        <v>317</v>
      </c>
      <c r="D141" s="2" t="s">
        <v>318</v>
      </c>
      <c r="E141" s="2"/>
      <c r="F141" s="320">
        <v>30845.74</v>
      </c>
      <c r="G141" s="320">
        <f t="shared" si="32"/>
        <v>7344.3706940000002</v>
      </c>
      <c r="H141" s="320">
        <f t="shared" si="28"/>
        <v>2570.4783333333335</v>
      </c>
      <c r="I141" s="320">
        <f t="shared" si="33"/>
        <v>612.03089116666672</v>
      </c>
      <c r="J141" s="320">
        <f t="shared" si="29"/>
        <v>2570.4783333333335</v>
      </c>
      <c r="K141" s="320">
        <f t="shared" si="34"/>
        <v>612.03089116666672</v>
      </c>
      <c r="L141" s="320">
        <f t="shared" si="30"/>
        <v>2284.8696296296298</v>
      </c>
      <c r="M141" s="323">
        <f t="shared" si="31"/>
        <v>46839.998772629631</v>
      </c>
    </row>
    <row r="142" spans="2:13" x14ac:dyDescent="0.2">
      <c r="B142" s="2" t="s">
        <v>503</v>
      </c>
      <c r="C142" s="2" t="s">
        <v>317</v>
      </c>
      <c r="D142" s="2" t="s">
        <v>319</v>
      </c>
      <c r="E142" s="2"/>
      <c r="F142" s="320">
        <v>21465.279999999999</v>
      </c>
      <c r="G142" s="320">
        <f t="shared" si="32"/>
        <v>5110.8831680000003</v>
      </c>
      <c r="H142" s="320">
        <f t="shared" si="28"/>
        <v>1788.7733333333333</v>
      </c>
      <c r="I142" s="320">
        <f t="shared" si="33"/>
        <v>425.90693066666665</v>
      </c>
      <c r="J142" s="320">
        <f t="shared" si="29"/>
        <v>1788.7733333333333</v>
      </c>
      <c r="K142" s="320">
        <f t="shared" si="34"/>
        <v>425.90693066666665</v>
      </c>
      <c r="L142" s="320">
        <f t="shared" si="30"/>
        <v>1590.0207407407406</v>
      </c>
      <c r="M142" s="323">
        <f t="shared" si="31"/>
        <v>32595.54443674074</v>
      </c>
    </row>
    <row r="143" spans="2:13" x14ac:dyDescent="0.2">
      <c r="B143" s="2" t="s">
        <v>504</v>
      </c>
      <c r="C143" s="2" t="s">
        <v>322</v>
      </c>
      <c r="D143" s="2" t="s">
        <v>320</v>
      </c>
      <c r="E143" s="2"/>
      <c r="F143" s="320">
        <v>13167.65</v>
      </c>
      <c r="G143" s="320">
        <f t="shared" si="32"/>
        <v>3135.2174650000002</v>
      </c>
      <c r="H143" s="320">
        <f t="shared" si="28"/>
        <v>1097.3041666666666</v>
      </c>
      <c r="I143" s="320">
        <f t="shared" si="33"/>
        <v>261.26812208333331</v>
      </c>
      <c r="J143" s="320">
        <f t="shared" si="29"/>
        <v>1097.3041666666666</v>
      </c>
      <c r="K143" s="320">
        <f t="shared" si="34"/>
        <v>261.26812208333331</v>
      </c>
      <c r="L143" s="320">
        <f t="shared" si="30"/>
        <v>975.3814814814815</v>
      </c>
      <c r="M143" s="323">
        <f t="shared" si="31"/>
        <v>19995.393523981482</v>
      </c>
    </row>
    <row r="144" spans="2:13" x14ac:dyDescent="0.2">
      <c r="B144" s="2" t="s">
        <v>505</v>
      </c>
      <c r="C144" s="2" t="s">
        <v>322</v>
      </c>
      <c r="D144" s="2" t="s">
        <v>321</v>
      </c>
      <c r="E144" s="2"/>
      <c r="F144" s="320">
        <v>13167.65</v>
      </c>
      <c r="G144" s="320">
        <f t="shared" si="32"/>
        <v>3135.2174650000002</v>
      </c>
      <c r="H144" s="320">
        <f t="shared" ref="H144:H149" si="35">F144/12</f>
        <v>1097.3041666666666</v>
      </c>
      <c r="I144" s="320">
        <f t="shared" si="33"/>
        <v>261.26812208333331</v>
      </c>
      <c r="J144" s="320">
        <f t="shared" ref="J144:J149" si="36">F144/12</f>
        <v>1097.3041666666666</v>
      </c>
      <c r="K144" s="320">
        <f t="shared" si="34"/>
        <v>261.26812208333331</v>
      </c>
      <c r="L144" s="320">
        <f t="shared" ref="L144:L149" si="37">F144/13.5</f>
        <v>975.3814814814815</v>
      </c>
      <c r="M144" s="323">
        <f t="shared" ref="M144:M149" si="38">SUM(G144:L144)+F144</f>
        <v>19995.393523981482</v>
      </c>
    </row>
    <row r="145" spans="2:13" x14ac:dyDescent="0.2">
      <c r="B145" s="2" t="s">
        <v>506</v>
      </c>
      <c r="C145" s="2" t="s">
        <v>560</v>
      </c>
      <c r="D145" s="2" t="s">
        <v>570</v>
      </c>
      <c r="E145" s="2"/>
      <c r="F145" s="320">
        <v>17458.009999999998</v>
      </c>
      <c r="G145" s="320">
        <f t="shared" si="32"/>
        <v>4156.7521809999998</v>
      </c>
      <c r="H145" s="320">
        <f t="shared" si="35"/>
        <v>1454.8341666666665</v>
      </c>
      <c r="I145" s="320">
        <f t="shared" si="33"/>
        <v>346.39601508333334</v>
      </c>
      <c r="J145" s="320">
        <f t="shared" si="36"/>
        <v>1454.8341666666665</v>
      </c>
      <c r="K145" s="320">
        <f t="shared" si="34"/>
        <v>346.39601508333334</v>
      </c>
      <c r="L145" s="320">
        <f t="shared" si="37"/>
        <v>1293.1859259259259</v>
      </c>
      <c r="M145" s="323">
        <f t="shared" si="38"/>
        <v>26510.408470425922</v>
      </c>
    </row>
    <row r="146" spans="2:13" x14ac:dyDescent="0.2">
      <c r="B146" s="2" t="s">
        <v>507</v>
      </c>
      <c r="C146" s="2" t="s">
        <v>324</v>
      </c>
      <c r="D146" s="2" t="s">
        <v>324</v>
      </c>
      <c r="E146" s="2"/>
      <c r="F146" s="320">
        <v>70077.33</v>
      </c>
      <c r="G146" s="320">
        <f t="shared" si="32"/>
        <v>16685.412273000002</v>
      </c>
      <c r="H146" s="320">
        <f t="shared" si="35"/>
        <v>5839.7775000000001</v>
      </c>
      <c r="I146" s="320">
        <f t="shared" si="33"/>
        <v>1390.45102275</v>
      </c>
      <c r="J146" s="320">
        <f t="shared" si="36"/>
        <v>5839.7775000000001</v>
      </c>
      <c r="K146" s="320">
        <f t="shared" si="34"/>
        <v>1390.45102275</v>
      </c>
      <c r="L146" s="320">
        <f t="shared" si="37"/>
        <v>5190.9133333333339</v>
      </c>
      <c r="M146" s="323">
        <f t="shared" si="38"/>
        <v>106414.11265183333</v>
      </c>
    </row>
    <row r="147" spans="2:13" x14ac:dyDescent="0.2">
      <c r="B147" s="2" t="s">
        <v>508</v>
      </c>
      <c r="C147" s="2" t="s">
        <v>137</v>
      </c>
      <c r="D147" s="2" t="s">
        <v>325</v>
      </c>
      <c r="E147" s="2"/>
      <c r="F147" s="320">
        <v>24579.07</v>
      </c>
      <c r="G147" s="320">
        <f t="shared" si="32"/>
        <v>5852.2765669999999</v>
      </c>
      <c r="H147" s="320">
        <f t="shared" si="35"/>
        <v>2048.2558333333332</v>
      </c>
      <c r="I147" s="320">
        <f t="shared" si="33"/>
        <v>487.68971391666662</v>
      </c>
      <c r="J147" s="320">
        <f t="shared" si="36"/>
        <v>2048.2558333333332</v>
      </c>
      <c r="K147" s="320">
        <f t="shared" si="34"/>
        <v>487.68971391666662</v>
      </c>
      <c r="L147" s="320">
        <f t="shared" si="37"/>
        <v>1820.6718518518519</v>
      </c>
      <c r="M147" s="323">
        <f t="shared" si="38"/>
        <v>37323.909513351849</v>
      </c>
    </row>
    <row r="148" spans="2:13" x14ac:dyDescent="0.2">
      <c r="B148" s="2" t="s">
        <v>509</v>
      </c>
      <c r="C148" s="2" t="s">
        <v>137</v>
      </c>
      <c r="D148" s="2" t="s">
        <v>326</v>
      </c>
      <c r="E148" s="2"/>
      <c r="F148" s="320">
        <v>18431.41</v>
      </c>
      <c r="G148" s="320">
        <f t="shared" si="32"/>
        <v>4388.5187210000004</v>
      </c>
      <c r="H148" s="320">
        <f t="shared" si="35"/>
        <v>1535.9508333333333</v>
      </c>
      <c r="I148" s="320">
        <f t="shared" si="33"/>
        <v>365.70989341666666</v>
      </c>
      <c r="J148" s="320">
        <f t="shared" si="36"/>
        <v>1535.9508333333333</v>
      </c>
      <c r="K148" s="320">
        <f t="shared" si="34"/>
        <v>365.70989341666666</v>
      </c>
      <c r="L148" s="320">
        <f t="shared" si="37"/>
        <v>1365.2896296296296</v>
      </c>
      <c r="M148" s="323">
        <f t="shared" si="38"/>
        <v>27988.539804129628</v>
      </c>
    </row>
    <row r="149" spans="2:13" x14ac:dyDescent="0.2">
      <c r="B149" s="2" t="s">
        <v>510</v>
      </c>
      <c r="C149" s="2" t="s">
        <v>137</v>
      </c>
      <c r="D149" s="2" t="s">
        <v>327</v>
      </c>
      <c r="E149" s="2"/>
      <c r="F149" s="320">
        <v>23363.69</v>
      </c>
      <c r="G149" s="320">
        <f t="shared" si="32"/>
        <v>5562.8945889999995</v>
      </c>
      <c r="H149" s="320">
        <f t="shared" si="35"/>
        <v>1946.9741666666666</v>
      </c>
      <c r="I149" s="320">
        <f t="shared" si="33"/>
        <v>463.57454908333335</v>
      </c>
      <c r="J149" s="320">
        <f t="shared" si="36"/>
        <v>1946.9741666666666</v>
      </c>
      <c r="K149" s="320">
        <f t="shared" si="34"/>
        <v>463.57454908333335</v>
      </c>
      <c r="L149" s="320">
        <f t="shared" si="37"/>
        <v>1730.6437037037035</v>
      </c>
      <c r="M149" s="323">
        <f t="shared" si="38"/>
        <v>35478.3257242037</v>
      </c>
    </row>
    <row r="150" spans="2:13" x14ac:dyDescent="0.2">
      <c r="B150" s="2" t="s">
        <v>511</v>
      </c>
      <c r="C150" s="2" t="s">
        <v>137</v>
      </c>
      <c r="D150" s="2" t="s">
        <v>328</v>
      </c>
      <c r="E150" s="2"/>
      <c r="F150" s="320">
        <v>19680.900000000001</v>
      </c>
      <c r="G150" s="320">
        <f t="shared" si="32"/>
        <v>4686.0222900000008</v>
      </c>
      <c r="H150" s="320">
        <f t="shared" ref="H150:H186" si="39">F150/12</f>
        <v>1640.075</v>
      </c>
      <c r="I150" s="320">
        <f t="shared" si="33"/>
        <v>390.50185750000003</v>
      </c>
      <c r="J150" s="320">
        <f t="shared" ref="J150:J186" si="40">F150/12</f>
        <v>1640.075</v>
      </c>
      <c r="K150" s="320">
        <f t="shared" si="34"/>
        <v>390.50185750000003</v>
      </c>
      <c r="L150" s="320">
        <f t="shared" ref="L150:L186" si="41">F150/13.5</f>
        <v>1457.8444444444447</v>
      </c>
      <c r="M150" s="323">
        <f t="shared" ref="M150:M186" si="42">SUM(G150:L150)+F150</f>
        <v>29885.920449444449</v>
      </c>
    </row>
    <row r="151" spans="2:13" x14ac:dyDescent="0.2">
      <c r="B151" s="2" t="s">
        <v>512</v>
      </c>
      <c r="C151" s="2" t="s">
        <v>137</v>
      </c>
      <c r="D151" s="2" t="s">
        <v>329</v>
      </c>
      <c r="E151" s="2"/>
      <c r="F151" s="320">
        <v>10764.81</v>
      </c>
      <c r="G151" s="320">
        <f t="shared" si="32"/>
        <v>2563.1012609999998</v>
      </c>
      <c r="H151" s="320">
        <f t="shared" si="39"/>
        <v>897.0675</v>
      </c>
      <c r="I151" s="320">
        <f t="shared" si="33"/>
        <v>213.59177174999999</v>
      </c>
      <c r="J151" s="320">
        <f t="shared" si="40"/>
        <v>897.0675</v>
      </c>
      <c r="K151" s="320">
        <f t="shared" si="34"/>
        <v>213.59177174999999</v>
      </c>
      <c r="L151" s="320">
        <f t="shared" si="41"/>
        <v>797.39333333333332</v>
      </c>
      <c r="M151" s="323">
        <f t="shared" si="42"/>
        <v>16346.623137833332</v>
      </c>
    </row>
    <row r="152" spans="2:13" x14ac:dyDescent="0.2">
      <c r="B152" s="2" t="s">
        <v>513</v>
      </c>
      <c r="C152" s="2" t="s">
        <v>137</v>
      </c>
      <c r="D152" s="2" t="s">
        <v>330</v>
      </c>
      <c r="E152" s="2"/>
      <c r="F152" s="320">
        <v>17717.43</v>
      </c>
      <c r="G152" s="320">
        <f t="shared" si="32"/>
        <v>4218.5200830000003</v>
      </c>
      <c r="H152" s="320">
        <f t="shared" si="39"/>
        <v>1476.4525000000001</v>
      </c>
      <c r="I152" s="320">
        <f t="shared" si="33"/>
        <v>351.54334025000003</v>
      </c>
      <c r="J152" s="320">
        <f t="shared" si="40"/>
        <v>1476.4525000000001</v>
      </c>
      <c r="K152" s="320">
        <f t="shared" si="34"/>
        <v>351.54334025000003</v>
      </c>
      <c r="L152" s="320">
        <f t="shared" si="41"/>
        <v>1312.4022222222222</v>
      </c>
      <c r="M152" s="323">
        <f t="shared" si="42"/>
        <v>26904.343985722226</v>
      </c>
    </row>
    <row r="153" spans="2:13" x14ac:dyDescent="0.2">
      <c r="B153" s="2" t="s">
        <v>514</v>
      </c>
      <c r="C153" s="2" t="s">
        <v>137</v>
      </c>
      <c r="D153" s="2" t="s">
        <v>331</v>
      </c>
      <c r="E153" s="2"/>
      <c r="F153" s="320">
        <v>16581.22</v>
      </c>
      <c r="G153" s="320">
        <f t="shared" si="32"/>
        <v>3947.9884820000002</v>
      </c>
      <c r="H153" s="320">
        <f t="shared" si="39"/>
        <v>1381.7683333333334</v>
      </c>
      <c r="I153" s="320">
        <f t="shared" si="33"/>
        <v>328.9990401666667</v>
      </c>
      <c r="J153" s="320">
        <f t="shared" si="40"/>
        <v>1381.7683333333334</v>
      </c>
      <c r="K153" s="320">
        <f t="shared" si="34"/>
        <v>328.9990401666667</v>
      </c>
      <c r="L153" s="320">
        <f t="shared" si="41"/>
        <v>1228.2385185185185</v>
      </c>
      <c r="M153" s="323">
        <f t="shared" si="42"/>
        <v>25178.981747518519</v>
      </c>
    </row>
    <row r="154" spans="2:13" x14ac:dyDescent="0.2">
      <c r="B154" s="2" t="s">
        <v>515</v>
      </c>
      <c r="C154" s="2" t="s">
        <v>137</v>
      </c>
      <c r="D154" s="2" t="s">
        <v>332</v>
      </c>
      <c r="E154" s="2"/>
      <c r="F154" s="320">
        <v>13161.66</v>
      </c>
      <c r="G154" s="320">
        <f t="shared" si="32"/>
        <v>3133.7912460000002</v>
      </c>
      <c r="H154" s="320">
        <f t="shared" si="39"/>
        <v>1096.8050000000001</v>
      </c>
      <c r="I154" s="320">
        <f t="shared" si="33"/>
        <v>261.1492705</v>
      </c>
      <c r="J154" s="320">
        <f t="shared" si="40"/>
        <v>1096.8050000000001</v>
      </c>
      <c r="K154" s="320">
        <f t="shared" si="34"/>
        <v>261.1492705</v>
      </c>
      <c r="L154" s="320">
        <f t="shared" si="41"/>
        <v>974.9377777777778</v>
      </c>
      <c r="M154" s="323">
        <f t="shared" si="42"/>
        <v>19986.297564777778</v>
      </c>
    </row>
    <row r="155" spans="2:13" x14ac:dyDescent="0.2">
      <c r="B155" s="2" t="s">
        <v>516</v>
      </c>
      <c r="C155" s="2" t="s">
        <v>569</v>
      </c>
      <c r="D155" s="2" t="s">
        <v>333</v>
      </c>
      <c r="E155" s="2"/>
      <c r="F155" s="320">
        <v>16581.22</v>
      </c>
      <c r="G155" s="320">
        <f t="shared" si="32"/>
        <v>3947.9884820000002</v>
      </c>
      <c r="H155" s="320">
        <f t="shared" si="39"/>
        <v>1381.7683333333334</v>
      </c>
      <c r="I155" s="320">
        <f t="shared" si="33"/>
        <v>328.9990401666667</v>
      </c>
      <c r="J155" s="320">
        <f t="shared" si="40"/>
        <v>1381.7683333333334</v>
      </c>
      <c r="K155" s="320">
        <f t="shared" si="34"/>
        <v>328.9990401666667</v>
      </c>
      <c r="L155" s="320">
        <f t="shared" si="41"/>
        <v>1228.2385185185185</v>
      </c>
      <c r="M155" s="323">
        <f t="shared" si="42"/>
        <v>25178.981747518519</v>
      </c>
    </row>
    <row r="156" spans="2:13" x14ac:dyDescent="0.2">
      <c r="B156" s="2" t="s">
        <v>517</v>
      </c>
      <c r="C156" s="2" t="s">
        <v>569</v>
      </c>
      <c r="D156" s="2" t="s">
        <v>334</v>
      </c>
      <c r="E156" s="2"/>
      <c r="F156" s="320">
        <v>16581.22</v>
      </c>
      <c r="G156" s="320">
        <f t="shared" si="32"/>
        <v>3947.9884820000002</v>
      </c>
      <c r="H156" s="320">
        <f t="shared" si="39"/>
        <v>1381.7683333333334</v>
      </c>
      <c r="I156" s="320">
        <f t="shared" si="33"/>
        <v>328.9990401666667</v>
      </c>
      <c r="J156" s="320">
        <f t="shared" si="40"/>
        <v>1381.7683333333334</v>
      </c>
      <c r="K156" s="320">
        <f t="shared" si="34"/>
        <v>328.9990401666667</v>
      </c>
      <c r="L156" s="320">
        <f t="shared" si="41"/>
        <v>1228.2385185185185</v>
      </c>
      <c r="M156" s="323">
        <f t="shared" si="42"/>
        <v>25178.981747518519</v>
      </c>
    </row>
    <row r="157" spans="2:13" x14ac:dyDescent="0.2">
      <c r="B157" s="2" t="s">
        <v>518</v>
      </c>
      <c r="C157" s="2" t="s">
        <v>569</v>
      </c>
      <c r="D157" s="2" t="s">
        <v>335</v>
      </c>
      <c r="E157" s="2"/>
      <c r="F157" s="320">
        <v>16581.22</v>
      </c>
      <c r="G157" s="320">
        <f t="shared" si="32"/>
        <v>3947.9884820000002</v>
      </c>
      <c r="H157" s="320">
        <f t="shared" si="39"/>
        <v>1381.7683333333334</v>
      </c>
      <c r="I157" s="320">
        <f t="shared" si="33"/>
        <v>328.9990401666667</v>
      </c>
      <c r="J157" s="320">
        <f t="shared" si="40"/>
        <v>1381.7683333333334</v>
      </c>
      <c r="K157" s="320">
        <f t="shared" si="34"/>
        <v>328.9990401666667</v>
      </c>
      <c r="L157" s="320">
        <f t="shared" si="41"/>
        <v>1228.2385185185185</v>
      </c>
      <c r="M157" s="323">
        <f t="shared" si="42"/>
        <v>25178.981747518519</v>
      </c>
    </row>
    <row r="158" spans="2:13" x14ac:dyDescent="0.2">
      <c r="B158" s="2" t="s">
        <v>519</v>
      </c>
      <c r="C158" s="2" t="s">
        <v>569</v>
      </c>
      <c r="D158" s="2" t="s">
        <v>336</v>
      </c>
      <c r="E158" s="2"/>
      <c r="F158" s="320">
        <v>16581.22</v>
      </c>
      <c r="G158" s="320">
        <f t="shared" si="32"/>
        <v>3947.9884820000002</v>
      </c>
      <c r="H158" s="320">
        <f t="shared" si="39"/>
        <v>1381.7683333333334</v>
      </c>
      <c r="I158" s="320">
        <f t="shared" si="33"/>
        <v>328.9990401666667</v>
      </c>
      <c r="J158" s="320">
        <f t="shared" si="40"/>
        <v>1381.7683333333334</v>
      </c>
      <c r="K158" s="320">
        <f t="shared" si="34"/>
        <v>328.9990401666667</v>
      </c>
      <c r="L158" s="320">
        <f t="shared" si="41"/>
        <v>1228.2385185185185</v>
      </c>
      <c r="M158" s="323">
        <f t="shared" si="42"/>
        <v>25178.981747518519</v>
      </c>
    </row>
    <row r="159" spans="2:13" x14ac:dyDescent="0.2">
      <c r="B159" s="2" t="s">
        <v>520</v>
      </c>
      <c r="C159" s="2" t="s">
        <v>569</v>
      </c>
      <c r="D159" s="2" t="s">
        <v>337</v>
      </c>
      <c r="E159" s="2"/>
      <c r="F159" s="320">
        <v>16581.22</v>
      </c>
      <c r="G159" s="320">
        <f t="shared" si="32"/>
        <v>3947.9884820000002</v>
      </c>
      <c r="H159" s="320">
        <f t="shared" si="39"/>
        <v>1381.7683333333334</v>
      </c>
      <c r="I159" s="320">
        <f t="shared" si="33"/>
        <v>328.9990401666667</v>
      </c>
      <c r="J159" s="320">
        <f t="shared" si="40"/>
        <v>1381.7683333333334</v>
      </c>
      <c r="K159" s="320">
        <f t="shared" si="34"/>
        <v>328.9990401666667</v>
      </c>
      <c r="L159" s="320">
        <f t="shared" si="41"/>
        <v>1228.2385185185185</v>
      </c>
      <c r="M159" s="323">
        <f t="shared" si="42"/>
        <v>25178.981747518519</v>
      </c>
    </row>
    <row r="160" spans="2:13" x14ac:dyDescent="0.2">
      <c r="B160" s="2" t="s">
        <v>521</v>
      </c>
      <c r="C160" s="2" t="s">
        <v>569</v>
      </c>
      <c r="D160" s="2" t="s">
        <v>338</v>
      </c>
      <c r="E160" s="2"/>
      <c r="F160" s="320">
        <v>16581.22</v>
      </c>
      <c r="G160" s="320">
        <f t="shared" si="32"/>
        <v>3947.9884820000002</v>
      </c>
      <c r="H160" s="320">
        <f t="shared" si="39"/>
        <v>1381.7683333333334</v>
      </c>
      <c r="I160" s="320">
        <f t="shared" si="33"/>
        <v>328.9990401666667</v>
      </c>
      <c r="J160" s="320">
        <f t="shared" si="40"/>
        <v>1381.7683333333334</v>
      </c>
      <c r="K160" s="320">
        <f t="shared" si="34"/>
        <v>328.9990401666667</v>
      </c>
      <c r="L160" s="320">
        <f t="shared" si="41"/>
        <v>1228.2385185185185</v>
      </c>
      <c r="M160" s="323">
        <f t="shared" si="42"/>
        <v>25178.981747518519</v>
      </c>
    </row>
    <row r="161" spans="2:13" x14ac:dyDescent="0.2">
      <c r="B161" s="2" t="s">
        <v>522</v>
      </c>
      <c r="C161" s="2" t="s">
        <v>569</v>
      </c>
      <c r="D161" s="2" t="s">
        <v>339</v>
      </c>
      <c r="E161" s="2"/>
      <c r="F161" s="320">
        <v>16581.22</v>
      </c>
      <c r="G161" s="320">
        <f t="shared" si="32"/>
        <v>3947.9884820000002</v>
      </c>
      <c r="H161" s="320">
        <f t="shared" si="39"/>
        <v>1381.7683333333334</v>
      </c>
      <c r="I161" s="320">
        <f t="shared" si="33"/>
        <v>328.9990401666667</v>
      </c>
      <c r="J161" s="320">
        <f t="shared" si="40"/>
        <v>1381.7683333333334</v>
      </c>
      <c r="K161" s="320">
        <f t="shared" si="34"/>
        <v>328.9990401666667</v>
      </c>
      <c r="L161" s="320">
        <f t="shared" si="41"/>
        <v>1228.2385185185185</v>
      </c>
      <c r="M161" s="323">
        <f t="shared" si="42"/>
        <v>25178.981747518519</v>
      </c>
    </row>
    <row r="162" spans="2:13" x14ac:dyDescent="0.2">
      <c r="B162" s="2" t="s">
        <v>523</v>
      </c>
      <c r="C162" s="2" t="s">
        <v>569</v>
      </c>
      <c r="D162" s="2" t="s">
        <v>340</v>
      </c>
      <c r="E162" s="2"/>
      <c r="F162" s="320">
        <v>16581.22</v>
      </c>
      <c r="G162" s="320">
        <f t="shared" si="32"/>
        <v>3947.9884820000002</v>
      </c>
      <c r="H162" s="320">
        <f t="shared" si="39"/>
        <v>1381.7683333333334</v>
      </c>
      <c r="I162" s="320">
        <f t="shared" si="33"/>
        <v>328.9990401666667</v>
      </c>
      <c r="J162" s="320">
        <f t="shared" si="40"/>
        <v>1381.7683333333334</v>
      </c>
      <c r="K162" s="320">
        <f t="shared" si="34"/>
        <v>328.9990401666667</v>
      </c>
      <c r="L162" s="320">
        <f t="shared" si="41"/>
        <v>1228.2385185185185</v>
      </c>
      <c r="M162" s="323">
        <f t="shared" si="42"/>
        <v>25178.981747518519</v>
      </c>
    </row>
    <row r="163" spans="2:13" x14ac:dyDescent="0.2">
      <c r="B163" s="2" t="s">
        <v>524</v>
      </c>
      <c r="C163" s="2" t="s">
        <v>569</v>
      </c>
      <c r="D163" s="2" t="s">
        <v>341</v>
      </c>
      <c r="E163" s="2"/>
      <c r="F163" s="320">
        <v>16581.22</v>
      </c>
      <c r="G163" s="320">
        <f t="shared" si="32"/>
        <v>3947.9884820000002</v>
      </c>
      <c r="H163" s="320">
        <f t="shared" si="39"/>
        <v>1381.7683333333334</v>
      </c>
      <c r="I163" s="320">
        <f t="shared" si="33"/>
        <v>328.9990401666667</v>
      </c>
      <c r="J163" s="320">
        <f t="shared" si="40"/>
        <v>1381.7683333333334</v>
      </c>
      <c r="K163" s="320">
        <f t="shared" si="34"/>
        <v>328.9990401666667</v>
      </c>
      <c r="L163" s="320">
        <f t="shared" si="41"/>
        <v>1228.2385185185185</v>
      </c>
      <c r="M163" s="323">
        <f t="shared" si="42"/>
        <v>25178.981747518519</v>
      </c>
    </row>
    <row r="164" spans="2:13" x14ac:dyDescent="0.2">
      <c r="B164" s="2" t="s">
        <v>525</v>
      </c>
      <c r="C164" s="2" t="s">
        <v>569</v>
      </c>
      <c r="D164" s="2" t="s">
        <v>342</v>
      </c>
      <c r="E164" s="2"/>
      <c r="F164" s="320">
        <v>16581.22</v>
      </c>
      <c r="G164" s="320">
        <f t="shared" si="32"/>
        <v>3947.9884820000002</v>
      </c>
      <c r="H164" s="320">
        <f t="shared" si="39"/>
        <v>1381.7683333333334</v>
      </c>
      <c r="I164" s="320">
        <f t="shared" si="33"/>
        <v>328.9990401666667</v>
      </c>
      <c r="J164" s="320">
        <f t="shared" si="40"/>
        <v>1381.7683333333334</v>
      </c>
      <c r="K164" s="320">
        <f t="shared" si="34"/>
        <v>328.9990401666667</v>
      </c>
      <c r="L164" s="320">
        <f t="shared" si="41"/>
        <v>1228.2385185185185</v>
      </c>
      <c r="M164" s="323">
        <f t="shared" si="42"/>
        <v>25178.981747518519</v>
      </c>
    </row>
    <row r="165" spans="2:13" x14ac:dyDescent="0.2">
      <c r="B165" s="2" t="s">
        <v>526</v>
      </c>
      <c r="C165" s="2" t="s">
        <v>569</v>
      </c>
      <c r="D165" s="2" t="s">
        <v>343</v>
      </c>
      <c r="E165" s="2"/>
      <c r="F165" s="320">
        <v>16581.22</v>
      </c>
      <c r="G165" s="320">
        <f t="shared" si="32"/>
        <v>3947.9884820000002</v>
      </c>
      <c r="H165" s="320">
        <f t="shared" si="39"/>
        <v>1381.7683333333334</v>
      </c>
      <c r="I165" s="320">
        <f t="shared" si="33"/>
        <v>328.9990401666667</v>
      </c>
      <c r="J165" s="320">
        <f t="shared" si="40"/>
        <v>1381.7683333333334</v>
      </c>
      <c r="K165" s="320">
        <f t="shared" si="34"/>
        <v>328.9990401666667</v>
      </c>
      <c r="L165" s="320">
        <f t="shared" si="41"/>
        <v>1228.2385185185185</v>
      </c>
      <c r="M165" s="323">
        <f t="shared" si="42"/>
        <v>25178.981747518519</v>
      </c>
    </row>
    <row r="166" spans="2:13" x14ac:dyDescent="0.2">
      <c r="B166" s="2" t="s">
        <v>527</v>
      </c>
      <c r="C166" s="2" t="s">
        <v>569</v>
      </c>
      <c r="D166" s="2" t="s">
        <v>344</v>
      </c>
      <c r="E166" s="2"/>
      <c r="F166" s="320">
        <v>16581.22</v>
      </c>
      <c r="G166" s="320">
        <f t="shared" si="32"/>
        <v>3947.9884820000002</v>
      </c>
      <c r="H166" s="320">
        <f t="shared" si="39"/>
        <v>1381.7683333333334</v>
      </c>
      <c r="I166" s="320">
        <f t="shared" si="33"/>
        <v>328.9990401666667</v>
      </c>
      <c r="J166" s="320">
        <f t="shared" si="40"/>
        <v>1381.7683333333334</v>
      </c>
      <c r="K166" s="320">
        <f t="shared" si="34"/>
        <v>328.9990401666667</v>
      </c>
      <c r="L166" s="320">
        <f t="shared" si="41"/>
        <v>1228.2385185185185</v>
      </c>
      <c r="M166" s="323">
        <f t="shared" si="42"/>
        <v>25178.981747518519</v>
      </c>
    </row>
    <row r="167" spans="2:13" x14ac:dyDescent="0.2">
      <c r="B167" s="2" t="s">
        <v>528</v>
      </c>
      <c r="C167" s="2" t="s">
        <v>569</v>
      </c>
      <c r="D167" s="2" t="s">
        <v>345</v>
      </c>
      <c r="E167" s="2"/>
      <c r="F167" s="320">
        <v>16581.22</v>
      </c>
      <c r="G167" s="320">
        <f t="shared" si="32"/>
        <v>3947.9884820000002</v>
      </c>
      <c r="H167" s="320">
        <f t="shared" si="39"/>
        <v>1381.7683333333334</v>
      </c>
      <c r="I167" s="320">
        <f t="shared" si="33"/>
        <v>328.9990401666667</v>
      </c>
      <c r="J167" s="320">
        <f t="shared" si="40"/>
        <v>1381.7683333333334</v>
      </c>
      <c r="K167" s="320">
        <f t="shared" si="34"/>
        <v>328.9990401666667</v>
      </c>
      <c r="L167" s="320">
        <f t="shared" si="41"/>
        <v>1228.2385185185185</v>
      </c>
      <c r="M167" s="323">
        <f t="shared" si="42"/>
        <v>25178.981747518519</v>
      </c>
    </row>
    <row r="168" spans="2:13" x14ac:dyDescent="0.2">
      <c r="B168" s="2" t="s">
        <v>529</v>
      </c>
      <c r="C168" s="2" t="s">
        <v>569</v>
      </c>
      <c r="D168" s="2" t="s">
        <v>346</v>
      </c>
      <c r="E168" s="2"/>
      <c r="F168" s="320">
        <v>16581.22</v>
      </c>
      <c r="G168" s="320">
        <f t="shared" si="32"/>
        <v>3947.9884820000002</v>
      </c>
      <c r="H168" s="320">
        <f t="shared" si="39"/>
        <v>1381.7683333333334</v>
      </c>
      <c r="I168" s="320">
        <f t="shared" si="33"/>
        <v>328.9990401666667</v>
      </c>
      <c r="J168" s="320">
        <f t="shared" si="40"/>
        <v>1381.7683333333334</v>
      </c>
      <c r="K168" s="320">
        <f t="shared" si="34"/>
        <v>328.9990401666667</v>
      </c>
      <c r="L168" s="320">
        <f t="shared" si="41"/>
        <v>1228.2385185185185</v>
      </c>
      <c r="M168" s="323">
        <f t="shared" si="42"/>
        <v>25178.981747518519</v>
      </c>
    </row>
    <row r="169" spans="2:13" x14ac:dyDescent="0.2">
      <c r="B169" s="2" t="s">
        <v>530</v>
      </c>
      <c r="C169" s="2" t="s">
        <v>569</v>
      </c>
      <c r="D169" s="2" t="s">
        <v>347</v>
      </c>
      <c r="E169" s="2"/>
      <c r="F169" s="320">
        <v>16581.22</v>
      </c>
      <c r="G169" s="320">
        <f t="shared" si="32"/>
        <v>3947.9884820000002</v>
      </c>
      <c r="H169" s="320">
        <f t="shared" si="39"/>
        <v>1381.7683333333334</v>
      </c>
      <c r="I169" s="320">
        <f t="shared" si="33"/>
        <v>328.9990401666667</v>
      </c>
      <c r="J169" s="320">
        <f t="shared" si="40"/>
        <v>1381.7683333333334</v>
      </c>
      <c r="K169" s="320">
        <f t="shared" si="34"/>
        <v>328.9990401666667</v>
      </c>
      <c r="L169" s="320">
        <f t="shared" si="41"/>
        <v>1228.2385185185185</v>
      </c>
      <c r="M169" s="323">
        <f t="shared" si="42"/>
        <v>25178.981747518519</v>
      </c>
    </row>
    <row r="170" spans="2:13" x14ac:dyDescent="0.2">
      <c r="B170" s="2" t="s">
        <v>531</v>
      </c>
      <c r="C170" s="2" t="s">
        <v>569</v>
      </c>
      <c r="D170" s="2" t="s">
        <v>348</v>
      </c>
      <c r="E170" s="2"/>
      <c r="F170" s="320">
        <v>16581.22</v>
      </c>
      <c r="G170" s="320">
        <f t="shared" ref="G170:G194" si="43">F170*$E$4</f>
        <v>3947.9884820000002</v>
      </c>
      <c r="H170" s="320">
        <f t="shared" si="39"/>
        <v>1381.7683333333334</v>
      </c>
      <c r="I170" s="320">
        <f t="shared" ref="I170:I194" si="44">H170*$E$4</f>
        <v>328.9990401666667</v>
      </c>
      <c r="J170" s="320">
        <f t="shared" si="40"/>
        <v>1381.7683333333334</v>
      </c>
      <c r="K170" s="320">
        <f t="shared" ref="K170:K194" si="45">J170*$E$4</f>
        <v>328.9990401666667</v>
      </c>
      <c r="L170" s="320">
        <f t="shared" si="41"/>
        <v>1228.2385185185185</v>
      </c>
      <c r="M170" s="323">
        <f t="shared" si="42"/>
        <v>25178.981747518519</v>
      </c>
    </row>
    <row r="171" spans="2:13" x14ac:dyDescent="0.2">
      <c r="B171" s="2" t="s">
        <v>532</v>
      </c>
      <c r="C171" s="2" t="s">
        <v>569</v>
      </c>
      <c r="D171" s="2" t="s">
        <v>349</v>
      </c>
      <c r="E171" s="2"/>
      <c r="F171" s="320">
        <v>16581.22</v>
      </c>
      <c r="G171" s="320">
        <f t="shared" si="43"/>
        <v>3947.9884820000002</v>
      </c>
      <c r="H171" s="320">
        <f t="shared" si="39"/>
        <v>1381.7683333333334</v>
      </c>
      <c r="I171" s="320">
        <f t="shared" si="44"/>
        <v>328.9990401666667</v>
      </c>
      <c r="J171" s="320">
        <f t="shared" si="40"/>
        <v>1381.7683333333334</v>
      </c>
      <c r="K171" s="320">
        <f t="shared" si="45"/>
        <v>328.9990401666667</v>
      </c>
      <c r="L171" s="320">
        <f t="shared" si="41"/>
        <v>1228.2385185185185</v>
      </c>
      <c r="M171" s="323">
        <f t="shared" si="42"/>
        <v>25178.981747518519</v>
      </c>
    </row>
    <row r="172" spans="2:13" x14ac:dyDescent="0.2">
      <c r="B172" s="2" t="s">
        <v>533</v>
      </c>
      <c r="C172" s="2" t="s">
        <v>569</v>
      </c>
      <c r="D172" s="2" t="s">
        <v>350</v>
      </c>
      <c r="E172" s="2"/>
      <c r="F172" s="320">
        <v>16581.22</v>
      </c>
      <c r="G172" s="320">
        <f t="shared" si="43"/>
        <v>3947.9884820000002</v>
      </c>
      <c r="H172" s="320">
        <f t="shared" si="39"/>
        <v>1381.7683333333334</v>
      </c>
      <c r="I172" s="320">
        <f t="shared" si="44"/>
        <v>328.9990401666667</v>
      </c>
      <c r="J172" s="320">
        <f t="shared" si="40"/>
        <v>1381.7683333333334</v>
      </c>
      <c r="K172" s="320">
        <f t="shared" si="45"/>
        <v>328.9990401666667</v>
      </c>
      <c r="L172" s="320">
        <f t="shared" si="41"/>
        <v>1228.2385185185185</v>
      </c>
      <c r="M172" s="323">
        <f t="shared" si="42"/>
        <v>25178.981747518519</v>
      </c>
    </row>
    <row r="173" spans="2:13" x14ac:dyDescent="0.2">
      <c r="B173" s="2" t="s">
        <v>534</v>
      </c>
      <c r="C173" s="2" t="s">
        <v>569</v>
      </c>
      <c r="D173" s="2" t="s">
        <v>351</v>
      </c>
      <c r="E173" s="2"/>
      <c r="F173" s="320">
        <v>16581.22</v>
      </c>
      <c r="G173" s="320">
        <f t="shared" si="43"/>
        <v>3947.9884820000002</v>
      </c>
      <c r="H173" s="320">
        <f t="shared" si="39"/>
        <v>1381.7683333333334</v>
      </c>
      <c r="I173" s="320">
        <f t="shared" si="44"/>
        <v>328.9990401666667</v>
      </c>
      <c r="J173" s="320">
        <f t="shared" si="40"/>
        <v>1381.7683333333334</v>
      </c>
      <c r="K173" s="320">
        <f t="shared" si="45"/>
        <v>328.9990401666667</v>
      </c>
      <c r="L173" s="320">
        <f t="shared" si="41"/>
        <v>1228.2385185185185</v>
      </c>
      <c r="M173" s="323">
        <f t="shared" si="42"/>
        <v>25178.981747518519</v>
      </c>
    </row>
    <row r="174" spans="2:13" x14ac:dyDescent="0.2">
      <c r="B174" s="2" t="s">
        <v>535</v>
      </c>
      <c r="C174" s="2" t="s">
        <v>569</v>
      </c>
      <c r="D174" s="2" t="s">
        <v>352</v>
      </c>
      <c r="E174" s="2"/>
      <c r="F174" s="320">
        <v>16581.22</v>
      </c>
      <c r="G174" s="320">
        <f t="shared" si="43"/>
        <v>3947.9884820000002</v>
      </c>
      <c r="H174" s="320">
        <f t="shared" si="39"/>
        <v>1381.7683333333334</v>
      </c>
      <c r="I174" s="320">
        <f t="shared" si="44"/>
        <v>328.9990401666667</v>
      </c>
      <c r="J174" s="320">
        <f t="shared" si="40"/>
        <v>1381.7683333333334</v>
      </c>
      <c r="K174" s="320">
        <f t="shared" si="45"/>
        <v>328.9990401666667</v>
      </c>
      <c r="L174" s="320">
        <f t="shared" si="41"/>
        <v>1228.2385185185185</v>
      </c>
      <c r="M174" s="323">
        <f t="shared" si="42"/>
        <v>25178.981747518519</v>
      </c>
    </row>
    <row r="175" spans="2:13" x14ac:dyDescent="0.2">
      <c r="B175" s="2" t="s">
        <v>536</v>
      </c>
      <c r="C175" s="2" t="s">
        <v>569</v>
      </c>
      <c r="D175" s="2" t="s">
        <v>353</v>
      </c>
      <c r="E175" s="2"/>
      <c r="F175" s="320">
        <v>16581.22</v>
      </c>
      <c r="G175" s="320">
        <f t="shared" si="43"/>
        <v>3947.9884820000002</v>
      </c>
      <c r="H175" s="320">
        <f t="shared" si="39"/>
        <v>1381.7683333333334</v>
      </c>
      <c r="I175" s="320">
        <f t="shared" si="44"/>
        <v>328.9990401666667</v>
      </c>
      <c r="J175" s="320">
        <f t="shared" si="40"/>
        <v>1381.7683333333334</v>
      </c>
      <c r="K175" s="320">
        <f t="shared" si="45"/>
        <v>328.9990401666667</v>
      </c>
      <c r="L175" s="320">
        <f t="shared" si="41"/>
        <v>1228.2385185185185</v>
      </c>
      <c r="M175" s="323">
        <f t="shared" si="42"/>
        <v>25178.981747518519</v>
      </c>
    </row>
    <row r="176" spans="2:13" x14ac:dyDescent="0.2">
      <c r="B176" s="2" t="s">
        <v>537</v>
      </c>
      <c r="C176" s="2" t="s">
        <v>569</v>
      </c>
      <c r="D176" s="2" t="s">
        <v>354</v>
      </c>
      <c r="E176" s="2"/>
      <c r="F176" s="320">
        <v>16581.22</v>
      </c>
      <c r="G176" s="320">
        <f t="shared" si="43"/>
        <v>3947.9884820000002</v>
      </c>
      <c r="H176" s="320">
        <f t="shared" si="39"/>
        <v>1381.7683333333334</v>
      </c>
      <c r="I176" s="320">
        <f t="shared" si="44"/>
        <v>328.9990401666667</v>
      </c>
      <c r="J176" s="320">
        <f t="shared" si="40"/>
        <v>1381.7683333333334</v>
      </c>
      <c r="K176" s="320">
        <f t="shared" si="45"/>
        <v>328.9990401666667</v>
      </c>
      <c r="L176" s="320">
        <f t="shared" si="41"/>
        <v>1228.2385185185185</v>
      </c>
      <c r="M176" s="323">
        <f t="shared" si="42"/>
        <v>25178.981747518519</v>
      </c>
    </row>
    <row r="177" spans="2:13" x14ac:dyDescent="0.2">
      <c r="B177" s="2" t="s">
        <v>538</v>
      </c>
      <c r="C177" s="2" t="s">
        <v>569</v>
      </c>
      <c r="D177" s="2" t="s">
        <v>355</v>
      </c>
      <c r="E177" s="2"/>
      <c r="F177" s="320">
        <v>16581.22</v>
      </c>
      <c r="G177" s="320">
        <f t="shared" si="43"/>
        <v>3947.9884820000002</v>
      </c>
      <c r="H177" s="320">
        <f t="shared" si="39"/>
        <v>1381.7683333333334</v>
      </c>
      <c r="I177" s="320">
        <f t="shared" si="44"/>
        <v>328.9990401666667</v>
      </c>
      <c r="J177" s="320">
        <f t="shared" si="40"/>
        <v>1381.7683333333334</v>
      </c>
      <c r="K177" s="320">
        <f t="shared" si="45"/>
        <v>328.9990401666667</v>
      </c>
      <c r="L177" s="320">
        <f t="shared" si="41"/>
        <v>1228.2385185185185</v>
      </c>
      <c r="M177" s="323">
        <f t="shared" si="42"/>
        <v>25178.981747518519</v>
      </c>
    </row>
    <row r="178" spans="2:13" x14ac:dyDescent="0.2">
      <c r="B178" s="2" t="s">
        <v>539</v>
      </c>
      <c r="C178" s="2" t="s">
        <v>569</v>
      </c>
      <c r="D178" s="2" t="s">
        <v>356</v>
      </c>
      <c r="E178" s="2"/>
      <c r="F178" s="320">
        <v>16581.22</v>
      </c>
      <c r="G178" s="320">
        <f t="shared" si="43"/>
        <v>3947.9884820000002</v>
      </c>
      <c r="H178" s="320">
        <f t="shared" si="39"/>
        <v>1381.7683333333334</v>
      </c>
      <c r="I178" s="320">
        <f t="shared" si="44"/>
        <v>328.9990401666667</v>
      </c>
      <c r="J178" s="320">
        <f t="shared" si="40"/>
        <v>1381.7683333333334</v>
      </c>
      <c r="K178" s="320">
        <f t="shared" si="45"/>
        <v>328.9990401666667</v>
      </c>
      <c r="L178" s="320">
        <f t="shared" si="41"/>
        <v>1228.2385185185185</v>
      </c>
      <c r="M178" s="323">
        <f t="shared" si="42"/>
        <v>25178.981747518519</v>
      </c>
    </row>
    <row r="179" spans="2:13" x14ac:dyDescent="0.2">
      <c r="B179" s="2" t="s">
        <v>540</v>
      </c>
      <c r="C179" s="2" t="s">
        <v>569</v>
      </c>
      <c r="D179" s="2" t="s">
        <v>357</v>
      </c>
      <c r="E179" s="2"/>
      <c r="F179" s="320">
        <v>16581.22</v>
      </c>
      <c r="G179" s="320">
        <f t="shared" si="43"/>
        <v>3947.9884820000002</v>
      </c>
      <c r="H179" s="320">
        <f t="shared" si="39"/>
        <v>1381.7683333333334</v>
      </c>
      <c r="I179" s="320">
        <f t="shared" si="44"/>
        <v>328.9990401666667</v>
      </c>
      <c r="J179" s="320">
        <f t="shared" si="40"/>
        <v>1381.7683333333334</v>
      </c>
      <c r="K179" s="320">
        <f t="shared" si="45"/>
        <v>328.9990401666667</v>
      </c>
      <c r="L179" s="320">
        <f t="shared" si="41"/>
        <v>1228.2385185185185</v>
      </c>
      <c r="M179" s="323">
        <f t="shared" si="42"/>
        <v>25178.981747518519</v>
      </c>
    </row>
    <row r="180" spans="2:13" x14ac:dyDescent="0.2">
      <c r="B180" s="2" t="s">
        <v>541</v>
      </c>
      <c r="C180" s="2" t="s">
        <v>569</v>
      </c>
      <c r="D180" s="2" t="s">
        <v>358</v>
      </c>
      <c r="E180" s="2"/>
      <c r="F180" s="320">
        <v>16581.22</v>
      </c>
      <c r="G180" s="320">
        <f t="shared" si="43"/>
        <v>3947.9884820000002</v>
      </c>
      <c r="H180" s="320">
        <f t="shared" si="39"/>
        <v>1381.7683333333334</v>
      </c>
      <c r="I180" s="320">
        <f t="shared" si="44"/>
        <v>328.9990401666667</v>
      </c>
      <c r="J180" s="320">
        <f t="shared" si="40"/>
        <v>1381.7683333333334</v>
      </c>
      <c r="K180" s="320">
        <f t="shared" si="45"/>
        <v>328.9990401666667</v>
      </c>
      <c r="L180" s="320">
        <f t="shared" si="41"/>
        <v>1228.2385185185185</v>
      </c>
      <c r="M180" s="323">
        <f t="shared" si="42"/>
        <v>25178.981747518519</v>
      </c>
    </row>
    <row r="181" spans="2:13" x14ac:dyDescent="0.2">
      <c r="B181" s="2" t="s">
        <v>542</v>
      </c>
      <c r="C181" s="2" t="s">
        <v>569</v>
      </c>
      <c r="D181" s="2" t="s">
        <v>359</v>
      </c>
      <c r="E181" s="2"/>
      <c r="F181" s="320">
        <v>16581.22</v>
      </c>
      <c r="G181" s="320">
        <f t="shared" si="43"/>
        <v>3947.9884820000002</v>
      </c>
      <c r="H181" s="320">
        <f t="shared" si="39"/>
        <v>1381.7683333333334</v>
      </c>
      <c r="I181" s="320">
        <f t="shared" si="44"/>
        <v>328.9990401666667</v>
      </c>
      <c r="J181" s="320">
        <f t="shared" si="40"/>
        <v>1381.7683333333334</v>
      </c>
      <c r="K181" s="320">
        <f t="shared" si="45"/>
        <v>328.9990401666667</v>
      </c>
      <c r="L181" s="320">
        <f t="shared" si="41"/>
        <v>1228.2385185185185</v>
      </c>
      <c r="M181" s="323">
        <f t="shared" si="42"/>
        <v>25178.981747518519</v>
      </c>
    </row>
    <row r="182" spans="2:13" x14ac:dyDescent="0.2">
      <c r="B182" s="2" t="s">
        <v>543</v>
      </c>
      <c r="C182" s="2" t="s">
        <v>569</v>
      </c>
      <c r="D182" s="2" t="s">
        <v>360</v>
      </c>
      <c r="E182" s="2"/>
      <c r="F182" s="320">
        <v>16581.22</v>
      </c>
      <c r="G182" s="320">
        <f t="shared" si="43"/>
        <v>3947.9884820000002</v>
      </c>
      <c r="H182" s="320">
        <f t="shared" si="39"/>
        <v>1381.7683333333334</v>
      </c>
      <c r="I182" s="320">
        <f t="shared" si="44"/>
        <v>328.9990401666667</v>
      </c>
      <c r="J182" s="320">
        <f t="shared" si="40"/>
        <v>1381.7683333333334</v>
      </c>
      <c r="K182" s="320">
        <f t="shared" si="45"/>
        <v>328.9990401666667</v>
      </c>
      <c r="L182" s="320">
        <f t="shared" si="41"/>
        <v>1228.2385185185185</v>
      </c>
      <c r="M182" s="323">
        <f t="shared" si="42"/>
        <v>25178.981747518519</v>
      </c>
    </row>
    <row r="183" spans="2:13" x14ac:dyDescent="0.2">
      <c r="B183" s="2" t="s">
        <v>544</v>
      </c>
      <c r="C183" s="2" t="s">
        <v>569</v>
      </c>
      <c r="D183" s="2" t="s">
        <v>361</v>
      </c>
      <c r="E183" s="2"/>
      <c r="F183" s="320">
        <v>16581.22</v>
      </c>
      <c r="G183" s="320">
        <f t="shared" si="43"/>
        <v>3947.9884820000002</v>
      </c>
      <c r="H183" s="320">
        <f t="shared" si="39"/>
        <v>1381.7683333333334</v>
      </c>
      <c r="I183" s="320">
        <f t="shared" si="44"/>
        <v>328.9990401666667</v>
      </c>
      <c r="J183" s="320">
        <f t="shared" si="40"/>
        <v>1381.7683333333334</v>
      </c>
      <c r="K183" s="320">
        <f t="shared" si="45"/>
        <v>328.9990401666667</v>
      </c>
      <c r="L183" s="320">
        <f t="shared" si="41"/>
        <v>1228.2385185185185</v>
      </c>
      <c r="M183" s="323">
        <f t="shared" si="42"/>
        <v>25178.981747518519</v>
      </c>
    </row>
    <row r="184" spans="2:13" x14ac:dyDescent="0.2">
      <c r="B184" s="2" t="s">
        <v>545</v>
      </c>
      <c r="C184" s="2" t="s">
        <v>569</v>
      </c>
      <c r="D184" s="2" t="s">
        <v>362</v>
      </c>
      <c r="E184" s="2"/>
      <c r="F184" s="320">
        <v>16581.22</v>
      </c>
      <c r="G184" s="320">
        <f t="shared" si="43"/>
        <v>3947.9884820000002</v>
      </c>
      <c r="H184" s="320">
        <f t="shared" si="39"/>
        <v>1381.7683333333334</v>
      </c>
      <c r="I184" s="320">
        <f t="shared" si="44"/>
        <v>328.9990401666667</v>
      </c>
      <c r="J184" s="320">
        <f t="shared" si="40"/>
        <v>1381.7683333333334</v>
      </c>
      <c r="K184" s="320">
        <f t="shared" si="45"/>
        <v>328.9990401666667</v>
      </c>
      <c r="L184" s="320">
        <f t="shared" si="41"/>
        <v>1228.2385185185185</v>
      </c>
      <c r="M184" s="323">
        <f t="shared" si="42"/>
        <v>25178.981747518519</v>
      </c>
    </row>
    <row r="185" spans="2:13" x14ac:dyDescent="0.2">
      <c r="B185" s="2" t="s">
        <v>546</v>
      </c>
      <c r="C185" s="2" t="s">
        <v>558</v>
      </c>
      <c r="D185" s="2" t="s">
        <v>363</v>
      </c>
      <c r="E185" s="2"/>
      <c r="F185" s="320">
        <v>15973.53</v>
      </c>
      <c r="G185" s="320">
        <f t="shared" si="43"/>
        <v>3803.297493</v>
      </c>
      <c r="H185" s="320">
        <f t="shared" si="39"/>
        <v>1331.1275000000001</v>
      </c>
      <c r="I185" s="320">
        <f t="shared" si="44"/>
        <v>316.94145775000004</v>
      </c>
      <c r="J185" s="320">
        <f t="shared" si="40"/>
        <v>1331.1275000000001</v>
      </c>
      <c r="K185" s="320">
        <f t="shared" si="45"/>
        <v>316.94145775000004</v>
      </c>
      <c r="L185" s="320">
        <f t="shared" si="41"/>
        <v>1183.2244444444445</v>
      </c>
      <c r="M185" s="323">
        <f t="shared" si="42"/>
        <v>24256.189852944444</v>
      </c>
    </row>
    <row r="186" spans="2:13" x14ac:dyDescent="0.2">
      <c r="B186" s="2" t="s">
        <v>547</v>
      </c>
      <c r="C186" s="2" t="s">
        <v>558</v>
      </c>
      <c r="D186" s="2" t="s">
        <v>364</v>
      </c>
      <c r="E186" s="2"/>
      <c r="F186" s="320">
        <v>6334.83</v>
      </c>
      <c r="G186" s="320">
        <f t="shared" si="43"/>
        <v>1508.3230229999999</v>
      </c>
      <c r="H186" s="320">
        <f t="shared" si="39"/>
        <v>527.90250000000003</v>
      </c>
      <c r="I186" s="320">
        <f t="shared" si="44"/>
        <v>125.69358525000001</v>
      </c>
      <c r="J186" s="320">
        <f t="shared" si="40"/>
        <v>527.90250000000003</v>
      </c>
      <c r="K186" s="320">
        <f t="shared" si="45"/>
        <v>125.69358525000001</v>
      </c>
      <c r="L186" s="320">
        <f t="shared" si="41"/>
        <v>469.24666666666667</v>
      </c>
      <c r="M186" s="323">
        <f t="shared" si="42"/>
        <v>9619.5918601666672</v>
      </c>
    </row>
    <row r="187" spans="2:13" x14ac:dyDescent="0.2">
      <c r="B187" s="2" t="s">
        <v>548</v>
      </c>
      <c r="C187" s="2" t="s">
        <v>558</v>
      </c>
      <c r="D187" s="2" t="s">
        <v>365</v>
      </c>
      <c r="E187" s="2"/>
      <c r="F187" s="320">
        <v>6334.83</v>
      </c>
      <c r="G187" s="320">
        <f t="shared" si="43"/>
        <v>1508.3230229999999</v>
      </c>
      <c r="H187" s="320">
        <f t="shared" ref="H187:H194" si="46">F187/12</f>
        <v>527.90250000000003</v>
      </c>
      <c r="I187" s="320">
        <f t="shared" si="44"/>
        <v>125.69358525000001</v>
      </c>
      <c r="J187" s="320">
        <f t="shared" ref="J187:J194" si="47">F187/12</f>
        <v>527.90250000000003</v>
      </c>
      <c r="K187" s="320">
        <f t="shared" si="45"/>
        <v>125.69358525000001</v>
      </c>
      <c r="L187" s="320">
        <f t="shared" ref="L187:L194" si="48">F187/13.5</f>
        <v>469.24666666666667</v>
      </c>
      <c r="M187" s="323">
        <f t="shared" ref="M187:M194" si="49">SUM(G187:L187)+F187</f>
        <v>9619.5918601666672</v>
      </c>
    </row>
    <row r="188" spans="2:13" x14ac:dyDescent="0.2">
      <c r="B188" s="2" t="s">
        <v>549</v>
      </c>
      <c r="C188" s="2" t="s">
        <v>366</v>
      </c>
      <c r="D188" s="2" t="s">
        <v>366</v>
      </c>
      <c r="E188" s="2"/>
      <c r="F188" s="320">
        <v>55554.31</v>
      </c>
      <c r="G188" s="320">
        <f t="shared" si="43"/>
        <v>13227.481211</v>
      </c>
      <c r="H188" s="320">
        <f t="shared" si="46"/>
        <v>4629.5258333333331</v>
      </c>
      <c r="I188" s="320">
        <f t="shared" si="44"/>
        <v>1102.2901009166667</v>
      </c>
      <c r="J188" s="320">
        <f t="shared" si="47"/>
        <v>4629.5258333333331</v>
      </c>
      <c r="K188" s="320">
        <f t="shared" si="45"/>
        <v>1102.2901009166667</v>
      </c>
      <c r="L188" s="320">
        <f t="shared" si="48"/>
        <v>4115.1340740740743</v>
      </c>
      <c r="M188" s="323">
        <f t="shared" si="49"/>
        <v>84360.557153574075</v>
      </c>
    </row>
    <row r="189" spans="2:13" x14ac:dyDescent="0.2">
      <c r="B189" s="2" t="s">
        <v>550</v>
      </c>
      <c r="C189" s="2" t="s">
        <v>367</v>
      </c>
      <c r="D189" s="2" t="s">
        <v>367</v>
      </c>
      <c r="E189" s="2"/>
      <c r="F189" s="320">
        <v>12388.59</v>
      </c>
      <c r="G189" s="320">
        <f t="shared" si="43"/>
        <v>2949.7232790000003</v>
      </c>
      <c r="H189" s="320">
        <f t="shared" si="46"/>
        <v>1032.3824999999999</v>
      </c>
      <c r="I189" s="320">
        <f t="shared" si="44"/>
        <v>245.81027324999999</v>
      </c>
      <c r="J189" s="320">
        <f t="shared" si="47"/>
        <v>1032.3824999999999</v>
      </c>
      <c r="K189" s="320">
        <f t="shared" si="45"/>
        <v>245.81027324999999</v>
      </c>
      <c r="L189" s="320">
        <f t="shared" si="48"/>
        <v>917.67333333333329</v>
      </c>
      <c r="M189" s="323">
        <f t="shared" si="49"/>
        <v>18812.372158833336</v>
      </c>
    </row>
    <row r="190" spans="2:13" x14ac:dyDescent="0.2">
      <c r="B190" s="2" t="s">
        <v>551</v>
      </c>
      <c r="C190" s="2" t="s">
        <v>368</v>
      </c>
      <c r="D190" s="2" t="s">
        <v>368</v>
      </c>
      <c r="E190" s="2"/>
      <c r="F190" s="320">
        <v>17781.22</v>
      </c>
      <c r="G190" s="320">
        <f t="shared" si="43"/>
        <v>4233.708482</v>
      </c>
      <c r="H190" s="320">
        <f t="shared" si="46"/>
        <v>1481.7683333333334</v>
      </c>
      <c r="I190" s="320">
        <f t="shared" si="44"/>
        <v>352.8090401666667</v>
      </c>
      <c r="J190" s="320">
        <f t="shared" si="47"/>
        <v>1481.7683333333334</v>
      </c>
      <c r="K190" s="320">
        <f t="shared" si="45"/>
        <v>352.8090401666667</v>
      </c>
      <c r="L190" s="320">
        <f t="shared" si="48"/>
        <v>1317.1274074074074</v>
      </c>
      <c r="M190" s="323">
        <f t="shared" si="49"/>
        <v>27001.21063640741</v>
      </c>
    </row>
    <row r="191" spans="2:13" x14ac:dyDescent="0.2">
      <c r="B191" s="2" t="s">
        <v>552</v>
      </c>
      <c r="C191" s="2" t="s">
        <v>561</v>
      </c>
      <c r="D191" s="2" t="s">
        <v>369</v>
      </c>
      <c r="E191" s="2"/>
      <c r="F191" s="320">
        <v>22180.16</v>
      </c>
      <c r="G191" s="320">
        <f t="shared" si="43"/>
        <v>5281.0960960000002</v>
      </c>
      <c r="H191" s="320">
        <f t="shared" si="46"/>
        <v>1848.3466666666666</v>
      </c>
      <c r="I191" s="320">
        <f t="shared" si="44"/>
        <v>440.09134133333333</v>
      </c>
      <c r="J191" s="320">
        <f t="shared" si="47"/>
        <v>1848.3466666666666</v>
      </c>
      <c r="K191" s="320">
        <f t="shared" si="45"/>
        <v>440.09134133333333</v>
      </c>
      <c r="L191" s="320">
        <f t="shared" si="48"/>
        <v>1642.9748148148149</v>
      </c>
      <c r="M191" s="323">
        <f t="shared" si="49"/>
        <v>33681.106926814813</v>
      </c>
    </row>
    <row r="192" spans="2:13" x14ac:dyDescent="0.2">
      <c r="B192" s="2" t="s">
        <v>553</v>
      </c>
      <c r="C192" s="2" t="s">
        <v>562</v>
      </c>
      <c r="D192" s="2" t="s">
        <v>563</v>
      </c>
      <c r="E192" s="2"/>
      <c r="F192" s="320">
        <v>22111.67</v>
      </c>
      <c r="G192" s="320">
        <f t="shared" si="43"/>
        <v>5264.7886269999999</v>
      </c>
      <c r="H192" s="320">
        <f t="shared" si="46"/>
        <v>1842.6391666666666</v>
      </c>
      <c r="I192" s="320">
        <f t="shared" si="44"/>
        <v>438.73238558333333</v>
      </c>
      <c r="J192" s="320">
        <f t="shared" si="47"/>
        <v>1842.6391666666666</v>
      </c>
      <c r="K192" s="320">
        <f t="shared" si="45"/>
        <v>438.73238558333333</v>
      </c>
      <c r="L192" s="320">
        <f t="shared" si="48"/>
        <v>1637.9014814814814</v>
      </c>
      <c r="M192" s="323">
        <f t="shared" si="49"/>
        <v>33577.103212981478</v>
      </c>
    </row>
    <row r="193" spans="2:13" x14ac:dyDescent="0.2">
      <c r="B193" s="2" t="s">
        <v>554</v>
      </c>
      <c r="C193" s="2" t="s">
        <v>562</v>
      </c>
      <c r="D193" s="2" t="s">
        <v>564</v>
      </c>
      <c r="E193" s="2"/>
      <c r="F193" s="320">
        <v>16608.34</v>
      </c>
      <c r="G193" s="320">
        <f t="shared" si="43"/>
        <v>3954.4457540000003</v>
      </c>
      <c r="H193" s="320">
        <f t="shared" si="46"/>
        <v>1384.0283333333334</v>
      </c>
      <c r="I193" s="320">
        <f t="shared" si="44"/>
        <v>329.53714616666667</v>
      </c>
      <c r="J193" s="320">
        <f t="shared" si="47"/>
        <v>1384.0283333333334</v>
      </c>
      <c r="K193" s="320">
        <f t="shared" si="45"/>
        <v>329.53714616666667</v>
      </c>
      <c r="L193" s="320">
        <f t="shared" si="48"/>
        <v>1230.2474074074073</v>
      </c>
      <c r="M193" s="323">
        <f t="shared" si="49"/>
        <v>25220.164120407408</v>
      </c>
    </row>
    <row r="194" spans="2:13" s="326" customFormat="1" ht="15" thickBot="1" x14ac:dyDescent="0.25">
      <c r="B194" s="2" t="s">
        <v>555</v>
      </c>
      <c r="C194" s="2" t="s">
        <v>370</v>
      </c>
      <c r="D194" s="2" t="s">
        <v>370</v>
      </c>
      <c r="E194" s="2"/>
      <c r="F194" s="320">
        <v>105583.33</v>
      </c>
      <c r="G194" s="320">
        <f t="shared" si="43"/>
        <v>25139.390873</v>
      </c>
      <c r="H194" s="320">
        <f t="shared" si="46"/>
        <v>8798.6108333333341</v>
      </c>
      <c r="I194" s="320">
        <f t="shared" si="44"/>
        <v>2094.9492394166668</v>
      </c>
      <c r="J194" s="320">
        <f t="shared" si="47"/>
        <v>8798.6108333333341</v>
      </c>
      <c r="K194" s="320">
        <f t="shared" si="45"/>
        <v>2094.9492394166668</v>
      </c>
      <c r="L194" s="320">
        <f t="shared" si="48"/>
        <v>7820.9874074074078</v>
      </c>
      <c r="M194" s="323">
        <f t="shared" si="49"/>
        <v>160330.82842590741</v>
      </c>
    </row>
    <row r="195" spans="2:13" ht="15" thickBot="1" x14ac:dyDescent="0.25">
      <c r="B195" s="327" t="s">
        <v>3</v>
      </c>
      <c r="C195" s="328"/>
      <c r="D195" s="328"/>
      <c r="E195" s="328"/>
      <c r="F195" s="329">
        <f>SUBTOTAL(109,Tabella2[RAL])</f>
        <v>3258955.9800000112</v>
      </c>
      <c r="G195" s="329">
        <f>SUBTOTAL(109,Tabella2[Contributi])</f>
        <v>775957.41883799736</v>
      </c>
      <c r="H195" s="329">
        <f>SUBTOTAL(109,Tabella2[13ma])</f>
        <v>271579.66499999998</v>
      </c>
      <c r="I195" s="329">
        <f>SUBTOTAL(109,Tabella2[Contributi 13ma])</f>
        <v>64663.118236499991</v>
      </c>
      <c r="J195" s="329">
        <f>SUBTOTAL(109,Tabella2[14ma])</f>
        <v>271579.66499999998</v>
      </c>
      <c r="K195" s="329">
        <f>SUBTOTAL(109,Tabella2[Contributi 14m])</f>
        <v>64663.118236499991</v>
      </c>
      <c r="L195" s="329">
        <f>SUBTOTAL(109,Tabella2[TFR])</f>
        <v>241404.14666666702</v>
      </c>
      <c r="M195" s="330">
        <f>SUBTOTAL(109,Tabella2[Costo totale])</f>
        <v>4948803.1119776675</v>
      </c>
    </row>
  </sheetData>
  <mergeCells count="1">
    <mergeCell ref="B8:L8"/>
  </mergeCells>
  <phoneticPr fontId="4" type="noConversion"/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3C30-7518-7946-B576-CD2DF3AE45E2}">
  <sheetPr codeName="Foglio17"/>
  <dimension ref="B2:AC50"/>
  <sheetViews>
    <sheetView showGridLines="0" topLeftCell="A4" zoomScale="133" zoomScaleNormal="160" workbookViewId="0">
      <selection activeCell="B2" sqref="B2"/>
    </sheetView>
  </sheetViews>
  <sheetFormatPr baseColWidth="10" defaultRowHeight="16" x14ac:dyDescent="0.2"/>
  <cols>
    <col min="1" max="1" width="10.83203125" style="3"/>
    <col min="2" max="2" width="27.33203125" style="3" bestFit="1" customWidth="1"/>
    <col min="3" max="3" width="11.1640625" style="16" customWidth="1"/>
    <col min="4" max="10" width="11.1640625" style="3" customWidth="1"/>
    <col min="11" max="12" width="12.1640625" style="3" customWidth="1"/>
    <col min="13" max="14" width="11" style="3" customWidth="1"/>
    <col min="15" max="15" width="11.5" style="3" customWidth="1"/>
    <col min="16" max="16" width="13" style="3" customWidth="1"/>
    <col min="17" max="18" width="11.1640625" style="3" customWidth="1"/>
    <col min="19" max="20" width="12.1640625" style="3" customWidth="1"/>
    <col min="21" max="21" width="10.83203125" style="3" customWidth="1"/>
    <col min="22" max="22" width="10.83203125" style="3"/>
    <col min="23" max="23" width="13" style="3" customWidth="1"/>
    <col min="24" max="25" width="11.1640625" style="3" customWidth="1"/>
    <col min="26" max="27" width="12.1640625" style="3" customWidth="1"/>
    <col min="28" max="16384" width="10.83203125" style="3"/>
  </cols>
  <sheetData>
    <row r="2" spans="2:29" x14ac:dyDescent="0.2">
      <c r="B2" s="77" t="s">
        <v>821</v>
      </c>
    </row>
    <row r="3" spans="2:29" ht="17" thickBot="1" x14ac:dyDescent="0.25">
      <c r="B3" s="77"/>
    </row>
    <row r="4" spans="2:29" x14ac:dyDescent="0.2">
      <c r="B4" s="13"/>
      <c r="C4" s="676"/>
      <c r="D4" s="670"/>
      <c r="E4" s="670"/>
      <c r="F4" s="670"/>
      <c r="G4" s="670"/>
      <c r="H4" s="670"/>
      <c r="I4" s="670"/>
      <c r="J4" s="670"/>
      <c r="K4" s="670"/>
      <c r="L4" s="671"/>
      <c r="M4" s="80"/>
      <c r="N4" s="80"/>
      <c r="O4" s="80"/>
      <c r="P4" s="670" t="s">
        <v>72</v>
      </c>
      <c r="Q4" s="670"/>
      <c r="R4" s="670"/>
      <c r="S4" s="670"/>
      <c r="T4" s="671"/>
      <c r="U4" s="80"/>
      <c r="V4" s="675" t="s">
        <v>98</v>
      </c>
      <c r="W4" s="663"/>
      <c r="X4" s="663"/>
      <c r="Y4" s="663"/>
      <c r="Z4" s="663"/>
      <c r="AA4" s="664"/>
    </row>
    <row r="5" spans="2:29" x14ac:dyDescent="0.2">
      <c r="B5" s="87"/>
      <c r="C5" s="318" t="s">
        <v>565</v>
      </c>
      <c r="D5" s="319" t="s">
        <v>177</v>
      </c>
      <c r="E5" s="319" t="s">
        <v>566</v>
      </c>
      <c r="F5" s="319" t="s">
        <v>43</v>
      </c>
      <c r="G5" s="319" t="s">
        <v>178</v>
      </c>
      <c r="H5" s="319" t="s">
        <v>44</v>
      </c>
      <c r="I5" s="319" t="s">
        <v>567</v>
      </c>
      <c r="J5" s="86" t="s">
        <v>47</v>
      </c>
      <c r="K5" s="332" t="s">
        <v>180</v>
      </c>
      <c r="L5" s="333" t="s">
        <v>573</v>
      </c>
      <c r="P5" s="319" t="s">
        <v>177</v>
      </c>
      <c r="Q5" s="319" t="s">
        <v>566</v>
      </c>
      <c r="R5" s="86" t="s">
        <v>47</v>
      </c>
      <c r="S5" s="332" t="s">
        <v>180</v>
      </c>
      <c r="T5" s="333" t="s">
        <v>573</v>
      </c>
      <c r="V5" s="318" t="s">
        <v>565</v>
      </c>
      <c r="W5" s="319" t="s">
        <v>177</v>
      </c>
      <c r="X5" s="319" t="s">
        <v>566</v>
      </c>
      <c r="Y5" s="86" t="s">
        <v>47</v>
      </c>
      <c r="Z5" s="585" t="s">
        <v>180</v>
      </c>
      <c r="AA5" s="333" t="s">
        <v>573</v>
      </c>
    </row>
    <row r="6" spans="2:29" x14ac:dyDescent="0.2">
      <c r="B6" s="334" t="s">
        <v>370</v>
      </c>
      <c r="C6" s="75">
        <f>COUNTIF(Tabella2[Funzioni],'Tab. 13'!B6)</f>
        <v>1</v>
      </c>
      <c r="D6" s="78">
        <f>SUMIF(Tabella2[Funzioni],'Tab. 13'!$B6,Tabella2[RAL])</f>
        <v>105583.33</v>
      </c>
      <c r="E6" s="78">
        <f>SUMIF(Tabella2[Funzioni],'Tab. 13'!$B6,Tabella2[Contributi])</f>
        <v>25139.390873</v>
      </c>
      <c r="F6" s="78">
        <f>SUMIF(Tabella2[Funzioni],'Tab. 13'!$B6,Tabella2[13ma])</f>
        <v>8798.6108333333341</v>
      </c>
      <c r="G6" s="78">
        <f>SUMIF(Tabella2[Funzioni],'Tab. 13'!$B6,Tabella2[Contributi 13ma])</f>
        <v>2094.9492394166668</v>
      </c>
      <c r="H6" s="78">
        <f>SUMIF(Tabella2[Funzioni],'Tab. 13'!$B6,Tabella2[14ma])</f>
        <v>8798.6108333333341</v>
      </c>
      <c r="I6" s="78">
        <f>SUMIF(Tabella2[Funzioni],'Tab. 13'!$B6,Tabella2[Contributi 14m])</f>
        <v>2094.9492394166668</v>
      </c>
      <c r="J6" s="78">
        <f>SUMIF(Tabella2[Funzioni],'Tab. 13'!$B6,Tabella2[TFR])</f>
        <v>7820.9874074074078</v>
      </c>
      <c r="K6" s="335">
        <f>SUM(D6:J6)</f>
        <v>160330.82842590738</v>
      </c>
      <c r="L6" s="336">
        <f>K6/C6</f>
        <v>160330.82842590738</v>
      </c>
      <c r="P6" s="78">
        <f>D6+F6+H6</f>
        <v>123180.55166666668</v>
      </c>
      <c r="Q6" s="78">
        <f>E6+G6+I6</f>
        <v>29329.289351833333</v>
      </c>
      <c r="R6" s="78">
        <f>J6</f>
        <v>7820.9874074074078</v>
      </c>
      <c r="S6" s="335">
        <f>SUM(P6:R6)</f>
        <v>160330.82842590741</v>
      </c>
      <c r="T6" s="336">
        <f>S6/C6</f>
        <v>160330.82842590741</v>
      </c>
      <c r="V6" s="75">
        <f>+C6</f>
        <v>1</v>
      </c>
      <c r="W6" s="78">
        <f>+P6</f>
        <v>123180.55166666668</v>
      </c>
      <c r="X6" s="78">
        <f t="shared" ref="X6:Y6" si="0">+Q6</f>
        <v>29329.289351833333</v>
      </c>
      <c r="Y6" s="78">
        <f t="shared" si="0"/>
        <v>7820.9874074074078</v>
      </c>
      <c r="Z6" s="586">
        <f>SUM(W6:Y6)</f>
        <v>160330.82842590741</v>
      </c>
      <c r="AA6" s="336">
        <f>Z6/V6</f>
        <v>160330.82842590741</v>
      </c>
      <c r="AC6" s="73">
        <f>+Z6-'Tab. 14'!O20</f>
        <v>0</v>
      </c>
    </row>
    <row r="7" spans="2:29" x14ac:dyDescent="0.2">
      <c r="B7" s="337"/>
      <c r="D7" s="73"/>
      <c r="E7" s="73"/>
      <c r="F7" s="73"/>
      <c r="G7" s="73"/>
      <c r="H7" s="73"/>
      <c r="I7" s="73"/>
      <c r="J7" s="73"/>
      <c r="K7" s="338"/>
      <c r="L7" s="339"/>
      <c r="P7" s="73"/>
      <c r="Q7" s="73"/>
      <c r="R7" s="73"/>
      <c r="S7" s="338"/>
      <c r="T7" s="339"/>
      <c r="V7" s="16"/>
      <c r="W7" s="73"/>
      <c r="X7" s="73"/>
      <c r="Y7" s="73"/>
      <c r="Z7" s="587"/>
      <c r="AA7" s="339"/>
    </row>
    <row r="8" spans="2:29" x14ac:dyDescent="0.2">
      <c r="B8" s="337" t="s">
        <v>181</v>
      </c>
      <c r="C8" s="16">
        <f>COUNTIF(Tabella2[Funzioni],'Tab. 13'!B8)</f>
        <v>1</v>
      </c>
      <c r="D8" s="81">
        <f>SUMIF(Tabella2[Funzioni],'Tab. 13'!$B8,Tabella2[RAL])</f>
        <v>52666.67</v>
      </c>
      <c r="E8" s="81">
        <f>SUMIF(Tabella2[Funzioni],'Tab. 13'!$B8,Tabella2[Contributi])</f>
        <v>12539.934127</v>
      </c>
      <c r="F8" s="81">
        <f>SUMIF(Tabella2[Funzioni],'Tab. 13'!$B8,Tabella2[13ma])</f>
        <v>4388.8891666666668</v>
      </c>
      <c r="G8" s="81">
        <f>SUMIF(Tabella2[Funzioni],'Tab. 13'!$B8,Tabella2[Contributi 13ma])</f>
        <v>1044.9945105833333</v>
      </c>
      <c r="H8" s="81">
        <f>SUMIF(Tabella2[Funzioni],'Tab. 13'!$B8,Tabella2[14ma])</f>
        <v>4388.8891666666668</v>
      </c>
      <c r="I8" s="81">
        <f>SUMIF(Tabella2[Funzioni],'Tab. 13'!$B8,Tabella2[Contributi 14m])</f>
        <v>1044.9945105833333</v>
      </c>
      <c r="J8" s="81">
        <f>SUMIF(Tabella2[Funzioni],'Tab. 13'!$B8,Tabella2[TFR])</f>
        <v>3901.2348148148149</v>
      </c>
      <c r="K8" s="338">
        <f>SUM(D8:J8)</f>
        <v>79975.6062963148</v>
      </c>
      <c r="L8" s="339">
        <f>K8/C8</f>
        <v>79975.6062963148</v>
      </c>
      <c r="N8" s="73">
        <f>K11/235*18</f>
        <v>13578.421535126241</v>
      </c>
      <c r="P8" s="81">
        <f t="shared" ref="P8:P10" si="1">D8+F8+H8</f>
        <v>61444.448333333334</v>
      </c>
      <c r="Q8" s="81">
        <f t="shared" ref="Q8:Q10" si="2">E8+G8+I8</f>
        <v>14629.923148166668</v>
      </c>
      <c r="R8" s="81">
        <f t="shared" ref="R8:R10" si="3">J8</f>
        <v>3901.2348148148149</v>
      </c>
      <c r="S8" s="338">
        <f t="shared" ref="S8:S10" si="4">SUM(P8:R8)</f>
        <v>79975.606296314814</v>
      </c>
      <c r="T8" s="339">
        <f t="shared" ref="T8:T11" si="5">S8/C8</f>
        <v>79975.606296314814</v>
      </c>
      <c r="V8" s="16">
        <f>+C8</f>
        <v>1</v>
      </c>
      <c r="W8" s="81">
        <f>+P8</f>
        <v>61444.448333333334</v>
      </c>
      <c r="X8" s="81">
        <f t="shared" ref="X8" si="6">+Q8</f>
        <v>14629.923148166668</v>
      </c>
      <c r="Y8" s="81">
        <f t="shared" ref="Y8" si="7">+R8</f>
        <v>3901.2348148148149</v>
      </c>
      <c r="Z8" s="587">
        <f t="shared" ref="Z8:Z10" si="8">SUM(W8:Y8)</f>
        <v>79975.606296314814</v>
      </c>
      <c r="AA8" s="339">
        <f t="shared" ref="AA8:AA38" si="9">Z8/V8</f>
        <v>79975.606296314814</v>
      </c>
    </row>
    <row r="9" spans="2:29" x14ac:dyDescent="0.2">
      <c r="B9" s="337" t="s">
        <v>295</v>
      </c>
      <c r="C9" s="16">
        <f>COUNTIF(Tabella2[Funzioni],'Tab. 13'!B9)</f>
        <v>1</v>
      </c>
      <c r="D9" s="81">
        <f>SUMIF(Tabella2[Funzioni],'Tab. 13'!$B9,Tabella2[RAL])</f>
        <v>23537.57</v>
      </c>
      <c r="E9" s="81">
        <f>SUMIF(Tabella2[Funzioni],'Tab. 13'!$B9,Tabella2[Contributi])</f>
        <v>5604.2954170000003</v>
      </c>
      <c r="F9" s="81">
        <f>SUMIF(Tabella2[Funzioni],'Tab. 13'!$B9,Tabella2[13ma])</f>
        <v>1961.4641666666666</v>
      </c>
      <c r="G9" s="81">
        <f>SUMIF(Tabella2[Funzioni],'Tab. 13'!$B9,Tabella2[Contributi 13ma])</f>
        <v>467.02461808333334</v>
      </c>
      <c r="H9" s="81">
        <f>SUMIF(Tabella2[Funzioni],'Tab. 13'!$B9,Tabella2[14ma])</f>
        <v>1961.4641666666666</v>
      </c>
      <c r="I9" s="81">
        <f>SUMIF(Tabella2[Funzioni],'Tab. 13'!$B9,Tabella2[Contributi 14m])</f>
        <v>467.02461808333334</v>
      </c>
      <c r="J9" s="81">
        <f>SUMIF(Tabella2[Funzioni],'Tab. 13'!$B9,Tabella2[TFR])</f>
        <v>1743.5237037037036</v>
      </c>
      <c r="K9" s="338">
        <f>SUM(D9:J9)</f>
        <v>35742.3666902037</v>
      </c>
      <c r="L9" s="339">
        <f>K9/C9</f>
        <v>35742.3666902037</v>
      </c>
      <c r="P9" s="81">
        <f t="shared" si="1"/>
        <v>27460.498333333329</v>
      </c>
      <c r="Q9" s="81">
        <f t="shared" si="2"/>
        <v>6538.3446531666677</v>
      </c>
      <c r="R9" s="81">
        <f t="shared" si="3"/>
        <v>1743.5237037037036</v>
      </c>
      <c r="S9" s="338">
        <f t="shared" si="4"/>
        <v>35742.3666902037</v>
      </c>
      <c r="T9" s="339">
        <f t="shared" si="5"/>
        <v>35742.3666902037</v>
      </c>
      <c r="V9" s="16">
        <f t="shared" ref="V9:V10" si="10">+C9</f>
        <v>1</v>
      </c>
      <c r="W9" s="81">
        <f t="shared" ref="W9:W10" si="11">+P9</f>
        <v>27460.498333333329</v>
      </c>
      <c r="X9" s="81">
        <f t="shared" ref="X9:X10" si="12">+Q9</f>
        <v>6538.3446531666677</v>
      </c>
      <c r="Y9" s="81">
        <f t="shared" ref="Y9:Y10" si="13">+R9</f>
        <v>1743.5237037037036</v>
      </c>
      <c r="Z9" s="587">
        <f t="shared" si="8"/>
        <v>35742.3666902037</v>
      </c>
      <c r="AA9" s="339">
        <f t="shared" si="9"/>
        <v>35742.3666902037</v>
      </c>
    </row>
    <row r="10" spans="2:29" x14ac:dyDescent="0.2">
      <c r="B10" s="337" t="s">
        <v>296</v>
      </c>
      <c r="C10" s="16">
        <f>COUNTIF(Tabella2[Funzioni],'Tab. 13'!B10)</f>
        <v>1</v>
      </c>
      <c r="D10" s="81">
        <f>SUMIF(Tabella2[Funzioni],'Tab. 13'!$B10,Tabella2[RAL])</f>
        <v>40536.639999999999</v>
      </c>
      <c r="E10" s="81">
        <f>SUMIF(Tabella2[Funzioni],'Tab. 13'!$B10,Tabella2[Contributi])</f>
        <v>9651.7739839999995</v>
      </c>
      <c r="F10" s="81">
        <f>SUMIF(Tabella2[Funzioni],'Tab. 13'!$B10,Tabella2[13ma])</f>
        <v>3378.0533333333333</v>
      </c>
      <c r="G10" s="81">
        <f>SUMIF(Tabella2[Funzioni],'Tab. 13'!$B10,Tabella2[Contributi 13ma])</f>
        <v>804.31449866666662</v>
      </c>
      <c r="H10" s="81">
        <f>SUMIF(Tabella2[Funzioni],'Tab. 13'!$B10,Tabella2[14ma])</f>
        <v>3378.0533333333333</v>
      </c>
      <c r="I10" s="81">
        <f>SUMIF(Tabella2[Funzioni],'Tab. 13'!$B10,Tabella2[Contributi 14m])</f>
        <v>804.31449866666662</v>
      </c>
      <c r="J10" s="81">
        <f>SUMIF(Tabella2[Funzioni],'Tab. 13'!$B10,Tabella2[TFR])</f>
        <v>3002.7140740740742</v>
      </c>
      <c r="K10" s="338">
        <f>SUM(D10:J10)</f>
        <v>61555.863722074071</v>
      </c>
      <c r="L10" s="339">
        <f>K10/C10</f>
        <v>61555.863722074071</v>
      </c>
      <c r="P10" s="81">
        <f t="shared" si="1"/>
        <v>47292.746666666659</v>
      </c>
      <c r="Q10" s="81">
        <f t="shared" si="2"/>
        <v>11260.402981333333</v>
      </c>
      <c r="R10" s="81">
        <f t="shared" si="3"/>
        <v>3002.7140740740742</v>
      </c>
      <c r="S10" s="338">
        <f t="shared" si="4"/>
        <v>61555.863722074064</v>
      </c>
      <c r="T10" s="339">
        <f t="shared" si="5"/>
        <v>61555.863722074064</v>
      </c>
      <c r="V10" s="16">
        <f t="shared" si="10"/>
        <v>1</v>
      </c>
      <c r="W10" s="81">
        <f t="shared" si="11"/>
        <v>47292.746666666659</v>
      </c>
      <c r="X10" s="81">
        <f t="shared" si="12"/>
        <v>11260.402981333333</v>
      </c>
      <c r="Y10" s="81">
        <f t="shared" si="13"/>
        <v>3002.7140740740742</v>
      </c>
      <c r="Z10" s="587">
        <f t="shared" si="8"/>
        <v>61555.863722074064</v>
      </c>
      <c r="AA10" s="339">
        <f t="shared" si="9"/>
        <v>61555.863722074064</v>
      </c>
    </row>
    <row r="11" spans="2:29" x14ac:dyDescent="0.2">
      <c r="B11" s="334" t="s">
        <v>557</v>
      </c>
      <c r="C11" s="75">
        <f t="shared" ref="C11:K11" si="14">SUM(C8:C10)</f>
        <v>3</v>
      </c>
      <c r="D11" s="78">
        <f t="shared" si="14"/>
        <v>116740.87999999999</v>
      </c>
      <c r="E11" s="78">
        <f t="shared" si="14"/>
        <v>27796.003528000001</v>
      </c>
      <c r="F11" s="78">
        <f t="shared" si="14"/>
        <v>9728.4066666666658</v>
      </c>
      <c r="G11" s="78">
        <f t="shared" si="14"/>
        <v>2316.3336273333334</v>
      </c>
      <c r="H11" s="78">
        <f t="shared" si="14"/>
        <v>9728.4066666666658</v>
      </c>
      <c r="I11" s="78">
        <f t="shared" si="14"/>
        <v>2316.3336273333334</v>
      </c>
      <c r="J11" s="78">
        <f t="shared" si="14"/>
        <v>8647.4725925925923</v>
      </c>
      <c r="K11" s="335">
        <f t="shared" si="14"/>
        <v>177273.83670859257</v>
      </c>
      <c r="L11" s="336">
        <f>K11/C11</f>
        <v>59091.278902864193</v>
      </c>
      <c r="P11" s="78">
        <f t="shared" ref="P11:S11" si="15">SUM(P8:P10)</f>
        <v>136197.6933333333</v>
      </c>
      <c r="Q11" s="78">
        <f t="shared" si="15"/>
        <v>32428.670782666668</v>
      </c>
      <c r="R11" s="78">
        <f t="shared" si="15"/>
        <v>8647.4725925925923</v>
      </c>
      <c r="S11" s="335">
        <f t="shared" si="15"/>
        <v>177273.8367085926</v>
      </c>
      <c r="T11" s="336">
        <f t="shared" si="5"/>
        <v>59091.2789028642</v>
      </c>
      <c r="V11" s="75">
        <f t="shared" ref="V11" si="16">SUM(V8:V10)</f>
        <v>3</v>
      </c>
      <c r="W11" s="78">
        <f t="shared" ref="W11:Z11" si="17">SUM(W8:W10)</f>
        <v>136197.6933333333</v>
      </c>
      <c r="X11" s="78">
        <f t="shared" si="17"/>
        <v>32428.670782666668</v>
      </c>
      <c r="Y11" s="78">
        <f t="shared" si="17"/>
        <v>8647.4725925925923</v>
      </c>
      <c r="Z11" s="586">
        <f t="shared" si="17"/>
        <v>177273.8367085926</v>
      </c>
      <c r="AA11" s="336">
        <f t="shared" si="9"/>
        <v>59091.2789028642</v>
      </c>
      <c r="AC11" s="73">
        <f>+Z11-'Tab. 14'!O29</f>
        <v>0</v>
      </c>
    </row>
    <row r="12" spans="2:29" x14ac:dyDescent="0.2">
      <c r="B12" s="337"/>
      <c r="K12" s="340"/>
      <c r="L12" s="341"/>
      <c r="S12" s="340"/>
      <c r="T12" s="341"/>
      <c r="V12" s="16"/>
      <c r="Z12" s="588"/>
      <c r="AA12" s="339"/>
    </row>
    <row r="13" spans="2:29" x14ac:dyDescent="0.2">
      <c r="B13" s="337" t="s">
        <v>298</v>
      </c>
      <c r="C13" s="16">
        <f>COUNTIF(Tabella2[Funzioni],'Tab. 13'!B13)</f>
        <v>109</v>
      </c>
      <c r="D13" s="81">
        <f>SUMIF(Tabella2[Funzioni],'Tab. 13'!$B13,Tabella2[RAL])</f>
        <v>1697310.6100000034</v>
      </c>
      <c r="E13" s="81">
        <f>SUMIF(Tabella2[Funzioni],'Tab. 13'!$B13,Tabella2[Contributi])</f>
        <v>404129.65624099929</v>
      </c>
      <c r="F13" s="81">
        <f>SUMIF(Tabella2[Funzioni],'Tab. 13'!$B13,Tabella2[13ma])</f>
        <v>141442.55083333314</v>
      </c>
      <c r="G13" s="81">
        <f>SUMIF(Tabella2[Funzioni],'Tab. 13'!$B13,Tabella2[Contributi 13ma])</f>
        <v>33677.471353416702</v>
      </c>
      <c r="H13" s="81">
        <f>SUMIF(Tabella2[Funzioni],'Tab. 13'!$B13,Tabella2[14ma])</f>
        <v>141442.55083333314</v>
      </c>
      <c r="I13" s="81">
        <f>SUMIF(Tabella2[Funzioni],'Tab. 13'!$B13,Tabella2[Contributi 14m])</f>
        <v>33677.471353416702</v>
      </c>
      <c r="J13" s="81">
        <f>SUMIF(Tabella2[Funzioni],'Tab. 13'!$B13,Tabella2[TFR])</f>
        <v>125726.71185185225</v>
      </c>
      <c r="K13" s="338">
        <f>SUM(D13:J13)</f>
        <v>2577407.022466355</v>
      </c>
      <c r="L13" s="339">
        <f>K13/C13</f>
        <v>23645.935985929864</v>
      </c>
      <c r="N13" s="73">
        <f>+K13+'Mens costi industriali DIR'!D35</f>
        <v>2581297.2558621583</v>
      </c>
      <c r="P13" s="81">
        <f t="shared" ref="P13" si="18">D13+F13+H13</f>
        <v>1980195.7116666695</v>
      </c>
      <c r="Q13" s="81">
        <f t="shared" ref="Q13" si="19">E13+G13+I13</f>
        <v>471484.59894783265</v>
      </c>
      <c r="R13" s="81">
        <f t="shared" ref="R13" si="20">J13</f>
        <v>125726.71185185225</v>
      </c>
      <c r="S13" s="338">
        <f t="shared" ref="S13" si="21">SUM(P13:R13)</f>
        <v>2577407.0224663541</v>
      </c>
      <c r="T13" s="339">
        <f t="shared" ref="T13:T14" si="22">S13/C13</f>
        <v>23645.935985929853</v>
      </c>
      <c r="V13" s="16">
        <f t="shared" ref="V13" si="23">+C13</f>
        <v>109</v>
      </c>
      <c r="W13" s="81">
        <f>+P13+'Tab. 14'!O82</f>
        <v>1983184.5385848102</v>
      </c>
      <c r="X13" s="81">
        <f>Q13+'Tab. 14'!O85</f>
        <v>472196.23863704194</v>
      </c>
      <c r="Y13" s="81">
        <f>+R13+'Tab. 14'!O88</f>
        <v>125916.47864030562</v>
      </c>
      <c r="Z13" s="587">
        <f t="shared" ref="Z13" si="24">SUM(W13:Y13)</f>
        <v>2581297.2558621578</v>
      </c>
      <c r="AA13" s="339">
        <f t="shared" si="9"/>
        <v>23681.626200570256</v>
      </c>
    </row>
    <row r="14" spans="2:29" x14ac:dyDescent="0.2">
      <c r="B14" s="334" t="s">
        <v>726</v>
      </c>
      <c r="C14" s="75">
        <f>SUM(C13)</f>
        <v>109</v>
      </c>
      <c r="D14" s="78">
        <f t="shared" ref="D14:K14" si="25">SUM(D13)</f>
        <v>1697310.6100000034</v>
      </c>
      <c r="E14" s="78">
        <f t="shared" si="25"/>
        <v>404129.65624099929</v>
      </c>
      <c r="F14" s="78">
        <f t="shared" si="25"/>
        <v>141442.55083333314</v>
      </c>
      <c r="G14" s="78">
        <f t="shared" si="25"/>
        <v>33677.471353416702</v>
      </c>
      <c r="H14" s="78">
        <f t="shared" si="25"/>
        <v>141442.55083333314</v>
      </c>
      <c r="I14" s="78">
        <f t="shared" si="25"/>
        <v>33677.471353416702</v>
      </c>
      <c r="J14" s="78">
        <f t="shared" si="25"/>
        <v>125726.71185185225</v>
      </c>
      <c r="K14" s="335">
        <f t="shared" si="25"/>
        <v>2577407.022466355</v>
      </c>
      <c r="L14" s="336">
        <f t="shared" ref="L14" si="26">K14/C14</f>
        <v>23645.935985929864</v>
      </c>
      <c r="P14" s="78">
        <f t="shared" ref="P14:S14" si="27">SUM(P13)</f>
        <v>1980195.7116666695</v>
      </c>
      <c r="Q14" s="78">
        <f t="shared" si="27"/>
        <v>471484.59894783265</v>
      </c>
      <c r="R14" s="78">
        <f t="shared" si="27"/>
        <v>125726.71185185225</v>
      </c>
      <c r="S14" s="335">
        <f t="shared" si="27"/>
        <v>2577407.0224663541</v>
      </c>
      <c r="T14" s="336">
        <f t="shared" si="22"/>
        <v>23645.935985929853</v>
      </c>
      <c r="V14" s="75">
        <f>SUM(V13)</f>
        <v>109</v>
      </c>
      <c r="W14" s="78">
        <f t="shared" ref="W14:Z14" si="28">SUM(W13)</f>
        <v>1983184.5385848102</v>
      </c>
      <c r="X14" s="78">
        <f t="shared" si="28"/>
        <v>472196.23863704194</v>
      </c>
      <c r="Y14" s="78">
        <f t="shared" si="28"/>
        <v>125916.47864030562</v>
      </c>
      <c r="Z14" s="586">
        <f t="shared" si="28"/>
        <v>2581297.2558621578</v>
      </c>
      <c r="AA14" s="336">
        <f t="shared" si="9"/>
        <v>23681.626200570256</v>
      </c>
      <c r="AC14" s="73">
        <f>+Z14-'Tab. 17'!F31</f>
        <v>0</v>
      </c>
    </row>
    <row r="15" spans="2:29" x14ac:dyDescent="0.2">
      <c r="B15" s="337"/>
      <c r="K15" s="340"/>
      <c r="L15" s="341"/>
      <c r="S15" s="340"/>
      <c r="T15" s="341"/>
      <c r="V15" s="16"/>
      <c r="Z15" s="588"/>
      <c r="AA15" s="339"/>
    </row>
    <row r="16" spans="2:29" x14ac:dyDescent="0.2">
      <c r="B16" s="337" t="s">
        <v>184</v>
      </c>
      <c r="C16" s="16">
        <f>COUNTIF(Tabella2[Funzioni],'Tab. 13'!B16)</f>
        <v>1</v>
      </c>
      <c r="D16" s="81">
        <f>SUMIF(Tabella2[Funzioni],'Tab. 13'!$B16,Tabella2[RAL])</f>
        <v>59504.31</v>
      </c>
      <c r="E16" s="81">
        <f>SUMIF(Tabella2[Funzioni],'Tab. 13'!$B16,Tabella2[Contributi])</f>
        <v>14167.976210999999</v>
      </c>
      <c r="F16" s="81">
        <f>SUMIF(Tabella2[Funzioni],'Tab. 13'!$B16,Tabella2[13ma])</f>
        <v>4958.6925000000001</v>
      </c>
      <c r="G16" s="81">
        <f>SUMIF(Tabella2[Funzioni],'Tab. 13'!$B16,Tabella2[Contributi 13ma])</f>
        <v>1180.6646842500002</v>
      </c>
      <c r="H16" s="81">
        <f>SUMIF(Tabella2[Funzioni],'Tab. 13'!$B16,Tabella2[14ma])</f>
        <v>4958.6925000000001</v>
      </c>
      <c r="I16" s="81">
        <f>SUMIF(Tabella2[Funzioni],'Tab. 13'!$B16,Tabella2[Contributi 14m])</f>
        <v>1180.6646842500002</v>
      </c>
      <c r="J16" s="81">
        <f>SUMIF(Tabella2[Funzioni],'Tab. 13'!$B16,Tabella2[TFR])</f>
        <v>4407.7266666666665</v>
      </c>
      <c r="K16" s="338">
        <f t="shared" ref="K16:K22" si="29">SUM(D16:J16)</f>
        <v>90358.727246166687</v>
      </c>
      <c r="L16" s="339">
        <f t="shared" ref="L16:L23" si="30">K16/C16</f>
        <v>90358.727246166687</v>
      </c>
      <c r="P16" s="81">
        <f t="shared" ref="P16:P22" si="31">D16+F16+H16</f>
        <v>69421.694999999992</v>
      </c>
      <c r="Q16" s="81">
        <f t="shared" ref="Q16:Q22" si="32">E16+G16+I16</f>
        <v>16529.3055795</v>
      </c>
      <c r="R16" s="81">
        <f t="shared" ref="R16:R22" si="33">J16</f>
        <v>4407.7266666666665</v>
      </c>
      <c r="S16" s="338">
        <f t="shared" ref="S16:S22" si="34">SUM(P16:R16)</f>
        <v>90358.727246166658</v>
      </c>
      <c r="T16" s="339">
        <f t="shared" ref="T16:T23" si="35">S16/C16</f>
        <v>90358.727246166658</v>
      </c>
      <c r="V16" s="16">
        <f t="shared" ref="V16:V22" si="36">+C16</f>
        <v>1</v>
      </c>
      <c r="W16" s="81">
        <f t="shared" ref="W16:W22" si="37">+P16</f>
        <v>69421.694999999992</v>
      </c>
      <c r="X16" s="81">
        <f t="shared" ref="X16:X22" si="38">+Q16</f>
        <v>16529.3055795</v>
      </c>
      <c r="Y16" s="81">
        <f t="shared" ref="Y16:Y22" si="39">+R16</f>
        <v>4407.7266666666665</v>
      </c>
      <c r="Z16" s="587">
        <f t="shared" ref="Z16:Z22" si="40">SUM(W16:Y16)</f>
        <v>90358.727246166658</v>
      </c>
      <c r="AA16" s="339">
        <f t="shared" si="9"/>
        <v>90358.727246166658</v>
      </c>
    </row>
    <row r="17" spans="2:29" x14ac:dyDescent="0.2">
      <c r="B17" s="337" t="s">
        <v>185</v>
      </c>
      <c r="C17" s="16">
        <f>COUNTIF(Tabella2[Funzioni],'Tab. 13'!B17)</f>
        <v>1</v>
      </c>
      <c r="D17" s="81">
        <f>SUMIF(Tabella2[Funzioni],'Tab. 13'!$B17,Tabella2[RAL])</f>
        <v>27109.83</v>
      </c>
      <c r="E17" s="81">
        <f>SUMIF(Tabella2[Funzioni],'Tab. 13'!$B17,Tabella2[Contributi])</f>
        <v>6454.850523000001</v>
      </c>
      <c r="F17" s="81">
        <f>SUMIF(Tabella2[Funzioni],'Tab. 13'!$B17,Tabella2[13ma])</f>
        <v>2259.1525000000001</v>
      </c>
      <c r="G17" s="81">
        <f>SUMIF(Tabella2[Funzioni],'Tab. 13'!$B17,Tabella2[Contributi 13ma])</f>
        <v>537.90421025000001</v>
      </c>
      <c r="H17" s="81">
        <f>SUMIF(Tabella2[Funzioni],'Tab. 13'!$B17,Tabella2[14ma])</f>
        <v>2259.1525000000001</v>
      </c>
      <c r="I17" s="81">
        <f>SUMIF(Tabella2[Funzioni],'Tab. 13'!$B17,Tabella2[Contributi 14m])</f>
        <v>537.90421025000001</v>
      </c>
      <c r="J17" s="81">
        <f>SUMIF(Tabella2[Funzioni],'Tab. 13'!$B17,Tabella2[TFR])</f>
        <v>2008.1355555555556</v>
      </c>
      <c r="K17" s="338">
        <f t="shared" ref="K17" si="41">SUM(D17:J17)</f>
        <v>41166.929499055565</v>
      </c>
      <c r="L17" s="339">
        <f t="shared" ref="L17" si="42">K17/C17</f>
        <v>41166.929499055565</v>
      </c>
      <c r="P17" s="81">
        <f t="shared" si="31"/>
        <v>31628.135000000002</v>
      </c>
      <c r="Q17" s="81">
        <f t="shared" si="32"/>
        <v>7530.6589435000005</v>
      </c>
      <c r="R17" s="81">
        <f t="shared" si="33"/>
        <v>2008.1355555555556</v>
      </c>
      <c r="S17" s="338">
        <f t="shared" si="34"/>
        <v>41166.929499055557</v>
      </c>
      <c r="T17" s="339">
        <f t="shared" si="35"/>
        <v>41166.929499055557</v>
      </c>
      <c r="V17" s="16">
        <f t="shared" si="36"/>
        <v>1</v>
      </c>
      <c r="W17" s="81">
        <f t="shared" si="37"/>
        <v>31628.135000000002</v>
      </c>
      <c r="X17" s="81">
        <f t="shared" si="38"/>
        <v>7530.6589435000005</v>
      </c>
      <c r="Y17" s="81">
        <f t="shared" si="39"/>
        <v>2008.1355555555556</v>
      </c>
      <c r="Z17" s="587">
        <f t="shared" si="40"/>
        <v>41166.929499055557</v>
      </c>
      <c r="AA17" s="339">
        <f t="shared" si="9"/>
        <v>41166.929499055557</v>
      </c>
    </row>
    <row r="18" spans="2:29" x14ac:dyDescent="0.2">
      <c r="B18" s="337" t="s">
        <v>299</v>
      </c>
      <c r="C18" s="16">
        <f>COUNTIF(Tabella2[Funzioni],'Tab. 13'!B18)</f>
        <v>16</v>
      </c>
      <c r="D18" s="81">
        <f>SUMIF(Tabella2[Funzioni],'Tab. 13'!$B18,Tabella2[RAL])</f>
        <v>245463.00999999995</v>
      </c>
      <c r="E18" s="81">
        <f>SUMIF(Tabella2[Funzioni],'Tab. 13'!$B18,Tabella2[Contributi])</f>
        <v>58444.742680999989</v>
      </c>
      <c r="F18" s="81">
        <f>SUMIF(Tabella2[Funzioni],'Tab. 13'!$B18,Tabella2[13ma])</f>
        <v>20455.250833333343</v>
      </c>
      <c r="G18" s="81">
        <f>SUMIF(Tabella2[Funzioni],'Tab. 13'!$B18,Tabella2[Contributi 13ma])</f>
        <v>4870.3952234166663</v>
      </c>
      <c r="H18" s="81">
        <f>SUMIF(Tabella2[Funzioni],'Tab. 13'!$B18,Tabella2[14ma])</f>
        <v>20455.250833333343</v>
      </c>
      <c r="I18" s="81">
        <f>SUMIF(Tabella2[Funzioni],'Tab. 13'!$B18,Tabella2[Contributi 14m])</f>
        <v>4870.3952234166663</v>
      </c>
      <c r="J18" s="81">
        <f>SUMIF(Tabella2[Funzioni],'Tab. 13'!$B18,Tabella2[TFR])</f>
        <v>18182.445185185185</v>
      </c>
      <c r="K18" s="338">
        <f t="shared" si="29"/>
        <v>372741.48997968517</v>
      </c>
      <c r="L18" s="339">
        <f t="shared" si="30"/>
        <v>23296.343123730323</v>
      </c>
      <c r="P18" s="81">
        <f t="shared" si="31"/>
        <v>286373.51166666666</v>
      </c>
      <c r="Q18" s="81">
        <f t="shared" si="32"/>
        <v>68185.533127833318</v>
      </c>
      <c r="R18" s="81">
        <f t="shared" si="33"/>
        <v>18182.445185185185</v>
      </c>
      <c r="S18" s="338">
        <f t="shared" si="34"/>
        <v>372741.48997968517</v>
      </c>
      <c r="T18" s="339">
        <f t="shared" si="35"/>
        <v>23296.343123730323</v>
      </c>
      <c r="V18" s="16">
        <f t="shared" si="36"/>
        <v>16</v>
      </c>
      <c r="W18" s="81">
        <f t="shared" si="37"/>
        <v>286373.51166666666</v>
      </c>
      <c r="X18" s="81">
        <f t="shared" si="38"/>
        <v>68185.533127833318</v>
      </c>
      <c r="Y18" s="81">
        <f t="shared" si="39"/>
        <v>18182.445185185185</v>
      </c>
      <c r="Z18" s="587">
        <f t="shared" si="40"/>
        <v>372741.48997968517</v>
      </c>
      <c r="AA18" s="339">
        <f t="shared" si="9"/>
        <v>23296.343123730323</v>
      </c>
    </row>
    <row r="19" spans="2:29" x14ac:dyDescent="0.2">
      <c r="B19" s="337" t="s">
        <v>560</v>
      </c>
      <c r="C19" s="16">
        <f>COUNTIF(Tabella2[Funzioni],'Tab. 13'!B19)</f>
        <v>1</v>
      </c>
      <c r="D19" s="81">
        <f>SUMIF(Tabella2[Funzioni],'Tab. 13'!$B19,Tabella2[RAL])</f>
        <v>17458.009999999998</v>
      </c>
      <c r="E19" s="81">
        <f>SUMIF(Tabella2[Funzioni],'Tab. 13'!$B19,Tabella2[Contributi])</f>
        <v>4156.7521809999998</v>
      </c>
      <c r="F19" s="81">
        <f>SUMIF(Tabella2[Funzioni],'Tab. 13'!$B19,Tabella2[13ma])</f>
        <v>1454.8341666666665</v>
      </c>
      <c r="G19" s="81">
        <f>SUMIF(Tabella2[Funzioni],'Tab. 13'!$B19,Tabella2[Contributi 13ma])</f>
        <v>346.39601508333334</v>
      </c>
      <c r="H19" s="81">
        <f>SUMIF(Tabella2[Funzioni],'Tab. 13'!$B19,Tabella2[14ma])</f>
        <v>1454.8341666666665</v>
      </c>
      <c r="I19" s="81">
        <f>SUMIF(Tabella2[Funzioni],'Tab. 13'!$B19,Tabella2[Contributi 14m])</f>
        <v>346.39601508333334</v>
      </c>
      <c r="J19" s="81">
        <f>SUMIF(Tabella2[Funzioni],'Tab. 13'!$B19,Tabella2[TFR])</f>
        <v>1293.1859259259259</v>
      </c>
      <c r="K19" s="338">
        <f t="shared" si="29"/>
        <v>26510.408470425926</v>
      </c>
      <c r="L19" s="339">
        <f t="shared" si="30"/>
        <v>26510.408470425926</v>
      </c>
      <c r="P19" s="81">
        <f t="shared" si="31"/>
        <v>20367.678333333333</v>
      </c>
      <c r="Q19" s="81">
        <f t="shared" si="32"/>
        <v>4849.5442111666671</v>
      </c>
      <c r="R19" s="81">
        <f t="shared" si="33"/>
        <v>1293.1859259259259</v>
      </c>
      <c r="S19" s="338">
        <f t="shared" si="34"/>
        <v>26510.408470425926</v>
      </c>
      <c r="T19" s="339">
        <f t="shared" si="35"/>
        <v>26510.408470425926</v>
      </c>
      <c r="V19" s="16">
        <f t="shared" si="36"/>
        <v>1</v>
      </c>
      <c r="W19" s="81">
        <f t="shared" si="37"/>
        <v>20367.678333333333</v>
      </c>
      <c r="X19" s="81">
        <f t="shared" si="38"/>
        <v>4849.5442111666671</v>
      </c>
      <c r="Y19" s="81">
        <f t="shared" si="39"/>
        <v>1293.1859259259259</v>
      </c>
      <c r="Z19" s="587">
        <f t="shared" si="40"/>
        <v>26510.408470425926</v>
      </c>
      <c r="AA19" s="339">
        <f t="shared" si="9"/>
        <v>26510.408470425926</v>
      </c>
    </row>
    <row r="20" spans="2:29" x14ac:dyDescent="0.2">
      <c r="B20" s="337" t="s">
        <v>322</v>
      </c>
      <c r="C20" s="16">
        <f>COUNTIF(Tabella2[Funzioni],'Tab. 13'!B20)</f>
        <v>2</v>
      </c>
      <c r="D20" s="81">
        <f>SUMIF(Tabella2[Funzioni],'Tab. 13'!$B20,Tabella2[RAL])</f>
        <v>26335.3</v>
      </c>
      <c r="E20" s="81">
        <f>SUMIF(Tabella2[Funzioni],'Tab. 13'!$B20,Tabella2[Contributi])</f>
        <v>6270.4349300000003</v>
      </c>
      <c r="F20" s="81">
        <f>SUMIF(Tabella2[Funzioni],'Tab. 13'!$B20,Tabella2[13ma])</f>
        <v>2194.6083333333331</v>
      </c>
      <c r="G20" s="81">
        <f>SUMIF(Tabella2[Funzioni],'Tab. 13'!$B20,Tabella2[Contributi 13ma])</f>
        <v>522.53624416666662</v>
      </c>
      <c r="H20" s="81">
        <f>SUMIF(Tabella2[Funzioni],'Tab. 13'!$B20,Tabella2[14ma])</f>
        <v>2194.6083333333331</v>
      </c>
      <c r="I20" s="81">
        <f>SUMIF(Tabella2[Funzioni],'Tab. 13'!$B20,Tabella2[Contributi 14m])</f>
        <v>522.53624416666662</v>
      </c>
      <c r="J20" s="81">
        <f>SUMIF(Tabella2[Funzioni],'Tab. 13'!$B20,Tabella2[TFR])</f>
        <v>1950.762962962963</v>
      </c>
      <c r="K20" s="338">
        <f t="shared" si="29"/>
        <v>39990.787047962956</v>
      </c>
      <c r="L20" s="339">
        <f t="shared" si="30"/>
        <v>19995.393523981478</v>
      </c>
      <c r="P20" s="81">
        <f t="shared" si="31"/>
        <v>30724.516666666666</v>
      </c>
      <c r="Q20" s="81">
        <f t="shared" si="32"/>
        <v>7315.5074183333336</v>
      </c>
      <c r="R20" s="81">
        <f t="shared" si="33"/>
        <v>1950.762962962963</v>
      </c>
      <c r="S20" s="338">
        <f t="shared" si="34"/>
        <v>39990.787047962964</v>
      </c>
      <c r="T20" s="339">
        <f t="shared" si="35"/>
        <v>19995.393523981482</v>
      </c>
      <c r="V20" s="16">
        <f t="shared" si="36"/>
        <v>2</v>
      </c>
      <c r="W20" s="81">
        <f t="shared" si="37"/>
        <v>30724.516666666666</v>
      </c>
      <c r="X20" s="81">
        <f t="shared" si="38"/>
        <v>7315.5074183333336</v>
      </c>
      <c r="Y20" s="81">
        <f t="shared" si="39"/>
        <v>1950.762962962963</v>
      </c>
      <c r="Z20" s="587">
        <f t="shared" si="40"/>
        <v>39990.787047962964</v>
      </c>
      <c r="AA20" s="339">
        <f t="shared" si="9"/>
        <v>19995.393523981482</v>
      </c>
    </row>
    <row r="21" spans="2:29" x14ac:dyDescent="0.2">
      <c r="B21" s="337" t="s">
        <v>316</v>
      </c>
      <c r="C21" s="16">
        <f>COUNTIF(Tabella2[Funzioni],'Tab. 13'!B21)</f>
        <v>1</v>
      </c>
      <c r="D21" s="81">
        <f>SUMIF(Tabella2[Funzioni],'Tab. 13'!$B21,Tabella2[RAL])</f>
        <v>24078.080000000002</v>
      </c>
      <c r="E21" s="81">
        <f>SUMIF(Tabella2[Funzioni],'Tab. 13'!$B21,Tabella2[Contributi])</f>
        <v>5732.9908480000004</v>
      </c>
      <c r="F21" s="81">
        <f>SUMIF(Tabella2[Funzioni],'Tab. 13'!$B21,Tabella2[13ma])</f>
        <v>2006.5066666666669</v>
      </c>
      <c r="G21" s="81">
        <f>SUMIF(Tabella2[Funzioni],'Tab. 13'!$B21,Tabella2[Contributi 13ma])</f>
        <v>477.74923733333338</v>
      </c>
      <c r="H21" s="81">
        <f>SUMIF(Tabella2[Funzioni],'Tab. 13'!$B21,Tabella2[14ma])</f>
        <v>2006.5066666666669</v>
      </c>
      <c r="I21" s="81">
        <f>SUMIF(Tabella2[Funzioni],'Tab. 13'!$B21,Tabella2[Contributi 14m])</f>
        <v>477.74923733333338</v>
      </c>
      <c r="J21" s="81">
        <f>SUMIF(Tabella2[Funzioni],'Tab. 13'!$B21,Tabella2[TFR])</f>
        <v>1783.5614814814817</v>
      </c>
      <c r="K21" s="338">
        <f t="shared" si="29"/>
        <v>36563.144137481482</v>
      </c>
      <c r="L21" s="339">
        <f t="shared" si="30"/>
        <v>36563.144137481482</v>
      </c>
      <c r="P21" s="81">
        <f t="shared" si="31"/>
        <v>28091.093333333338</v>
      </c>
      <c r="Q21" s="81">
        <f t="shared" si="32"/>
        <v>6688.4893226666672</v>
      </c>
      <c r="R21" s="81">
        <f t="shared" si="33"/>
        <v>1783.5614814814817</v>
      </c>
      <c r="S21" s="338">
        <f t="shared" si="34"/>
        <v>36563.144137481489</v>
      </c>
      <c r="T21" s="339">
        <f t="shared" si="35"/>
        <v>36563.144137481489</v>
      </c>
      <c r="V21" s="16">
        <f t="shared" si="36"/>
        <v>1</v>
      </c>
      <c r="W21" s="81">
        <f t="shared" si="37"/>
        <v>28091.093333333338</v>
      </c>
      <c r="X21" s="81">
        <f t="shared" si="38"/>
        <v>6688.4893226666672</v>
      </c>
      <c r="Y21" s="81">
        <f t="shared" si="39"/>
        <v>1783.5614814814817</v>
      </c>
      <c r="Z21" s="587">
        <f t="shared" si="40"/>
        <v>36563.144137481489</v>
      </c>
      <c r="AA21" s="339">
        <f t="shared" si="9"/>
        <v>36563.144137481489</v>
      </c>
    </row>
    <row r="22" spans="2:29" x14ac:dyDescent="0.2">
      <c r="B22" s="337" t="s">
        <v>317</v>
      </c>
      <c r="C22" s="16">
        <f>COUNTIF(Tabella2[Funzioni],'Tab. 13'!B22)</f>
        <v>2</v>
      </c>
      <c r="D22" s="81">
        <f>SUMIF(Tabella2[Funzioni],'Tab. 13'!$B22,Tabella2[RAL])</f>
        <v>52311.020000000004</v>
      </c>
      <c r="E22" s="81">
        <f>SUMIF(Tabella2[Funzioni],'Tab. 13'!$B22,Tabella2[Contributi])</f>
        <v>12455.253862000001</v>
      </c>
      <c r="F22" s="81">
        <f>SUMIF(Tabella2[Funzioni],'Tab. 13'!$B22,Tabella2[13ma])</f>
        <v>4359.251666666667</v>
      </c>
      <c r="G22" s="81">
        <f>SUMIF(Tabella2[Funzioni],'Tab. 13'!$B22,Tabella2[Contributi 13ma])</f>
        <v>1037.9378218333334</v>
      </c>
      <c r="H22" s="81">
        <f>SUMIF(Tabella2[Funzioni],'Tab. 13'!$B22,Tabella2[14ma])</f>
        <v>4359.251666666667</v>
      </c>
      <c r="I22" s="81">
        <f>SUMIF(Tabella2[Funzioni],'Tab. 13'!$B22,Tabella2[Contributi 14m])</f>
        <v>1037.9378218333334</v>
      </c>
      <c r="J22" s="81">
        <f>SUMIF(Tabella2[Funzioni],'Tab. 13'!$B22,Tabella2[TFR])</f>
        <v>3874.8903703703704</v>
      </c>
      <c r="K22" s="338">
        <f t="shared" si="29"/>
        <v>79435.543209370357</v>
      </c>
      <c r="L22" s="339">
        <f t="shared" si="30"/>
        <v>39717.771604685178</v>
      </c>
      <c r="P22" s="81">
        <f t="shared" si="31"/>
        <v>61029.523333333331</v>
      </c>
      <c r="Q22" s="81">
        <f t="shared" si="32"/>
        <v>14531.129505666668</v>
      </c>
      <c r="R22" s="81">
        <f t="shared" si="33"/>
        <v>3874.8903703703704</v>
      </c>
      <c r="S22" s="338">
        <f t="shared" si="34"/>
        <v>79435.543209370371</v>
      </c>
      <c r="T22" s="339">
        <f t="shared" si="35"/>
        <v>39717.771604685186</v>
      </c>
      <c r="V22" s="16">
        <f t="shared" si="36"/>
        <v>2</v>
      </c>
      <c r="W22" s="81">
        <f t="shared" si="37"/>
        <v>61029.523333333331</v>
      </c>
      <c r="X22" s="81">
        <f t="shared" si="38"/>
        <v>14531.129505666668</v>
      </c>
      <c r="Y22" s="81">
        <f t="shared" si="39"/>
        <v>3874.8903703703704</v>
      </c>
      <c r="Z22" s="587">
        <f t="shared" si="40"/>
        <v>79435.543209370371</v>
      </c>
      <c r="AA22" s="339">
        <f t="shared" si="9"/>
        <v>39717.771604685186</v>
      </c>
    </row>
    <row r="23" spans="2:29" x14ac:dyDescent="0.2">
      <c r="B23" s="334" t="s">
        <v>297</v>
      </c>
      <c r="C23" s="75">
        <f t="shared" ref="C23:K23" si="43">SUM(C16:C22)</f>
        <v>24</v>
      </c>
      <c r="D23" s="78">
        <f t="shared" si="43"/>
        <v>452259.56</v>
      </c>
      <c r="E23" s="78">
        <f t="shared" si="43"/>
        <v>107683.001236</v>
      </c>
      <c r="F23" s="78">
        <f t="shared" si="43"/>
        <v>37688.296666666676</v>
      </c>
      <c r="G23" s="78">
        <f t="shared" si="43"/>
        <v>8973.5834363333342</v>
      </c>
      <c r="H23" s="78">
        <f t="shared" si="43"/>
        <v>37688.296666666676</v>
      </c>
      <c r="I23" s="78">
        <f t="shared" si="43"/>
        <v>8973.5834363333342</v>
      </c>
      <c r="J23" s="78">
        <f t="shared" si="43"/>
        <v>33500.708148148144</v>
      </c>
      <c r="K23" s="335">
        <f t="shared" si="43"/>
        <v>686767.02959014813</v>
      </c>
      <c r="L23" s="336">
        <f t="shared" si="30"/>
        <v>28615.292899589505</v>
      </c>
      <c r="P23" s="78">
        <f t="shared" ref="P23:S23" si="44">SUM(P16:P22)</f>
        <v>527636.15333333332</v>
      </c>
      <c r="Q23" s="78">
        <f t="shared" si="44"/>
        <v>125630.16810866665</v>
      </c>
      <c r="R23" s="78">
        <f t="shared" si="44"/>
        <v>33500.708148148144</v>
      </c>
      <c r="S23" s="335">
        <f t="shared" si="44"/>
        <v>686767.02959014813</v>
      </c>
      <c r="T23" s="336">
        <f t="shared" si="35"/>
        <v>28615.292899589505</v>
      </c>
      <c r="V23" s="75">
        <f t="shared" ref="V23" si="45">SUM(V16:V22)</f>
        <v>24</v>
      </c>
      <c r="W23" s="78">
        <f t="shared" ref="W23:Z23" si="46">SUM(W16:W22)</f>
        <v>527636.15333333332</v>
      </c>
      <c r="X23" s="78">
        <f t="shared" si="46"/>
        <v>125630.16810866665</v>
      </c>
      <c r="Y23" s="78">
        <f t="shared" si="46"/>
        <v>33500.708148148144</v>
      </c>
      <c r="Z23" s="586">
        <f t="shared" si="46"/>
        <v>686767.02959014813</v>
      </c>
      <c r="AA23" s="336">
        <f t="shared" si="9"/>
        <v>28615.292899589505</v>
      </c>
      <c r="AC23" s="73">
        <f>+Z23-'Tab. 14'!O47</f>
        <v>0</v>
      </c>
    </row>
    <row r="24" spans="2:29" x14ac:dyDescent="0.2">
      <c r="B24" s="337"/>
      <c r="K24" s="340"/>
      <c r="L24" s="341"/>
      <c r="S24" s="340"/>
      <c r="T24" s="341"/>
      <c r="V24" s="16"/>
      <c r="Z24" s="588"/>
      <c r="AA24" s="339"/>
    </row>
    <row r="25" spans="2:29" x14ac:dyDescent="0.2">
      <c r="B25" s="337" t="s">
        <v>324</v>
      </c>
      <c r="C25" s="16">
        <f>COUNTIF(Tabella2[Funzioni],'Tab. 13'!B25)</f>
        <v>1</v>
      </c>
      <c r="D25" s="81">
        <f>SUMIF(Tabella2[Funzioni],'Tab. 13'!$B25,Tabella2[RAL])</f>
        <v>70077.33</v>
      </c>
      <c r="E25" s="81">
        <f>SUMIF(Tabella2[Funzioni],'Tab. 13'!$B25,Tabella2[Contributi])</f>
        <v>16685.412273000002</v>
      </c>
      <c r="F25" s="81">
        <f>SUMIF(Tabella2[Funzioni],'Tab. 13'!$B25,Tabella2[13ma])</f>
        <v>5839.7775000000001</v>
      </c>
      <c r="G25" s="81">
        <f>SUMIF(Tabella2[Funzioni],'Tab. 13'!$B25,Tabella2[Contributi 13ma])</f>
        <v>1390.45102275</v>
      </c>
      <c r="H25" s="81">
        <f>SUMIF(Tabella2[Funzioni],'Tab. 13'!$B25,Tabella2[14ma])</f>
        <v>5839.7775000000001</v>
      </c>
      <c r="I25" s="81">
        <f>SUMIF(Tabella2[Funzioni],'Tab. 13'!$B25,Tabella2[Contributi 14m])</f>
        <v>1390.45102275</v>
      </c>
      <c r="J25" s="81">
        <f>SUMIF(Tabella2[Funzioni],'Tab. 13'!$B25,Tabella2[TFR])</f>
        <v>5190.9133333333339</v>
      </c>
      <c r="K25" s="338">
        <f>SUM(D25:J25)</f>
        <v>106414.11265183333</v>
      </c>
      <c r="L25" s="339">
        <f>K25/C25</f>
        <v>106414.11265183333</v>
      </c>
      <c r="P25" s="81">
        <f t="shared" ref="P25:P28" si="47">D25+F25+H25</f>
        <v>81756.884999999995</v>
      </c>
      <c r="Q25" s="81">
        <f t="shared" ref="Q25:Q28" si="48">E25+G25+I25</f>
        <v>19466.314318500001</v>
      </c>
      <c r="R25" s="81">
        <f t="shared" ref="R25:R28" si="49">J25</f>
        <v>5190.9133333333339</v>
      </c>
      <c r="S25" s="338">
        <f t="shared" ref="S25:S28" si="50">SUM(P25:R25)</f>
        <v>106414.11265183333</v>
      </c>
      <c r="T25" s="339">
        <f t="shared" ref="T25:T29" si="51">S25/C25</f>
        <v>106414.11265183333</v>
      </c>
      <c r="V25" s="16">
        <f t="shared" ref="V25:V28" si="52">+C25</f>
        <v>1</v>
      </c>
      <c r="W25" s="81">
        <f t="shared" ref="W25:W28" si="53">+P25</f>
        <v>81756.884999999995</v>
      </c>
      <c r="X25" s="81">
        <f t="shared" ref="X25:X28" si="54">+Q25</f>
        <v>19466.314318500001</v>
      </c>
      <c r="Y25" s="81">
        <f t="shared" ref="Y25:Y28" si="55">+R25</f>
        <v>5190.9133333333339</v>
      </c>
      <c r="Z25" s="587">
        <f t="shared" ref="Z25:Z28" si="56">SUM(W25:Y25)</f>
        <v>106414.11265183333</v>
      </c>
      <c r="AA25" s="339">
        <f t="shared" si="9"/>
        <v>106414.11265183333</v>
      </c>
    </row>
    <row r="26" spans="2:29" x14ac:dyDescent="0.2">
      <c r="B26" s="337" t="s">
        <v>137</v>
      </c>
      <c r="C26" s="16">
        <f>COUNTIF(Tabella2[Funzioni],'Tab. 13'!B26)</f>
        <v>8</v>
      </c>
      <c r="D26" s="81">
        <f>SUMIF(Tabella2[Funzioni],'Tab. 13'!$B26,Tabella2[RAL])</f>
        <v>144280.19</v>
      </c>
      <c r="E26" s="81">
        <f>SUMIF(Tabella2[Funzioni],'Tab. 13'!$B26,Tabella2[Contributi])</f>
        <v>34353.113238999998</v>
      </c>
      <c r="F26" s="81">
        <f>SUMIF(Tabella2[Funzioni],'Tab. 13'!$B26,Tabella2[13ma])</f>
        <v>12023.349166666667</v>
      </c>
      <c r="G26" s="81">
        <f>SUMIF(Tabella2[Funzioni],'Tab. 13'!$B26,Tabella2[Contributi 13ma])</f>
        <v>2862.7594365833334</v>
      </c>
      <c r="H26" s="81">
        <f>SUMIF(Tabella2[Funzioni],'Tab. 13'!$B26,Tabella2[14ma])</f>
        <v>12023.349166666667</v>
      </c>
      <c r="I26" s="81">
        <f>SUMIF(Tabella2[Funzioni],'Tab. 13'!$B26,Tabella2[Contributi 14m])</f>
        <v>2862.7594365833334</v>
      </c>
      <c r="J26" s="81">
        <f>SUMIF(Tabella2[Funzioni],'Tab. 13'!$B26,Tabella2[TFR])</f>
        <v>10687.42148148148</v>
      </c>
      <c r="K26" s="338">
        <f>SUM(D26:J26)</f>
        <v>219092.94192698147</v>
      </c>
      <c r="L26" s="339">
        <f>K26/C26</f>
        <v>27386.617740872683</v>
      </c>
      <c r="P26" s="81">
        <f t="shared" si="47"/>
        <v>168326.88833333337</v>
      </c>
      <c r="Q26" s="81">
        <f t="shared" si="48"/>
        <v>40078.63211216667</v>
      </c>
      <c r="R26" s="81">
        <f t="shared" si="49"/>
        <v>10687.42148148148</v>
      </c>
      <c r="S26" s="338">
        <f t="shared" si="50"/>
        <v>219092.94192698153</v>
      </c>
      <c r="T26" s="339">
        <f t="shared" si="51"/>
        <v>27386.617740872691</v>
      </c>
      <c r="V26" s="16">
        <f t="shared" si="52"/>
        <v>8</v>
      </c>
      <c r="W26" s="81">
        <f t="shared" si="53"/>
        <v>168326.88833333337</v>
      </c>
      <c r="X26" s="81">
        <f t="shared" si="54"/>
        <v>40078.63211216667</v>
      </c>
      <c r="Y26" s="81">
        <f t="shared" si="55"/>
        <v>10687.42148148148</v>
      </c>
      <c r="Z26" s="587">
        <f t="shared" si="56"/>
        <v>219092.94192698153</v>
      </c>
      <c r="AA26" s="339">
        <f t="shared" si="9"/>
        <v>27386.617740872691</v>
      </c>
    </row>
    <row r="27" spans="2:29" x14ac:dyDescent="0.2">
      <c r="B27" s="337" t="s">
        <v>558</v>
      </c>
      <c r="C27" s="16">
        <f>COUNTIF(Tabella2[Funzioni],'Tab. 13'!B27)</f>
        <v>3</v>
      </c>
      <c r="D27" s="81">
        <f>SUMIF(Tabella2[Funzioni],'Tab. 13'!$B27,Tabella2[RAL])</f>
        <v>28643.190000000002</v>
      </c>
      <c r="E27" s="81">
        <f>SUMIF(Tabella2[Funzioni],'Tab. 13'!$B27,Tabella2[Contributi])</f>
        <v>6819.9435389999999</v>
      </c>
      <c r="F27" s="81">
        <f>SUMIF(Tabella2[Funzioni],'Tab. 13'!$B27,Tabella2[13ma])</f>
        <v>2386.9325000000003</v>
      </c>
      <c r="G27" s="81">
        <f>SUMIF(Tabella2[Funzioni],'Tab. 13'!$B27,Tabella2[Contributi 13ma])</f>
        <v>568.32862825000007</v>
      </c>
      <c r="H27" s="81">
        <f>SUMIF(Tabella2[Funzioni],'Tab. 13'!$B27,Tabella2[14ma])</f>
        <v>2386.9325000000003</v>
      </c>
      <c r="I27" s="81">
        <f>SUMIF(Tabella2[Funzioni],'Tab. 13'!$B27,Tabella2[Contributi 14m])</f>
        <v>568.32862825000007</v>
      </c>
      <c r="J27" s="81">
        <f>SUMIF(Tabella2[Funzioni],'Tab. 13'!$B27,Tabella2[TFR])</f>
        <v>2121.7177777777779</v>
      </c>
      <c r="K27" s="338">
        <f>SUM(D27:J27)</f>
        <v>43495.373573277779</v>
      </c>
      <c r="L27" s="339">
        <f>K27/C27</f>
        <v>14498.45785775926</v>
      </c>
      <c r="P27" s="81">
        <f t="shared" si="47"/>
        <v>33417.055</v>
      </c>
      <c r="Q27" s="81">
        <f t="shared" si="48"/>
        <v>7956.6007955000005</v>
      </c>
      <c r="R27" s="81">
        <f t="shared" si="49"/>
        <v>2121.7177777777779</v>
      </c>
      <c r="S27" s="338">
        <f t="shared" si="50"/>
        <v>43495.373573277779</v>
      </c>
      <c r="T27" s="339">
        <f t="shared" si="51"/>
        <v>14498.45785775926</v>
      </c>
      <c r="V27" s="16">
        <f t="shared" si="52"/>
        <v>3</v>
      </c>
      <c r="W27" s="81">
        <f t="shared" si="53"/>
        <v>33417.055</v>
      </c>
      <c r="X27" s="81">
        <f t="shared" si="54"/>
        <v>7956.6007955000005</v>
      </c>
      <c r="Y27" s="81">
        <f t="shared" si="55"/>
        <v>2121.7177777777779</v>
      </c>
      <c r="Z27" s="587">
        <f t="shared" si="56"/>
        <v>43495.373573277779</v>
      </c>
      <c r="AA27" s="339">
        <f t="shared" si="9"/>
        <v>14498.45785775926</v>
      </c>
    </row>
    <row r="28" spans="2:29" x14ac:dyDescent="0.2">
      <c r="B28" s="337" t="s">
        <v>559</v>
      </c>
      <c r="C28" s="16">
        <f>COUNTIF(Tabella2[Funzioni],'Tab. 13'!B28)</f>
        <v>30</v>
      </c>
      <c r="D28" s="81">
        <f>SUMIF(Tabella2[Funzioni],'Tab. 13'!$B28,Tabella2[RAL])</f>
        <v>497436.59999999963</v>
      </c>
      <c r="E28" s="81">
        <f>SUMIF(Tabella2[Funzioni],'Tab. 13'!$B28,Tabella2[Contributi])</f>
        <v>118439.65446000001</v>
      </c>
      <c r="F28" s="81">
        <f>SUMIF(Tabella2[Funzioni],'Tab. 13'!$B28,Tabella2[13ma])</f>
        <v>41453.050000000003</v>
      </c>
      <c r="G28" s="81">
        <f>SUMIF(Tabella2[Funzioni],'Tab. 13'!$B28,Tabella2[Contributi 13ma])</f>
        <v>9869.9712050000016</v>
      </c>
      <c r="H28" s="81">
        <f>SUMIF(Tabella2[Funzioni],'Tab. 13'!$B28,Tabella2[14ma])</f>
        <v>41453.050000000003</v>
      </c>
      <c r="I28" s="81">
        <f>SUMIF(Tabella2[Funzioni],'Tab. 13'!$B28,Tabella2[Contributi 14m])</f>
        <v>9869.9712050000016</v>
      </c>
      <c r="J28" s="81">
        <f>SUMIF(Tabella2[Funzioni],'Tab. 13'!$B28,Tabella2[TFR])</f>
        <v>36847.155555555575</v>
      </c>
      <c r="K28" s="338">
        <f>SUM(D28:J28)</f>
        <v>755369.45242555521</v>
      </c>
      <c r="L28" s="339">
        <f>K28/C28</f>
        <v>25178.981747518508</v>
      </c>
      <c r="P28" s="81">
        <f t="shared" si="47"/>
        <v>580342.69999999972</v>
      </c>
      <c r="Q28" s="81">
        <f t="shared" si="48"/>
        <v>138179.59687000001</v>
      </c>
      <c r="R28" s="81">
        <f t="shared" si="49"/>
        <v>36847.155555555575</v>
      </c>
      <c r="S28" s="338">
        <f t="shared" si="50"/>
        <v>755369.45242555533</v>
      </c>
      <c r="T28" s="339">
        <f t="shared" si="51"/>
        <v>25178.981747518512</v>
      </c>
      <c r="V28" s="16">
        <f t="shared" si="52"/>
        <v>30</v>
      </c>
      <c r="W28" s="81">
        <f t="shared" si="53"/>
        <v>580342.69999999972</v>
      </c>
      <c r="X28" s="81">
        <f t="shared" si="54"/>
        <v>138179.59687000001</v>
      </c>
      <c r="Y28" s="81">
        <f t="shared" si="55"/>
        <v>36847.155555555575</v>
      </c>
      <c r="Z28" s="587">
        <f t="shared" si="56"/>
        <v>755369.45242555533</v>
      </c>
      <c r="AA28" s="339">
        <f t="shared" si="9"/>
        <v>25178.981747518512</v>
      </c>
    </row>
    <row r="29" spans="2:29" x14ac:dyDescent="0.2">
      <c r="B29" s="334" t="s">
        <v>323</v>
      </c>
      <c r="C29" s="75">
        <f t="shared" ref="C29:K29" si="57">SUM(C25:C28)</f>
        <v>42</v>
      </c>
      <c r="D29" s="78">
        <f t="shared" si="57"/>
        <v>740437.30999999959</v>
      </c>
      <c r="E29" s="78">
        <f t="shared" si="57"/>
        <v>176298.12351100001</v>
      </c>
      <c r="F29" s="78">
        <f t="shared" si="57"/>
        <v>61703.109166666669</v>
      </c>
      <c r="G29" s="78">
        <f t="shared" si="57"/>
        <v>14691.510292583334</v>
      </c>
      <c r="H29" s="78">
        <f t="shared" si="57"/>
        <v>61703.109166666669</v>
      </c>
      <c r="I29" s="78">
        <f t="shared" si="57"/>
        <v>14691.510292583334</v>
      </c>
      <c r="J29" s="78">
        <f t="shared" si="57"/>
        <v>54847.208148148165</v>
      </c>
      <c r="K29" s="335">
        <f t="shared" si="57"/>
        <v>1124371.8805776478</v>
      </c>
      <c r="L29" s="336">
        <f>K29/C29</f>
        <v>26770.759061372566</v>
      </c>
      <c r="P29" s="78">
        <f t="shared" ref="P29:S29" si="58">SUM(P25:P28)</f>
        <v>863843.52833333309</v>
      </c>
      <c r="Q29" s="78">
        <f t="shared" si="58"/>
        <v>205681.14409616668</v>
      </c>
      <c r="R29" s="78">
        <f t="shared" si="58"/>
        <v>54847.208148148165</v>
      </c>
      <c r="S29" s="335">
        <f t="shared" si="58"/>
        <v>1124371.8805776481</v>
      </c>
      <c r="T29" s="336">
        <f t="shared" si="51"/>
        <v>26770.759061372573</v>
      </c>
      <c r="V29" s="75">
        <f t="shared" ref="V29" si="59">SUM(V25:V28)</f>
        <v>42</v>
      </c>
      <c r="W29" s="78">
        <f t="shared" ref="W29:Z29" si="60">SUM(W25:W28)</f>
        <v>863843.52833333309</v>
      </c>
      <c r="X29" s="78">
        <f t="shared" si="60"/>
        <v>205681.14409616668</v>
      </c>
      <c r="Y29" s="78">
        <f t="shared" si="60"/>
        <v>54847.208148148165</v>
      </c>
      <c r="Z29" s="586">
        <f t="shared" si="60"/>
        <v>1124371.8805776481</v>
      </c>
      <c r="AA29" s="336">
        <f t="shared" si="9"/>
        <v>26770.759061372573</v>
      </c>
      <c r="AC29" s="73">
        <f>+Z29-'Tab. 14'!O56</f>
        <v>0</v>
      </c>
    </row>
    <row r="30" spans="2:29" x14ac:dyDescent="0.2">
      <c r="B30" s="337"/>
      <c r="K30" s="340"/>
      <c r="L30" s="341"/>
      <c r="S30" s="340"/>
      <c r="T30" s="341"/>
      <c r="V30" s="16"/>
      <c r="Z30" s="588"/>
      <c r="AA30" s="339"/>
    </row>
    <row r="31" spans="2:29" x14ac:dyDescent="0.2">
      <c r="B31" s="337" t="s">
        <v>366</v>
      </c>
      <c r="C31" s="16">
        <f>COUNTIF(Tabella2[Funzioni],'Tab. 13'!B31)</f>
        <v>1</v>
      </c>
      <c r="D31" s="81">
        <f>SUMIF(Tabella2[Funzioni],'Tab. 13'!$B31,Tabella2[RAL])</f>
        <v>55554.31</v>
      </c>
      <c r="E31" s="81">
        <f>SUMIF(Tabella2[Funzioni],'Tab. 13'!$B31,Tabella2[Contributi])</f>
        <v>13227.481211</v>
      </c>
      <c r="F31" s="81">
        <f>SUMIF(Tabella2[Funzioni],'Tab. 13'!$B31,Tabella2[13ma])</f>
        <v>4629.5258333333331</v>
      </c>
      <c r="G31" s="81">
        <f>SUMIF(Tabella2[Funzioni],'Tab. 13'!$B31,Tabella2[Contributi 13ma])</f>
        <v>1102.2901009166667</v>
      </c>
      <c r="H31" s="81">
        <f>SUMIF(Tabella2[Funzioni],'Tab. 13'!$B31,Tabella2[14ma])</f>
        <v>4629.5258333333331</v>
      </c>
      <c r="I31" s="81">
        <f>SUMIF(Tabella2[Funzioni],'Tab. 13'!$B31,Tabella2[Contributi 14m])</f>
        <v>1102.2901009166667</v>
      </c>
      <c r="J31" s="81">
        <f>SUMIF(Tabella2[Funzioni],'Tab. 13'!$B31,Tabella2[TFR])</f>
        <v>4115.1340740740743</v>
      </c>
      <c r="K31" s="338">
        <f>SUM(D31:J31)</f>
        <v>84360.557153574075</v>
      </c>
      <c r="L31" s="339">
        <f t="shared" ref="L31:L36" si="61">K31/C31</f>
        <v>84360.557153574075</v>
      </c>
      <c r="P31" s="81">
        <f t="shared" ref="P31:P35" si="62">D31+F31+H31</f>
        <v>64813.361666666664</v>
      </c>
      <c r="Q31" s="81">
        <f t="shared" ref="Q31:Q35" si="63">E31+G31+I31</f>
        <v>15432.061412833335</v>
      </c>
      <c r="R31" s="81">
        <f t="shared" ref="R31:R35" si="64">J31</f>
        <v>4115.1340740740743</v>
      </c>
      <c r="S31" s="338">
        <f t="shared" ref="S31:S35" si="65">SUM(P31:R31)</f>
        <v>84360.557153574075</v>
      </c>
      <c r="T31" s="339">
        <f t="shared" ref="T31:T36" si="66">S31/C31</f>
        <v>84360.557153574075</v>
      </c>
      <c r="V31" s="16">
        <f t="shared" ref="V31" si="67">+C31</f>
        <v>1</v>
      </c>
      <c r="W31" s="81">
        <f t="shared" ref="W31" si="68">+P31</f>
        <v>64813.361666666664</v>
      </c>
      <c r="X31" s="81">
        <f t="shared" ref="X31" si="69">+Q31</f>
        <v>15432.061412833335</v>
      </c>
      <c r="Y31" s="81">
        <f t="shared" ref="Y31" si="70">+R31</f>
        <v>4115.1340740740743</v>
      </c>
      <c r="Z31" s="587">
        <f t="shared" ref="Z31:Z35" si="71">SUM(W31:Y31)</f>
        <v>84360.557153574075</v>
      </c>
      <c r="AA31" s="339">
        <f t="shared" si="9"/>
        <v>84360.557153574075</v>
      </c>
    </row>
    <row r="32" spans="2:29" x14ac:dyDescent="0.2">
      <c r="B32" s="337" t="s">
        <v>561</v>
      </c>
      <c r="C32" s="16">
        <f>COUNTIF(Tabella2[Funzioni],'Tab. 13'!B32)</f>
        <v>1</v>
      </c>
      <c r="D32" s="81">
        <f>SUMIF(Tabella2[Funzioni],'Tab. 13'!$B32,Tabella2[RAL])</f>
        <v>22180.16</v>
      </c>
      <c r="E32" s="81">
        <f>SUMIF(Tabella2[Funzioni],'Tab. 13'!$B32,Tabella2[Contributi])</f>
        <v>5281.0960960000002</v>
      </c>
      <c r="F32" s="81">
        <f>SUMIF(Tabella2[Funzioni],'Tab. 13'!$B32,Tabella2[13ma])</f>
        <v>1848.3466666666666</v>
      </c>
      <c r="G32" s="81">
        <f>SUMIF(Tabella2[Funzioni],'Tab. 13'!$B32,Tabella2[Contributi 13ma])</f>
        <v>440.09134133333333</v>
      </c>
      <c r="H32" s="81">
        <f>SUMIF(Tabella2[Funzioni],'Tab. 13'!$B32,Tabella2[14ma])</f>
        <v>1848.3466666666666</v>
      </c>
      <c r="I32" s="81">
        <f>SUMIF(Tabella2[Funzioni],'Tab. 13'!$B32,Tabella2[Contributi 14m])</f>
        <v>440.09134133333333</v>
      </c>
      <c r="J32" s="81">
        <f>SUMIF(Tabella2[Funzioni],'Tab. 13'!$B32,Tabella2[TFR])</f>
        <v>1642.9748148148149</v>
      </c>
      <c r="K32" s="338">
        <f>SUM(D32:J32)</f>
        <v>33681.10692681482</v>
      </c>
      <c r="L32" s="339">
        <f t="shared" si="61"/>
        <v>33681.10692681482</v>
      </c>
      <c r="P32" s="81">
        <f t="shared" si="62"/>
        <v>25876.853333333336</v>
      </c>
      <c r="Q32" s="81">
        <f t="shared" si="63"/>
        <v>6161.2787786666677</v>
      </c>
      <c r="R32" s="81">
        <f t="shared" si="64"/>
        <v>1642.9748148148149</v>
      </c>
      <c r="S32" s="338">
        <f t="shared" si="65"/>
        <v>33681.10692681482</v>
      </c>
      <c r="T32" s="339">
        <f t="shared" si="66"/>
        <v>33681.10692681482</v>
      </c>
      <c r="V32" s="16">
        <f>+C32+C45</f>
        <v>2</v>
      </c>
      <c r="W32" s="81">
        <f>'Tab. 13'!P32+'Tab. 14'!O66+'Tab. 14'!O67+'Tab. 14'!O68</f>
        <v>43402.50345153665</v>
      </c>
      <c r="X32" s="81">
        <f>Q32+'Tab. 14'!O69+'Tab. 14'!O70+'Tab. 14'!O71</f>
        <v>10334.136071810875</v>
      </c>
      <c r="Y32" s="81">
        <f>R32+'Tab. 14'!O72</f>
        <v>2755.7145048594693</v>
      </c>
      <c r="Z32" s="587">
        <f t="shared" si="71"/>
        <v>56492.354028206995</v>
      </c>
      <c r="AA32" s="339">
        <f t="shared" si="9"/>
        <v>28246.177014103498</v>
      </c>
    </row>
    <row r="33" spans="2:29" x14ac:dyDescent="0.2">
      <c r="B33" s="337" t="s">
        <v>368</v>
      </c>
      <c r="C33" s="16">
        <f>COUNTIF(Tabella2[Funzioni],'Tab. 13'!B33)</f>
        <v>1</v>
      </c>
      <c r="D33" s="81">
        <f>SUMIF(Tabella2[Funzioni],'Tab. 13'!$B33,Tabella2[RAL])</f>
        <v>17781.22</v>
      </c>
      <c r="E33" s="81">
        <f>SUMIF(Tabella2[Funzioni],'Tab. 13'!$B33,Tabella2[Contributi])</f>
        <v>4233.708482</v>
      </c>
      <c r="F33" s="81">
        <f>SUMIF(Tabella2[Funzioni],'Tab. 13'!$B33,Tabella2[13ma])</f>
        <v>1481.7683333333334</v>
      </c>
      <c r="G33" s="81">
        <f>SUMIF(Tabella2[Funzioni],'Tab. 13'!$B33,Tabella2[Contributi 13ma])</f>
        <v>352.8090401666667</v>
      </c>
      <c r="H33" s="81">
        <f>SUMIF(Tabella2[Funzioni],'Tab. 13'!$B33,Tabella2[14ma])</f>
        <v>1481.7683333333334</v>
      </c>
      <c r="I33" s="81">
        <f>SUMIF(Tabella2[Funzioni],'Tab. 13'!$B33,Tabella2[Contributi 14m])</f>
        <v>352.8090401666667</v>
      </c>
      <c r="J33" s="81">
        <f>SUMIF(Tabella2[Funzioni],'Tab. 13'!$B33,Tabella2[TFR])</f>
        <v>1317.1274074074074</v>
      </c>
      <c r="K33" s="338">
        <f>SUM(D33:J33)</f>
        <v>27001.21063640741</v>
      </c>
      <c r="L33" s="339">
        <f t="shared" si="61"/>
        <v>27001.21063640741</v>
      </c>
      <c r="P33" s="81">
        <f t="shared" si="62"/>
        <v>20744.756666666668</v>
      </c>
      <c r="Q33" s="81">
        <f t="shared" si="63"/>
        <v>4939.3265623333336</v>
      </c>
      <c r="R33" s="81">
        <f t="shared" si="64"/>
        <v>1317.1274074074074</v>
      </c>
      <c r="S33" s="338">
        <f t="shared" si="65"/>
        <v>27001.21063640741</v>
      </c>
      <c r="T33" s="339">
        <f t="shared" si="66"/>
        <v>27001.21063640741</v>
      </c>
      <c r="V33" s="16">
        <f t="shared" ref="V33:V35" si="72">+C33</f>
        <v>1</v>
      </c>
      <c r="W33" s="81">
        <f t="shared" ref="W33:W35" si="73">+P33</f>
        <v>20744.756666666668</v>
      </c>
      <c r="X33" s="81">
        <f t="shared" ref="X33:X35" si="74">+Q33</f>
        <v>4939.3265623333336</v>
      </c>
      <c r="Y33" s="81">
        <f t="shared" ref="Y33:Y35" si="75">+R33</f>
        <v>1317.1274074074074</v>
      </c>
      <c r="Z33" s="587">
        <f t="shared" si="71"/>
        <v>27001.21063640741</v>
      </c>
      <c r="AA33" s="339">
        <f t="shared" si="9"/>
        <v>27001.21063640741</v>
      </c>
    </row>
    <row r="34" spans="2:29" x14ac:dyDescent="0.2">
      <c r="B34" s="337" t="s">
        <v>367</v>
      </c>
      <c r="C34" s="16">
        <f>COUNTIF(Tabella2[Funzioni],'Tab. 13'!B34)</f>
        <v>1</v>
      </c>
      <c r="D34" s="81">
        <f>SUMIF(Tabella2[Funzioni],'Tab. 13'!$B34,Tabella2[RAL])</f>
        <v>12388.59</v>
      </c>
      <c r="E34" s="81">
        <f>SUMIF(Tabella2[Funzioni],'Tab. 13'!$B34,Tabella2[Contributi])</f>
        <v>2949.7232790000003</v>
      </c>
      <c r="F34" s="81">
        <f>SUMIF(Tabella2[Funzioni],'Tab. 13'!$B34,Tabella2[13ma])</f>
        <v>1032.3824999999999</v>
      </c>
      <c r="G34" s="81">
        <f>SUMIF(Tabella2[Funzioni],'Tab. 13'!$B34,Tabella2[Contributi 13ma])</f>
        <v>245.81027324999999</v>
      </c>
      <c r="H34" s="81">
        <f>SUMIF(Tabella2[Funzioni],'Tab. 13'!$B34,Tabella2[14ma])</f>
        <v>1032.3824999999999</v>
      </c>
      <c r="I34" s="81">
        <f>SUMIF(Tabella2[Funzioni],'Tab. 13'!$B34,Tabella2[Contributi 14m])</f>
        <v>245.81027324999999</v>
      </c>
      <c r="J34" s="81">
        <f>SUMIF(Tabella2[Funzioni],'Tab. 13'!$B34,Tabella2[TFR])</f>
        <v>917.67333333333329</v>
      </c>
      <c r="K34" s="338">
        <f>SUM(D34:J34)</f>
        <v>18812.372158833332</v>
      </c>
      <c r="L34" s="339">
        <f t="shared" si="61"/>
        <v>18812.372158833332</v>
      </c>
      <c r="P34" s="81">
        <f t="shared" si="62"/>
        <v>14453.355</v>
      </c>
      <c r="Q34" s="81">
        <f t="shared" si="63"/>
        <v>3441.3438255000005</v>
      </c>
      <c r="R34" s="81">
        <f t="shared" si="64"/>
        <v>917.67333333333329</v>
      </c>
      <c r="S34" s="338">
        <f t="shared" si="65"/>
        <v>18812.372158833332</v>
      </c>
      <c r="T34" s="339">
        <f t="shared" si="66"/>
        <v>18812.372158833332</v>
      </c>
      <c r="V34" s="16">
        <f t="shared" si="72"/>
        <v>1</v>
      </c>
      <c r="W34" s="81">
        <f t="shared" si="73"/>
        <v>14453.355</v>
      </c>
      <c r="X34" s="81">
        <f t="shared" si="74"/>
        <v>3441.3438255000005</v>
      </c>
      <c r="Y34" s="81">
        <f t="shared" si="75"/>
        <v>917.67333333333329</v>
      </c>
      <c r="Z34" s="587">
        <f t="shared" si="71"/>
        <v>18812.372158833332</v>
      </c>
      <c r="AA34" s="339">
        <f t="shared" si="9"/>
        <v>18812.372158833332</v>
      </c>
    </row>
    <row r="35" spans="2:29" x14ac:dyDescent="0.2">
      <c r="B35" s="337" t="s">
        <v>562</v>
      </c>
      <c r="C35" s="16">
        <f>COUNTIF(Tabella2[Funzioni],'Tab. 13'!B35)</f>
        <v>2</v>
      </c>
      <c r="D35" s="81">
        <f>SUMIF(Tabella2[Funzioni],'Tab. 13'!$B35,Tabella2[RAL])</f>
        <v>38720.009999999995</v>
      </c>
      <c r="E35" s="81">
        <f>SUMIF(Tabella2[Funzioni],'Tab. 13'!$B35,Tabella2[Contributi])</f>
        <v>9219.2343810000002</v>
      </c>
      <c r="F35" s="81">
        <f>SUMIF(Tabella2[Funzioni],'Tab. 13'!$B35,Tabella2[13ma])</f>
        <v>3226.6675</v>
      </c>
      <c r="G35" s="81">
        <f>SUMIF(Tabella2[Funzioni],'Tab. 13'!$B35,Tabella2[Contributi 13ma])</f>
        <v>768.26953174999994</v>
      </c>
      <c r="H35" s="81">
        <f>SUMIF(Tabella2[Funzioni],'Tab. 13'!$B35,Tabella2[14ma])</f>
        <v>3226.6675</v>
      </c>
      <c r="I35" s="81">
        <f>SUMIF(Tabella2[Funzioni],'Tab. 13'!$B35,Tabella2[Contributi 14m])</f>
        <v>768.26953174999994</v>
      </c>
      <c r="J35" s="81">
        <f>SUMIF(Tabella2[Funzioni],'Tab. 13'!$B35,Tabella2[TFR])</f>
        <v>2868.1488888888889</v>
      </c>
      <c r="K35" s="338">
        <f>SUM(D35:J35)</f>
        <v>58797.267333388882</v>
      </c>
      <c r="L35" s="339">
        <f t="shared" si="61"/>
        <v>29398.633666694441</v>
      </c>
      <c r="P35" s="81">
        <f t="shared" si="62"/>
        <v>45173.345000000001</v>
      </c>
      <c r="Q35" s="81">
        <f t="shared" si="63"/>
        <v>10755.773444500001</v>
      </c>
      <c r="R35" s="81">
        <f t="shared" si="64"/>
        <v>2868.1488888888889</v>
      </c>
      <c r="S35" s="338">
        <f t="shared" si="65"/>
        <v>58797.267333388896</v>
      </c>
      <c r="T35" s="339">
        <f t="shared" si="66"/>
        <v>29398.633666694448</v>
      </c>
      <c r="V35" s="16">
        <f t="shared" si="72"/>
        <v>2</v>
      </c>
      <c r="W35" s="81">
        <f t="shared" si="73"/>
        <v>45173.345000000001</v>
      </c>
      <c r="X35" s="81">
        <f t="shared" si="74"/>
        <v>10755.773444500001</v>
      </c>
      <c r="Y35" s="81">
        <f t="shared" si="75"/>
        <v>2868.1488888888889</v>
      </c>
      <c r="Z35" s="587">
        <f t="shared" si="71"/>
        <v>58797.267333388896</v>
      </c>
      <c r="AA35" s="339">
        <f t="shared" si="9"/>
        <v>29398.633666694448</v>
      </c>
    </row>
    <row r="36" spans="2:29" x14ac:dyDescent="0.2">
      <c r="B36" s="334" t="s">
        <v>571</v>
      </c>
      <c r="C36" s="75">
        <f t="shared" ref="C36:K36" si="76">SUM(C31:C35)</f>
        <v>6</v>
      </c>
      <c r="D36" s="78">
        <f t="shared" si="76"/>
        <v>146624.28999999998</v>
      </c>
      <c r="E36" s="78">
        <f t="shared" si="76"/>
        <v>34911.243449000001</v>
      </c>
      <c r="F36" s="78">
        <f t="shared" si="76"/>
        <v>12218.690833333332</v>
      </c>
      <c r="G36" s="78">
        <f t="shared" si="76"/>
        <v>2909.2702874166671</v>
      </c>
      <c r="H36" s="78">
        <f t="shared" si="76"/>
        <v>12218.690833333332</v>
      </c>
      <c r="I36" s="78">
        <f t="shared" si="76"/>
        <v>2909.2702874166671</v>
      </c>
      <c r="J36" s="78">
        <f t="shared" si="76"/>
        <v>10861.058518518519</v>
      </c>
      <c r="K36" s="335">
        <f t="shared" si="76"/>
        <v>222652.51420901853</v>
      </c>
      <c r="L36" s="336">
        <f t="shared" si="61"/>
        <v>37108.752368169757</v>
      </c>
      <c r="P36" s="78">
        <f t="shared" ref="P36:S36" si="77">SUM(P31:P35)</f>
        <v>171061.67166666666</v>
      </c>
      <c r="Q36" s="78">
        <f t="shared" si="77"/>
        <v>40729.784023833337</v>
      </c>
      <c r="R36" s="78">
        <f t="shared" si="77"/>
        <v>10861.058518518519</v>
      </c>
      <c r="S36" s="335">
        <f t="shared" si="77"/>
        <v>222652.51420901855</v>
      </c>
      <c r="T36" s="336">
        <f t="shared" si="66"/>
        <v>37108.752368169757</v>
      </c>
      <c r="V36" s="75">
        <f t="shared" ref="V36" si="78">SUM(V31:V35)</f>
        <v>7</v>
      </c>
      <c r="W36" s="78">
        <f t="shared" ref="W36:Z36" si="79">SUM(W31:W35)</f>
        <v>188587.32178486997</v>
      </c>
      <c r="X36" s="78">
        <f t="shared" si="79"/>
        <v>44902.641316977548</v>
      </c>
      <c r="Y36" s="78">
        <f t="shared" si="79"/>
        <v>11973.798208563174</v>
      </c>
      <c r="Z36" s="586">
        <f t="shared" si="79"/>
        <v>245463.76131041069</v>
      </c>
      <c r="AA36" s="336">
        <f t="shared" si="9"/>
        <v>35066.251615772955</v>
      </c>
      <c r="AC36" s="73">
        <f>+Z36-'Tab. 14'!O81</f>
        <v>0</v>
      </c>
    </row>
    <row r="37" spans="2:29" x14ac:dyDescent="0.2">
      <c r="B37" s="337"/>
      <c r="J37" s="76"/>
      <c r="K37" s="76"/>
      <c r="L37" s="342"/>
      <c r="R37" s="76"/>
      <c r="S37" s="76"/>
      <c r="T37" s="342"/>
      <c r="V37" s="16"/>
      <c r="Y37" s="76"/>
      <c r="Z37" s="76"/>
      <c r="AA37" s="583"/>
    </row>
    <row r="38" spans="2:29" ht="17" thickBot="1" x14ac:dyDescent="0.25">
      <c r="B38" s="509" t="s">
        <v>572</v>
      </c>
      <c r="C38" s="343">
        <f>C6+C11+C23+C29+C36+C14</f>
        <v>185</v>
      </c>
      <c r="D38" s="344">
        <f t="shared" ref="D38:K38" si="80">D6+D11+D23+D29+D36+D14</f>
        <v>3258955.9800000032</v>
      </c>
      <c r="E38" s="344">
        <f t="shared" si="80"/>
        <v>775957.41883799923</v>
      </c>
      <c r="F38" s="344">
        <f t="shared" si="80"/>
        <v>271579.6649999998</v>
      </c>
      <c r="G38" s="344">
        <f t="shared" si="80"/>
        <v>64663.118236500042</v>
      </c>
      <c r="H38" s="344">
        <f t="shared" si="80"/>
        <v>271579.6649999998</v>
      </c>
      <c r="I38" s="344">
        <f t="shared" si="80"/>
        <v>64663.118236500042</v>
      </c>
      <c r="J38" s="344">
        <f t="shared" si="80"/>
        <v>241404.14666666707</v>
      </c>
      <c r="K38" s="345">
        <f t="shared" si="80"/>
        <v>4948803.1119776694</v>
      </c>
      <c r="L38" s="346">
        <f>K38/C38</f>
        <v>26750.287091771184</v>
      </c>
      <c r="M38" s="580"/>
      <c r="N38" s="580" t="s">
        <v>41</v>
      </c>
      <c r="O38" s="584">
        <f>K38-Tabella2[[#Totals],[Costo totale]]</f>
        <v>0</v>
      </c>
      <c r="P38" s="344">
        <f t="shared" ref="P38:S38" si="81">P6+P11+P23+P29+P36+P14</f>
        <v>3802115.3100000024</v>
      </c>
      <c r="Q38" s="344">
        <f t="shared" si="81"/>
        <v>905283.65531099937</v>
      </c>
      <c r="R38" s="344">
        <f t="shared" si="81"/>
        <v>241404.14666666707</v>
      </c>
      <c r="S38" s="345">
        <f t="shared" si="81"/>
        <v>4948803.1119776685</v>
      </c>
      <c r="T38" s="346">
        <f t="shared" ref="T38" si="82">S38/C38</f>
        <v>26750.287091771181</v>
      </c>
      <c r="U38" s="580"/>
      <c r="V38" s="589">
        <f>V6+V11+V23+V29+V36+V14</f>
        <v>186</v>
      </c>
      <c r="W38" s="590">
        <f t="shared" ref="W38:Z38" si="83">W6+W11+W23+W29+W36+W14</f>
        <v>3822629.7870363463</v>
      </c>
      <c r="X38" s="590">
        <f t="shared" si="83"/>
        <v>910168.15229335288</v>
      </c>
      <c r="Y38" s="590">
        <f t="shared" si="83"/>
        <v>242706.65314516512</v>
      </c>
      <c r="Z38" s="591">
        <f t="shared" si="83"/>
        <v>4975504.5924748648</v>
      </c>
      <c r="AA38" s="346">
        <f t="shared" si="9"/>
        <v>26750.02469072508</v>
      </c>
    </row>
    <row r="40" spans="2:29" x14ac:dyDescent="0.2">
      <c r="W40" s="73"/>
      <c r="X40" s="73"/>
      <c r="Y40" s="73"/>
      <c r="Z40" s="73"/>
    </row>
    <row r="41" spans="2:29" x14ac:dyDescent="0.2">
      <c r="K41" s="73"/>
      <c r="L41" s="73"/>
      <c r="S41" s="73"/>
      <c r="T41" s="73"/>
      <c r="Z41" s="73"/>
      <c r="AA41" s="73"/>
    </row>
    <row r="42" spans="2:29" ht="17" thickBot="1" x14ac:dyDescent="0.25">
      <c r="Z42" s="73"/>
    </row>
    <row r="43" spans="2:29" x14ac:dyDescent="0.2">
      <c r="B43" s="347" t="s">
        <v>46</v>
      </c>
      <c r="C43" s="675" t="s">
        <v>98</v>
      </c>
      <c r="D43" s="663"/>
      <c r="E43" s="663"/>
      <c r="F43" s="663"/>
      <c r="G43" s="663"/>
      <c r="H43" s="663"/>
      <c r="I43" s="663"/>
      <c r="J43" s="663"/>
      <c r="K43" s="663"/>
      <c r="L43" s="663"/>
      <c r="M43" s="663"/>
      <c r="N43" s="663"/>
      <c r="O43" s="663"/>
      <c r="P43" s="663"/>
      <c r="Q43" s="663"/>
      <c r="R43" s="663"/>
      <c r="S43" s="663"/>
      <c r="T43" s="664"/>
      <c r="Z43" s="73"/>
    </row>
    <row r="44" spans="2:29" x14ac:dyDescent="0.2">
      <c r="B44" s="87"/>
      <c r="C44" s="189" t="s">
        <v>565</v>
      </c>
      <c r="D44" s="190" t="s">
        <v>574</v>
      </c>
      <c r="E44" s="190" t="s">
        <v>177</v>
      </c>
      <c r="F44" s="190" t="s">
        <v>566</v>
      </c>
      <c r="G44" s="190" t="s">
        <v>43</v>
      </c>
      <c r="H44" s="190" t="s">
        <v>178</v>
      </c>
      <c r="I44" s="190" t="s">
        <v>44</v>
      </c>
      <c r="J44" s="190" t="s">
        <v>567</v>
      </c>
      <c r="K44" s="191" t="s">
        <v>47</v>
      </c>
      <c r="L44" s="572" t="s">
        <v>180</v>
      </c>
      <c r="M44" s="573" t="s">
        <v>573</v>
      </c>
      <c r="P44" s="190" t="s">
        <v>574</v>
      </c>
      <c r="Q44" s="190" t="s">
        <v>177</v>
      </c>
      <c r="R44" s="190" t="s">
        <v>39</v>
      </c>
      <c r="S44" s="191" t="s">
        <v>47</v>
      </c>
      <c r="T44" s="574" t="s">
        <v>180</v>
      </c>
      <c r="Z44" s="73"/>
    </row>
    <row r="45" spans="2:29" ht="17" thickBot="1" x14ac:dyDescent="0.25">
      <c r="B45" s="227" t="s">
        <v>561</v>
      </c>
      <c r="C45" s="575">
        <f>COUNTIF(Tabella2[Funzioni],'Tab. 13'!B45)</f>
        <v>1</v>
      </c>
      <c r="D45" s="575" t="s">
        <v>115</v>
      </c>
      <c r="E45" s="576">
        <v>18000</v>
      </c>
      <c r="F45" s="577">
        <f>E45*'All. 7'!$E$4</f>
        <v>4285.8</v>
      </c>
      <c r="G45" s="577">
        <f>E45/12</f>
        <v>1500</v>
      </c>
      <c r="H45" s="577">
        <f>G45*'All. 7'!$E$4</f>
        <v>357.15000000000003</v>
      </c>
      <c r="I45" s="577">
        <f>E45/12</f>
        <v>1500</v>
      </c>
      <c r="J45" s="577">
        <f>I45*'All. 7'!$E$4</f>
        <v>357.15000000000003</v>
      </c>
      <c r="K45" s="577">
        <f>E45/13.5</f>
        <v>1333.3333333333333</v>
      </c>
      <c r="L45" s="578">
        <f>SUM(E45:K45)</f>
        <v>27333.433333333334</v>
      </c>
      <c r="M45" s="579">
        <f>L45/C45</f>
        <v>27333.433333333334</v>
      </c>
      <c r="N45" s="580"/>
      <c r="O45" s="580"/>
      <c r="P45" s="575" t="s">
        <v>115</v>
      </c>
      <c r="Q45" s="576">
        <f>E45+G45+I45</f>
        <v>21000</v>
      </c>
      <c r="R45" s="577">
        <f>+F45+H45+J45</f>
        <v>5000.0999999999995</v>
      </c>
      <c r="S45" s="577">
        <f>+K45</f>
        <v>1333.3333333333333</v>
      </c>
      <c r="T45" s="581">
        <f>SUM(Q45:S45)</f>
        <v>27333.433333333331</v>
      </c>
    </row>
    <row r="47" spans="2:29" x14ac:dyDescent="0.2">
      <c r="Q47" s="571"/>
      <c r="X47" s="571"/>
    </row>
    <row r="48" spans="2:29" x14ac:dyDescent="0.2">
      <c r="E48" s="3">
        <f>1600*12</f>
        <v>19200</v>
      </c>
    </row>
    <row r="49" spans="5:27" x14ac:dyDescent="0.2">
      <c r="E49" s="69"/>
      <c r="F49" s="69"/>
      <c r="G49" s="69"/>
      <c r="H49" s="69"/>
      <c r="I49" s="69"/>
      <c r="J49" s="69"/>
      <c r="K49" s="69"/>
      <c r="L49" s="69"/>
      <c r="Q49" s="69"/>
      <c r="R49" s="69"/>
      <c r="S49" s="69"/>
      <c r="T49" s="69"/>
      <c r="X49" s="69"/>
      <c r="Y49" s="69"/>
      <c r="Z49" s="69"/>
      <c r="AA49" s="69"/>
    </row>
    <row r="50" spans="5:27" x14ac:dyDescent="0.2">
      <c r="E50" s="74"/>
      <c r="F50" s="74"/>
      <c r="G50" s="74"/>
      <c r="H50" s="74"/>
      <c r="Q50" s="74"/>
      <c r="X50" s="74"/>
    </row>
  </sheetData>
  <mergeCells count="4">
    <mergeCell ref="V4:AA4"/>
    <mergeCell ref="C4:L4"/>
    <mergeCell ref="P4:T4"/>
    <mergeCell ref="C43:T43"/>
  </mergeCells>
  <phoneticPr fontId="4" type="noConversion"/>
  <pageMargins left="0.7" right="0.7" top="0.75" bottom="0.75" header="0.3" footer="0.3"/>
  <ignoredErrors>
    <ignoredError sqref="V32 Z32 W32:Y32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9737F-73BB-C44B-8002-B5EE716F6FFE}">
  <sheetPr codeName="Foglio18"/>
  <dimension ref="A2:Q163"/>
  <sheetViews>
    <sheetView showGridLines="0" topLeftCell="A111" zoomScale="150" zoomScaleNormal="150" workbookViewId="0">
      <selection activeCell="B2" sqref="B2"/>
    </sheetView>
  </sheetViews>
  <sheetFormatPr baseColWidth="10" defaultRowHeight="13" outlineLevelRow="1" x14ac:dyDescent="0.15"/>
  <cols>
    <col min="2" max="2" width="22.83203125" customWidth="1"/>
    <col min="3" max="14" width="12.1640625" bestFit="1" customWidth="1"/>
    <col min="15" max="15" width="12.6640625" customWidth="1"/>
    <col min="16" max="16" width="2" customWidth="1"/>
    <col min="17" max="17" width="12.5" customWidth="1"/>
  </cols>
  <sheetData>
    <row r="2" spans="2:17" ht="16" x14ac:dyDescent="0.15">
      <c r="B2" s="77" t="s">
        <v>822</v>
      </c>
    </row>
    <row r="3" spans="2:17" ht="14" thickBot="1" x14ac:dyDescent="0.2"/>
    <row r="4" spans="2:17" s="3" customFormat="1" ht="17" thickBot="1" x14ac:dyDescent="0.25">
      <c r="B4" s="229"/>
      <c r="C4" s="695" t="s">
        <v>98</v>
      </c>
      <c r="D4" s="653"/>
      <c r="E4" s="653"/>
      <c r="F4" s="653"/>
      <c r="G4" s="653"/>
      <c r="H4" s="653"/>
      <c r="I4" s="653"/>
      <c r="J4" s="653"/>
      <c r="K4" s="653"/>
      <c r="L4" s="653"/>
      <c r="M4" s="653"/>
      <c r="N4" s="653"/>
      <c r="O4" s="654"/>
    </row>
    <row r="5" spans="2:17" s="3" customFormat="1" ht="16" x14ac:dyDescent="0.2">
      <c r="B5" s="141"/>
      <c r="C5" s="236" t="s">
        <v>113</v>
      </c>
      <c r="D5" s="236" t="s">
        <v>114</v>
      </c>
      <c r="E5" s="236" t="s">
        <v>115</v>
      </c>
      <c r="F5" s="236" t="s">
        <v>116</v>
      </c>
      <c r="G5" s="236" t="s">
        <v>117</v>
      </c>
      <c r="H5" s="236" t="s">
        <v>118</v>
      </c>
      <c r="I5" s="236" t="s">
        <v>119</v>
      </c>
      <c r="J5" s="236" t="s">
        <v>120</v>
      </c>
      <c r="K5" s="236" t="s">
        <v>121</v>
      </c>
      <c r="L5" s="236" t="s">
        <v>122</v>
      </c>
      <c r="M5" s="236" t="s">
        <v>123</v>
      </c>
      <c r="N5" s="236" t="s">
        <v>124</v>
      </c>
      <c r="O5" s="241" t="s">
        <v>81</v>
      </c>
      <c r="Q5" s="518" t="s">
        <v>583</v>
      </c>
    </row>
    <row r="6" spans="2:17" s="3" customFormat="1" ht="16" x14ac:dyDescent="0.2">
      <c r="B6" s="196" t="s">
        <v>575</v>
      </c>
      <c r="C6" s="106">
        <v>20</v>
      </c>
      <c r="D6" s="106">
        <v>20</v>
      </c>
      <c r="E6" s="106">
        <v>23</v>
      </c>
      <c r="F6" s="106">
        <v>21</v>
      </c>
      <c r="G6" s="106">
        <v>21</v>
      </c>
      <c r="H6" s="106">
        <v>22</v>
      </c>
      <c r="I6" s="106">
        <v>22</v>
      </c>
      <c r="J6" s="106">
        <v>22</v>
      </c>
      <c r="K6" s="106">
        <v>22</v>
      </c>
      <c r="L6" s="106">
        <v>21</v>
      </c>
      <c r="M6" s="106">
        <v>21</v>
      </c>
      <c r="N6" s="106">
        <v>24</v>
      </c>
      <c r="O6" s="237">
        <f>SUM(C6:N6)</f>
        <v>259</v>
      </c>
      <c r="Q6" s="519"/>
    </row>
    <row r="7" spans="2:17" s="3" customFormat="1" ht="16" x14ac:dyDescent="0.2">
      <c r="B7" s="363" t="s">
        <v>582</v>
      </c>
      <c r="C7" s="106">
        <v>2</v>
      </c>
      <c r="D7" s="106">
        <v>0</v>
      </c>
      <c r="E7" s="106">
        <v>0</v>
      </c>
      <c r="F7" s="106">
        <v>0</v>
      </c>
      <c r="G7" s="106">
        <v>0</v>
      </c>
      <c r="H7" s="106">
        <v>0</v>
      </c>
      <c r="I7" s="106">
        <v>0</v>
      </c>
      <c r="J7" s="106">
        <v>10</v>
      </c>
      <c r="K7" s="106">
        <v>0</v>
      </c>
      <c r="L7" s="106">
        <v>0</v>
      </c>
      <c r="M7" s="106">
        <v>0</v>
      </c>
      <c r="N7" s="106">
        <v>12</v>
      </c>
      <c r="O7" s="237">
        <f>SUM(C7:N7)</f>
        <v>24</v>
      </c>
      <c r="Q7" s="519"/>
    </row>
    <row r="8" spans="2:17" s="3" customFormat="1" ht="16" x14ac:dyDescent="0.2">
      <c r="B8" s="363" t="s">
        <v>743</v>
      </c>
      <c r="C8" s="529">
        <f>(C6-C7)*'All. 2'!$F$9</f>
        <v>1.0723404255319149</v>
      </c>
      <c r="D8" s="529">
        <f>(D6-D7)*'All. 2'!$F$9</f>
        <v>1.1914893617021276</v>
      </c>
      <c r="E8" s="529">
        <f>(E6-E7)*'All. 2'!$F$9</f>
        <v>1.3702127659574468</v>
      </c>
      <c r="F8" s="529">
        <f>(F6-F7)*'All. 2'!$F$9</f>
        <v>1.2510638297872341</v>
      </c>
      <c r="G8" s="529">
        <f>(G6-G7)*'All. 2'!$F$9</f>
        <v>1.2510638297872341</v>
      </c>
      <c r="H8" s="529">
        <f>(H6-H7)*'All. 2'!$F$9</f>
        <v>1.3106382978723405</v>
      </c>
      <c r="I8" s="529">
        <f>(I6-I7)*'All. 2'!$F$9</f>
        <v>1.3106382978723405</v>
      </c>
      <c r="J8" s="529">
        <f>(J6-J7)*'All. 2'!$F$9</f>
        <v>0.71489361702127663</v>
      </c>
      <c r="K8" s="529">
        <f>(K6-K7)*'All. 2'!$F$9</f>
        <v>1.3106382978723405</v>
      </c>
      <c r="L8" s="529">
        <f>(L6-L7)*'All. 2'!$F$9</f>
        <v>1.2510638297872341</v>
      </c>
      <c r="M8" s="529">
        <f>(M6-M7)*'All. 2'!$F$9</f>
        <v>1.2510638297872341</v>
      </c>
      <c r="N8" s="529">
        <f>(N6-N7)*'All. 2'!$F$9</f>
        <v>0.71489361702127663</v>
      </c>
      <c r="O8" s="237">
        <f>SUM(C8:N8)</f>
        <v>14.000000000000004</v>
      </c>
      <c r="Q8" s="519"/>
    </row>
    <row r="9" spans="2:17" s="3" customFormat="1" ht="17" thickBot="1" x14ac:dyDescent="0.25">
      <c r="B9" s="363" t="s">
        <v>744</v>
      </c>
      <c r="C9" s="106"/>
      <c r="D9" s="106"/>
      <c r="E9" s="106"/>
      <c r="F9" s="106"/>
      <c r="G9" s="106"/>
      <c r="H9" s="106"/>
      <c r="I9" s="106">
        <v>2.5</v>
      </c>
      <c r="J9" s="106"/>
      <c r="K9" s="106"/>
      <c r="L9" s="106"/>
      <c r="M9" s="106"/>
      <c r="N9" s="106">
        <v>2.5</v>
      </c>
      <c r="O9" s="237">
        <f>SUM(C9:N9)</f>
        <v>5</v>
      </c>
      <c r="Q9" s="519"/>
    </row>
    <row r="10" spans="2:17" s="3" customFormat="1" ht="17" thickBot="1" x14ac:dyDescent="0.25">
      <c r="B10" s="364" t="s">
        <v>785</v>
      </c>
      <c r="C10" s="530">
        <f>C6-SUM(C7:C9)</f>
        <v>16.927659574468084</v>
      </c>
      <c r="D10" s="530">
        <f t="shared" ref="D10:N10" si="0">D6-SUM(D7:D9)</f>
        <v>18.808510638297872</v>
      </c>
      <c r="E10" s="530">
        <f t="shared" si="0"/>
        <v>21.629787234042553</v>
      </c>
      <c r="F10" s="530">
        <f t="shared" si="0"/>
        <v>19.748936170212765</v>
      </c>
      <c r="G10" s="530">
        <f t="shared" si="0"/>
        <v>19.748936170212765</v>
      </c>
      <c r="H10" s="530">
        <f t="shared" si="0"/>
        <v>20.689361702127659</v>
      </c>
      <c r="I10" s="530">
        <f t="shared" si="0"/>
        <v>18.189361702127659</v>
      </c>
      <c r="J10" s="530">
        <f t="shared" si="0"/>
        <v>11.285106382978723</v>
      </c>
      <c r="K10" s="530">
        <f t="shared" si="0"/>
        <v>20.689361702127659</v>
      </c>
      <c r="L10" s="530">
        <f t="shared" si="0"/>
        <v>19.748936170212765</v>
      </c>
      <c r="M10" s="530">
        <f t="shared" si="0"/>
        <v>19.748936170212765</v>
      </c>
      <c r="N10" s="530">
        <f t="shared" si="0"/>
        <v>8.7851063829787233</v>
      </c>
      <c r="O10" s="531">
        <f>O6-SUM(O7:O9)</f>
        <v>216</v>
      </c>
      <c r="Q10" s="520"/>
    </row>
    <row r="11" spans="2:17" s="3" customFormat="1" ht="16" x14ac:dyDescent="0.2">
      <c r="B11" s="337"/>
      <c r="C11" s="16"/>
      <c r="O11" s="358"/>
      <c r="Q11" s="517"/>
    </row>
    <row r="12" spans="2:17" s="3" customFormat="1" ht="16" x14ac:dyDescent="0.2">
      <c r="B12" s="348" t="s">
        <v>370</v>
      </c>
      <c r="C12" s="16"/>
      <c r="O12" s="358"/>
      <c r="Q12" s="517"/>
    </row>
    <row r="13" spans="2:17" s="3" customFormat="1" ht="16" x14ac:dyDescent="0.2">
      <c r="B13" s="337" t="s">
        <v>576</v>
      </c>
      <c r="C13" s="365">
        <f>+$O13/$O$10*C$10</f>
        <v>8274.4382730496454</v>
      </c>
      <c r="D13" s="365">
        <f t="shared" ref="D13:N13" si="1">+$O13/$O$10*D$10</f>
        <v>9193.8203033884947</v>
      </c>
      <c r="E13" s="365">
        <f t="shared" si="1"/>
        <v>10572.893348896769</v>
      </c>
      <c r="F13" s="365">
        <f t="shared" si="1"/>
        <v>9653.5113185579194</v>
      </c>
      <c r="G13" s="365">
        <f t="shared" si="1"/>
        <v>9653.5113185579194</v>
      </c>
      <c r="H13" s="365">
        <f t="shared" si="1"/>
        <v>10113.202333727344</v>
      </c>
      <c r="I13" s="365">
        <f t="shared" si="1"/>
        <v>8891.1730513199363</v>
      </c>
      <c r="J13" s="365">
        <f t="shared" si="1"/>
        <v>5516.2921820330976</v>
      </c>
      <c r="K13" s="365">
        <f t="shared" si="1"/>
        <v>10113.202333727344</v>
      </c>
      <c r="L13" s="365">
        <f t="shared" si="1"/>
        <v>9653.5113185579194</v>
      </c>
      <c r="M13" s="365">
        <f t="shared" si="1"/>
        <v>9653.5113185579194</v>
      </c>
      <c r="N13" s="365">
        <f t="shared" si="1"/>
        <v>4294.2628996256899</v>
      </c>
      <c r="O13" s="359">
        <f>SUMIF('Tab. 13'!$B$6:$B$38,B12,'Tab. 13'!$D$6:$D$38)</f>
        <v>105583.33</v>
      </c>
      <c r="Q13" s="521">
        <f>O13/$O$6*$O$7</f>
        <v>9783.7834749034755</v>
      </c>
    </row>
    <row r="14" spans="2:17" s="3" customFormat="1" ht="16" x14ac:dyDescent="0.2">
      <c r="B14" s="337" t="s">
        <v>43</v>
      </c>
      <c r="C14" s="365">
        <f t="shared" ref="C14:N19" si="2">+$O14/$O$10*C$10</f>
        <v>689.53652275413708</v>
      </c>
      <c r="D14" s="365">
        <f t="shared" si="2"/>
        <v>766.15169194904126</v>
      </c>
      <c r="E14" s="365">
        <f t="shared" si="2"/>
        <v>881.07444574139743</v>
      </c>
      <c r="F14" s="365">
        <f t="shared" si="2"/>
        <v>804.45927654649336</v>
      </c>
      <c r="G14" s="365">
        <f t="shared" si="2"/>
        <v>804.45927654649336</v>
      </c>
      <c r="H14" s="365">
        <f t="shared" si="2"/>
        <v>842.76686114394533</v>
      </c>
      <c r="I14" s="365">
        <f t="shared" si="2"/>
        <v>740.93108760999473</v>
      </c>
      <c r="J14" s="365">
        <f t="shared" si="2"/>
        <v>459.69101516942476</v>
      </c>
      <c r="K14" s="365">
        <f t="shared" si="2"/>
        <v>842.76686114394533</v>
      </c>
      <c r="L14" s="365">
        <f t="shared" si="2"/>
        <v>804.45927654649336</v>
      </c>
      <c r="M14" s="365">
        <f t="shared" si="2"/>
        <v>804.45927654649336</v>
      </c>
      <c r="N14" s="365">
        <f t="shared" si="2"/>
        <v>357.85524163547416</v>
      </c>
      <c r="O14" s="359">
        <f>SUMIF('Tab. 13'!$B$6:$B$38,B12,'Tab. 13'!$F$6:$F$38)</f>
        <v>8798.6108333333341</v>
      </c>
      <c r="Q14" s="521">
        <f t="shared" ref="Q14:Q19" si="3">O14/$O$6*$O$7</f>
        <v>815.31528957528963</v>
      </c>
    </row>
    <row r="15" spans="2:17" s="3" customFormat="1" ht="16" x14ac:dyDescent="0.2">
      <c r="B15" s="337" t="s">
        <v>44</v>
      </c>
      <c r="C15" s="365">
        <f t="shared" si="2"/>
        <v>689.53652275413708</v>
      </c>
      <c r="D15" s="365">
        <f t="shared" si="2"/>
        <v>766.15169194904126</v>
      </c>
      <c r="E15" s="365">
        <f t="shared" si="2"/>
        <v>881.07444574139743</v>
      </c>
      <c r="F15" s="365">
        <f t="shared" si="2"/>
        <v>804.45927654649336</v>
      </c>
      <c r="G15" s="365">
        <f t="shared" si="2"/>
        <v>804.45927654649336</v>
      </c>
      <c r="H15" s="365">
        <f t="shared" si="2"/>
        <v>842.76686114394533</v>
      </c>
      <c r="I15" s="365">
        <f t="shared" si="2"/>
        <v>740.93108760999473</v>
      </c>
      <c r="J15" s="365">
        <f t="shared" si="2"/>
        <v>459.69101516942476</v>
      </c>
      <c r="K15" s="365">
        <f t="shared" si="2"/>
        <v>842.76686114394533</v>
      </c>
      <c r="L15" s="365">
        <f t="shared" si="2"/>
        <v>804.45927654649336</v>
      </c>
      <c r="M15" s="365">
        <f t="shared" si="2"/>
        <v>804.45927654649336</v>
      </c>
      <c r="N15" s="365">
        <f t="shared" si="2"/>
        <v>357.85524163547416</v>
      </c>
      <c r="O15" s="359">
        <f>SUMIF('Tab. 13'!$B$6:$B$38,B12,'Tab. 13'!$H$6:$H$38)</f>
        <v>8798.6108333333341</v>
      </c>
      <c r="Q15" s="521">
        <f t="shared" si="3"/>
        <v>815.31528957528963</v>
      </c>
    </row>
    <row r="16" spans="2:17" s="3" customFormat="1" ht="16" x14ac:dyDescent="0.2">
      <c r="B16" s="337" t="s">
        <v>577</v>
      </c>
      <c r="C16" s="365">
        <f t="shared" si="2"/>
        <v>1970.1437528131205</v>
      </c>
      <c r="D16" s="365">
        <f t="shared" si="2"/>
        <v>2189.0486142368004</v>
      </c>
      <c r="E16" s="365">
        <f t="shared" si="2"/>
        <v>2517.4059063723207</v>
      </c>
      <c r="F16" s="365">
        <f t="shared" si="2"/>
        <v>2298.5010449486408</v>
      </c>
      <c r="G16" s="365">
        <f t="shared" si="2"/>
        <v>2298.5010449486408</v>
      </c>
      <c r="H16" s="365">
        <f t="shared" si="2"/>
        <v>2407.9534756604808</v>
      </c>
      <c r="I16" s="365">
        <f t="shared" si="2"/>
        <v>2116.988303519277</v>
      </c>
      <c r="J16" s="365">
        <f t="shared" si="2"/>
        <v>1313.4291685420803</v>
      </c>
      <c r="K16" s="365">
        <f t="shared" si="2"/>
        <v>2407.9534756604808</v>
      </c>
      <c r="L16" s="365">
        <f t="shared" si="2"/>
        <v>2298.5010449486408</v>
      </c>
      <c r="M16" s="365">
        <f t="shared" si="2"/>
        <v>2298.5010449486408</v>
      </c>
      <c r="N16" s="365">
        <f t="shared" si="2"/>
        <v>1022.4639964008767</v>
      </c>
      <c r="O16" s="359">
        <f>SUMIF('Tab. 13'!$B$6:$B$38,B12,'Tab. 13'!$E$6:$E$38)</f>
        <v>25139.390873</v>
      </c>
      <c r="Q16" s="521">
        <f t="shared" si="3"/>
        <v>2329.5188453745172</v>
      </c>
    </row>
    <row r="17" spans="2:17" s="3" customFormat="1" ht="16" x14ac:dyDescent="0.2">
      <c r="B17" s="337" t="s">
        <v>578</v>
      </c>
      <c r="C17" s="365">
        <f t="shared" si="2"/>
        <v>164.17864606776004</v>
      </c>
      <c r="D17" s="365">
        <f t="shared" si="2"/>
        <v>182.42071785306672</v>
      </c>
      <c r="E17" s="365">
        <f t="shared" si="2"/>
        <v>209.78382553102674</v>
      </c>
      <c r="F17" s="365">
        <f t="shared" si="2"/>
        <v>191.54175374572006</v>
      </c>
      <c r="G17" s="365">
        <f t="shared" si="2"/>
        <v>191.54175374572006</v>
      </c>
      <c r="H17" s="365">
        <f t="shared" si="2"/>
        <v>200.6627896383734</v>
      </c>
      <c r="I17" s="365">
        <f t="shared" si="2"/>
        <v>176.41569195993975</v>
      </c>
      <c r="J17" s="365">
        <f t="shared" si="2"/>
        <v>109.45243071184004</v>
      </c>
      <c r="K17" s="365">
        <f t="shared" si="2"/>
        <v>200.6627896383734</v>
      </c>
      <c r="L17" s="365">
        <f t="shared" si="2"/>
        <v>191.54175374572006</v>
      </c>
      <c r="M17" s="365">
        <f t="shared" si="2"/>
        <v>191.54175374572006</v>
      </c>
      <c r="N17" s="365">
        <f t="shared" si="2"/>
        <v>85.20533303340639</v>
      </c>
      <c r="O17" s="359">
        <f>SUMIF('Tab. 13'!$B$6:$B$38,B12,'Tab. 13'!$G$6:$G$38)</f>
        <v>2094.9492394166668</v>
      </c>
      <c r="Q17" s="521">
        <f t="shared" si="3"/>
        <v>194.12657044787647</v>
      </c>
    </row>
    <row r="18" spans="2:17" s="3" customFormat="1" ht="16" x14ac:dyDescent="0.2">
      <c r="B18" s="337" t="s">
        <v>579</v>
      </c>
      <c r="C18" s="365">
        <f t="shared" si="2"/>
        <v>164.17864606776004</v>
      </c>
      <c r="D18" s="365">
        <f t="shared" si="2"/>
        <v>182.42071785306672</v>
      </c>
      <c r="E18" s="365">
        <f t="shared" si="2"/>
        <v>209.78382553102674</v>
      </c>
      <c r="F18" s="365">
        <f t="shared" si="2"/>
        <v>191.54175374572006</v>
      </c>
      <c r="G18" s="365">
        <f t="shared" si="2"/>
        <v>191.54175374572006</v>
      </c>
      <c r="H18" s="365">
        <f t="shared" si="2"/>
        <v>200.6627896383734</v>
      </c>
      <c r="I18" s="365">
        <f t="shared" si="2"/>
        <v>176.41569195993975</v>
      </c>
      <c r="J18" s="365">
        <f t="shared" si="2"/>
        <v>109.45243071184004</v>
      </c>
      <c r="K18" s="365">
        <f t="shared" si="2"/>
        <v>200.6627896383734</v>
      </c>
      <c r="L18" s="365">
        <f t="shared" si="2"/>
        <v>191.54175374572006</v>
      </c>
      <c r="M18" s="365">
        <f t="shared" si="2"/>
        <v>191.54175374572006</v>
      </c>
      <c r="N18" s="365">
        <f t="shared" si="2"/>
        <v>85.20533303340639</v>
      </c>
      <c r="O18" s="359">
        <f>SUMIF('Tab. 13'!$B$6:$B$38,B12,'Tab. 13'!$I$6:$I$38)</f>
        <v>2094.9492394166668</v>
      </c>
      <c r="Q18" s="521">
        <f t="shared" si="3"/>
        <v>194.12657044787647</v>
      </c>
    </row>
    <row r="19" spans="2:17" s="3" customFormat="1" ht="17" thickBot="1" x14ac:dyDescent="0.25">
      <c r="B19" s="337" t="s">
        <v>47</v>
      </c>
      <c r="C19" s="365">
        <f t="shared" si="2"/>
        <v>612.92135355923301</v>
      </c>
      <c r="D19" s="365">
        <f t="shared" si="2"/>
        <v>681.02372617692561</v>
      </c>
      <c r="E19" s="365">
        <f t="shared" si="2"/>
        <v>783.17728510346444</v>
      </c>
      <c r="F19" s="365">
        <f t="shared" si="2"/>
        <v>715.07491248577185</v>
      </c>
      <c r="G19" s="365">
        <f t="shared" si="2"/>
        <v>715.07491248577185</v>
      </c>
      <c r="H19" s="365">
        <f t="shared" si="2"/>
        <v>749.1260987946182</v>
      </c>
      <c r="I19" s="365">
        <f t="shared" si="2"/>
        <v>658.60541120888422</v>
      </c>
      <c r="J19" s="365">
        <f t="shared" si="2"/>
        <v>408.61423570615534</v>
      </c>
      <c r="K19" s="365">
        <f t="shared" si="2"/>
        <v>749.1260987946182</v>
      </c>
      <c r="L19" s="365">
        <f t="shared" si="2"/>
        <v>715.07491248577185</v>
      </c>
      <c r="M19" s="365">
        <f t="shared" si="2"/>
        <v>715.07491248577185</v>
      </c>
      <c r="N19" s="365">
        <f t="shared" si="2"/>
        <v>318.09354812042147</v>
      </c>
      <c r="O19" s="359">
        <f>SUMIF('Tab. 13'!$B$6:$B$38,B12,'Tab. 13'!$J$6:$J$38)</f>
        <v>7820.9874074074078</v>
      </c>
      <c r="Q19" s="521">
        <f t="shared" si="3"/>
        <v>724.72470184470194</v>
      </c>
    </row>
    <row r="20" spans="2:17" s="3" customFormat="1" ht="17" thickBot="1" x14ac:dyDescent="0.25">
      <c r="B20" s="349" t="s">
        <v>3</v>
      </c>
      <c r="C20" s="303">
        <f t="shared" ref="C20:O20" si="4">SUM(C13:C19)</f>
        <v>12564.933717065793</v>
      </c>
      <c r="D20" s="303">
        <f t="shared" si="4"/>
        <v>13961.037463406436</v>
      </c>
      <c r="E20" s="303">
        <f t="shared" si="4"/>
        <v>16055.1930829174</v>
      </c>
      <c r="F20" s="303">
        <f t="shared" si="4"/>
        <v>14659.089336576759</v>
      </c>
      <c r="G20" s="303">
        <f t="shared" si="4"/>
        <v>14659.089336576759</v>
      </c>
      <c r="H20" s="303">
        <f t="shared" si="4"/>
        <v>15357.141209747082</v>
      </c>
      <c r="I20" s="303">
        <f t="shared" si="4"/>
        <v>13501.460325187965</v>
      </c>
      <c r="J20" s="303">
        <f t="shared" si="4"/>
        <v>8376.6224780438624</v>
      </c>
      <c r="K20" s="303">
        <f t="shared" si="4"/>
        <v>15357.141209747082</v>
      </c>
      <c r="L20" s="303">
        <f t="shared" si="4"/>
        <v>14659.089336576759</v>
      </c>
      <c r="M20" s="303">
        <f t="shared" si="4"/>
        <v>14659.089336576759</v>
      </c>
      <c r="N20" s="303">
        <f t="shared" si="4"/>
        <v>6520.9415934847493</v>
      </c>
      <c r="O20" s="360">
        <f t="shared" si="4"/>
        <v>160330.82842590741</v>
      </c>
      <c r="Q20" s="522">
        <f>SUM(Q13:Q19)</f>
        <v>14856.910742169028</v>
      </c>
    </row>
    <row r="21" spans="2:17" s="3" customFormat="1" ht="16" x14ac:dyDescent="0.2">
      <c r="B21" s="348" t="s">
        <v>557</v>
      </c>
      <c r="C21" s="365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359"/>
      <c r="Q21" s="521"/>
    </row>
    <row r="22" spans="2:17" s="3" customFormat="1" ht="16" x14ac:dyDescent="0.2">
      <c r="B22" s="337" t="s">
        <v>576</v>
      </c>
      <c r="C22" s="365">
        <f t="shared" ref="C22:N28" si="5">+$O22/$O$10*C$10</f>
        <v>9148.8420141843962</v>
      </c>
      <c r="D22" s="365">
        <f t="shared" si="5"/>
        <v>10165.38001576044</v>
      </c>
      <c r="E22" s="365">
        <f t="shared" si="5"/>
        <v>11690.187018124507</v>
      </c>
      <c r="F22" s="365">
        <f t="shared" si="5"/>
        <v>10673.649016548463</v>
      </c>
      <c r="G22" s="365">
        <f t="shared" si="5"/>
        <v>10673.649016548463</v>
      </c>
      <c r="H22" s="365">
        <f t="shared" si="5"/>
        <v>11181.918017336484</v>
      </c>
      <c r="I22" s="365">
        <f t="shared" si="5"/>
        <v>9830.7504247438919</v>
      </c>
      <c r="J22" s="365">
        <f t="shared" si="5"/>
        <v>6099.2280094562648</v>
      </c>
      <c r="K22" s="365">
        <f t="shared" si="5"/>
        <v>11181.918017336484</v>
      </c>
      <c r="L22" s="365">
        <f t="shared" si="5"/>
        <v>10673.649016548463</v>
      </c>
      <c r="M22" s="365">
        <f t="shared" si="5"/>
        <v>10673.649016548463</v>
      </c>
      <c r="N22" s="365">
        <f t="shared" si="5"/>
        <v>4748.0604168636719</v>
      </c>
      <c r="O22" s="359">
        <f>SUMIF('Tab. 13'!$B$6:$B$38,B21,'Tab. 13'!$D$6:$D$38)</f>
        <v>116740.87999999999</v>
      </c>
      <c r="Q22" s="521">
        <f t="shared" ref="Q22:Q28" si="6">O22/$O$6*$O$7</f>
        <v>10817.68772200772</v>
      </c>
    </row>
    <row r="23" spans="2:17" s="3" customFormat="1" ht="16" x14ac:dyDescent="0.2">
      <c r="B23" s="337" t="s">
        <v>43</v>
      </c>
      <c r="C23" s="365">
        <f t="shared" si="5"/>
        <v>762.40350118203298</v>
      </c>
      <c r="D23" s="365">
        <f t="shared" si="5"/>
        <v>847.11500131337004</v>
      </c>
      <c r="E23" s="365">
        <f t="shared" si="5"/>
        <v>974.18225151037552</v>
      </c>
      <c r="F23" s="365">
        <f t="shared" si="5"/>
        <v>889.47075137903857</v>
      </c>
      <c r="G23" s="365">
        <f t="shared" si="5"/>
        <v>889.47075137903857</v>
      </c>
      <c r="H23" s="365">
        <f t="shared" si="5"/>
        <v>931.82650144470711</v>
      </c>
      <c r="I23" s="365">
        <f t="shared" si="5"/>
        <v>819.22920206199103</v>
      </c>
      <c r="J23" s="365">
        <f t="shared" si="5"/>
        <v>508.26900078802203</v>
      </c>
      <c r="K23" s="365">
        <f t="shared" si="5"/>
        <v>931.82650144470711</v>
      </c>
      <c r="L23" s="365">
        <f t="shared" si="5"/>
        <v>889.47075137903857</v>
      </c>
      <c r="M23" s="365">
        <f t="shared" si="5"/>
        <v>889.47075137903857</v>
      </c>
      <c r="N23" s="365">
        <f t="shared" si="5"/>
        <v>395.67170140530601</v>
      </c>
      <c r="O23" s="359">
        <f>SUMIF('Tab. 13'!$B$6:$B$38,B21,'Tab. 13'!$F$6:$F$38)</f>
        <v>9728.4066666666658</v>
      </c>
      <c r="Q23" s="521">
        <f t="shared" si="6"/>
        <v>901.47397683397674</v>
      </c>
    </row>
    <row r="24" spans="2:17" s="3" customFormat="1" ht="16" x14ac:dyDescent="0.2">
      <c r="B24" s="337" t="s">
        <v>44</v>
      </c>
      <c r="C24" s="365">
        <f t="shared" si="5"/>
        <v>762.40350118203298</v>
      </c>
      <c r="D24" s="365">
        <f t="shared" si="5"/>
        <v>847.11500131337004</v>
      </c>
      <c r="E24" s="365">
        <f t="shared" si="5"/>
        <v>974.18225151037552</v>
      </c>
      <c r="F24" s="365">
        <f t="shared" si="5"/>
        <v>889.47075137903857</v>
      </c>
      <c r="G24" s="365">
        <f t="shared" si="5"/>
        <v>889.47075137903857</v>
      </c>
      <c r="H24" s="365">
        <f t="shared" si="5"/>
        <v>931.82650144470711</v>
      </c>
      <c r="I24" s="365">
        <f t="shared" si="5"/>
        <v>819.22920206199103</v>
      </c>
      <c r="J24" s="365">
        <f t="shared" si="5"/>
        <v>508.26900078802203</v>
      </c>
      <c r="K24" s="365">
        <f t="shared" si="5"/>
        <v>931.82650144470711</v>
      </c>
      <c r="L24" s="365">
        <f t="shared" si="5"/>
        <v>889.47075137903857</v>
      </c>
      <c r="M24" s="365">
        <f t="shared" si="5"/>
        <v>889.47075137903857</v>
      </c>
      <c r="N24" s="365">
        <f t="shared" si="5"/>
        <v>395.67170140530601</v>
      </c>
      <c r="O24" s="359">
        <f>SUMIF('Tab. 13'!$B$6:$B$38,B21,'Tab. 13'!$H$6:$H$38)</f>
        <v>9728.4066666666658</v>
      </c>
      <c r="Q24" s="521">
        <f t="shared" si="6"/>
        <v>901.47397683397674</v>
      </c>
    </row>
    <row r="25" spans="2:17" s="3" customFormat="1" ht="16" x14ac:dyDescent="0.2">
      <c r="B25" s="337" t="s">
        <v>577</v>
      </c>
      <c r="C25" s="365">
        <f t="shared" si="5"/>
        <v>2178.3392835773047</v>
      </c>
      <c r="D25" s="365">
        <f t="shared" si="5"/>
        <v>2420.3769817525608</v>
      </c>
      <c r="E25" s="365">
        <f t="shared" si="5"/>
        <v>2783.4335290154449</v>
      </c>
      <c r="F25" s="365">
        <f t="shared" si="5"/>
        <v>2541.3958308401889</v>
      </c>
      <c r="G25" s="365">
        <f t="shared" si="5"/>
        <v>2541.3958308401889</v>
      </c>
      <c r="H25" s="365">
        <f t="shared" si="5"/>
        <v>2662.4146799278169</v>
      </c>
      <c r="I25" s="365">
        <f t="shared" si="5"/>
        <v>2340.7016761315208</v>
      </c>
      <c r="J25" s="365">
        <f t="shared" si="5"/>
        <v>1452.2261890515365</v>
      </c>
      <c r="K25" s="365">
        <f t="shared" si="5"/>
        <v>2662.4146799278169</v>
      </c>
      <c r="L25" s="365">
        <f t="shared" si="5"/>
        <v>2541.3958308401889</v>
      </c>
      <c r="M25" s="365">
        <f t="shared" si="5"/>
        <v>2541.3958308401889</v>
      </c>
      <c r="N25" s="365">
        <f t="shared" si="5"/>
        <v>1130.5131852552402</v>
      </c>
      <c r="O25" s="359">
        <f>SUMIF('Tab. 13'!$B$6:$B$38,B21,'Tab. 13'!$E$6:$E$38)</f>
        <v>27796.003528000001</v>
      </c>
      <c r="Q25" s="521">
        <f t="shared" si="6"/>
        <v>2575.6914466100388</v>
      </c>
    </row>
    <row r="26" spans="2:17" s="3" customFormat="1" ht="16" x14ac:dyDescent="0.2">
      <c r="B26" s="337" t="s">
        <v>578</v>
      </c>
      <c r="C26" s="365">
        <f t="shared" si="5"/>
        <v>181.52827363144209</v>
      </c>
      <c r="D26" s="365">
        <f t="shared" si="5"/>
        <v>201.69808181271344</v>
      </c>
      <c r="E26" s="365">
        <f t="shared" si="5"/>
        <v>231.95279408462045</v>
      </c>
      <c r="F26" s="365">
        <f t="shared" si="5"/>
        <v>211.7829859033491</v>
      </c>
      <c r="G26" s="365">
        <f t="shared" si="5"/>
        <v>211.7829859033491</v>
      </c>
      <c r="H26" s="365">
        <f t="shared" si="5"/>
        <v>221.86788999398479</v>
      </c>
      <c r="I26" s="365">
        <f t="shared" si="5"/>
        <v>195.05847301096009</v>
      </c>
      <c r="J26" s="365">
        <f t="shared" si="5"/>
        <v>121.01884908762807</v>
      </c>
      <c r="K26" s="365">
        <f t="shared" si="5"/>
        <v>221.86788999398479</v>
      </c>
      <c r="L26" s="365">
        <f t="shared" si="5"/>
        <v>211.7829859033491</v>
      </c>
      <c r="M26" s="365">
        <f t="shared" si="5"/>
        <v>211.7829859033491</v>
      </c>
      <c r="N26" s="365">
        <f t="shared" si="5"/>
        <v>94.209432104603366</v>
      </c>
      <c r="O26" s="359">
        <f>SUMIF('Tab. 13'!$B$6:$B$38,B21,'Tab. 13'!$G$6:$G$38)</f>
        <v>2316.3336273333334</v>
      </c>
      <c r="Q26" s="521">
        <f t="shared" si="6"/>
        <v>214.6409538841699</v>
      </c>
    </row>
    <row r="27" spans="2:17" s="3" customFormat="1" ht="16" x14ac:dyDescent="0.2">
      <c r="B27" s="337" t="s">
        <v>579</v>
      </c>
      <c r="C27" s="365">
        <f t="shared" si="5"/>
        <v>181.52827363144209</v>
      </c>
      <c r="D27" s="365">
        <f t="shared" si="5"/>
        <v>201.69808181271344</v>
      </c>
      <c r="E27" s="365">
        <f t="shared" si="5"/>
        <v>231.95279408462045</v>
      </c>
      <c r="F27" s="365">
        <f t="shared" si="5"/>
        <v>211.7829859033491</v>
      </c>
      <c r="G27" s="365">
        <f t="shared" si="5"/>
        <v>211.7829859033491</v>
      </c>
      <c r="H27" s="365">
        <f t="shared" si="5"/>
        <v>221.86788999398479</v>
      </c>
      <c r="I27" s="365">
        <f t="shared" si="5"/>
        <v>195.05847301096009</v>
      </c>
      <c r="J27" s="365">
        <f t="shared" si="5"/>
        <v>121.01884908762807</v>
      </c>
      <c r="K27" s="365">
        <f t="shared" si="5"/>
        <v>221.86788999398479</v>
      </c>
      <c r="L27" s="365">
        <f t="shared" si="5"/>
        <v>211.7829859033491</v>
      </c>
      <c r="M27" s="365">
        <f t="shared" si="5"/>
        <v>211.7829859033491</v>
      </c>
      <c r="N27" s="365">
        <f t="shared" si="5"/>
        <v>94.209432104603366</v>
      </c>
      <c r="O27" s="359">
        <f>SUMIF('Tab. 13'!$B$6:$B$38,B21,'Tab. 13'!$I$6:$I$38)</f>
        <v>2316.3336273333334</v>
      </c>
      <c r="Q27" s="521">
        <f t="shared" si="6"/>
        <v>214.6409538841699</v>
      </c>
    </row>
    <row r="28" spans="2:17" s="3" customFormat="1" ht="17" thickBot="1" x14ac:dyDescent="0.25">
      <c r="B28" s="337" t="s">
        <v>47</v>
      </c>
      <c r="C28" s="365">
        <f t="shared" si="5"/>
        <v>677.69200105069604</v>
      </c>
      <c r="D28" s="365">
        <f t="shared" si="5"/>
        <v>752.99111227855121</v>
      </c>
      <c r="E28" s="365">
        <f t="shared" si="5"/>
        <v>865.93977912033392</v>
      </c>
      <c r="F28" s="365">
        <f t="shared" si="5"/>
        <v>790.64066789247875</v>
      </c>
      <c r="G28" s="365">
        <f t="shared" si="5"/>
        <v>790.64066789247875</v>
      </c>
      <c r="H28" s="365">
        <f t="shared" si="5"/>
        <v>828.29022350640639</v>
      </c>
      <c r="I28" s="365">
        <f t="shared" si="5"/>
        <v>728.2037351662143</v>
      </c>
      <c r="J28" s="365">
        <f t="shared" si="5"/>
        <v>451.79466736713073</v>
      </c>
      <c r="K28" s="365">
        <f t="shared" si="5"/>
        <v>828.29022350640639</v>
      </c>
      <c r="L28" s="365">
        <f t="shared" si="5"/>
        <v>790.64066789247875</v>
      </c>
      <c r="M28" s="365">
        <f t="shared" si="5"/>
        <v>790.64066789247875</v>
      </c>
      <c r="N28" s="365">
        <f t="shared" si="5"/>
        <v>351.70817902693869</v>
      </c>
      <c r="O28" s="359">
        <f>SUMIF('Tab. 13'!$B$6:$B$38,B21,'Tab. 13'!$J$6:$J$38)</f>
        <v>8647.4725925925923</v>
      </c>
      <c r="Q28" s="521">
        <f t="shared" si="6"/>
        <v>801.31020163020162</v>
      </c>
    </row>
    <row r="29" spans="2:17" s="3" customFormat="1" ht="17" thickBot="1" x14ac:dyDescent="0.25">
      <c r="B29" s="349" t="s">
        <v>3</v>
      </c>
      <c r="C29" s="303">
        <f t="shared" ref="C29:O29" si="7">SUM(C22:C28)</f>
        <v>13892.736848439346</v>
      </c>
      <c r="D29" s="303">
        <f t="shared" si="7"/>
        <v>15436.37427604372</v>
      </c>
      <c r="E29" s="303">
        <f t="shared" si="7"/>
        <v>17751.830417450277</v>
      </c>
      <c r="F29" s="303">
        <f t="shared" si="7"/>
        <v>16208.192989845908</v>
      </c>
      <c r="G29" s="303">
        <f t="shared" si="7"/>
        <v>16208.192989845908</v>
      </c>
      <c r="H29" s="303">
        <f t="shared" si="7"/>
        <v>16980.011703648091</v>
      </c>
      <c r="I29" s="303">
        <f t="shared" si="7"/>
        <v>14928.231186187531</v>
      </c>
      <c r="J29" s="303">
        <f t="shared" si="7"/>
        <v>9261.8245656262316</v>
      </c>
      <c r="K29" s="303">
        <f t="shared" si="7"/>
        <v>16980.011703648091</v>
      </c>
      <c r="L29" s="303">
        <f t="shared" si="7"/>
        <v>16208.192989845908</v>
      </c>
      <c r="M29" s="303">
        <f t="shared" si="7"/>
        <v>16208.192989845908</v>
      </c>
      <c r="N29" s="303">
        <f t="shared" si="7"/>
        <v>7210.0440481656688</v>
      </c>
      <c r="O29" s="360">
        <f t="shared" si="7"/>
        <v>177273.8367085926</v>
      </c>
      <c r="Q29" s="522">
        <f>SUM(Q22:Q28)</f>
        <v>16426.919231684253</v>
      </c>
    </row>
    <row r="30" spans="2:17" s="3" customFormat="1" ht="16" x14ac:dyDescent="0.2">
      <c r="B30" s="348" t="s">
        <v>726</v>
      </c>
      <c r="C30" s="365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359"/>
      <c r="Q30" s="521"/>
    </row>
    <row r="31" spans="2:17" s="3" customFormat="1" ht="16" x14ac:dyDescent="0.2">
      <c r="B31" s="337" t="s">
        <v>576</v>
      </c>
      <c r="C31" s="365">
        <f t="shared" ref="C31:N37" si="8">+$O31/$O$10*C$10</f>
        <v>133016.18610283715</v>
      </c>
      <c r="D31" s="365">
        <f t="shared" si="8"/>
        <v>147795.7623364857</v>
      </c>
      <c r="E31" s="365">
        <f t="shared" si="8"/>
        <v>169965.12668695857</v>
      </c>
      <c r="F31" s="365">
        <f t="shared" si="8"/>
        <v>155185.55045330999</v>
      </c>
      <c r="G31" s="365">
        <f t="shared" si="8"/>
        <v>155185.55045330999</v>
      </c>
      <c r="H31" s="365">
        <f t="shared" si="8"/>
        <v>162575.33857013428</v>
      </c>
      <c r="I31" s="365">
        <f t="shared" si="8"/>
        <v>142930.5398432824</v>
      </c>
      <c r="J31" s="365">
        <f t="shared" si="8"/>
        <v>88677.457401891428</v>
      </c>
      <c r="K31" s="365">
        <f t="shared" si="8"/>
        <v>162575.33857013428</v>
      </c>
      <c r="L31" s="365">
        <f t="shared" si="8"/>
        <v>155185.55045330999</v>
      </c>
      <c r="M31" s="365">
        <f t="shared" si="8"/>
        <v>155185.55045330999</v>
      </c>
      <c r="N31" s="365">
        <f t="shared" si="8"/>
        <v>69032.658675039536</v>
      </c>
      <c r="O31" s="359">
        <f>SUMIF('Tab. 13'!$B$6:$B$38,B30,'Tab. 13'!$D$6:$D$38)</f>
        <v>1697310.6100000034</v>
      </c>
      <c r="Q31" s="521">
        <f t="shared" ref="Q31:Q37" si="9">O31/$O$6*$O$7</f>
        <v>157279.74764478795</v>
      </c>
    </row>
    <row r="32" spans="2:17" s="3" customFormat="1" ht="16" x14ac:dyDescent="0.2">
      <c r="B32" s="337" t="s">
        <v>43</v>
      </c>
      <c r="C32" s="365">
        <f t="shared" si="8"/>
        <v>11084.68217523639</v>
      </c>
      <c r="D32" s="365">
        <f t="shared" si="8"/>
        <v>12316.313528040435</v>
      </c>
      <c r="E32" s="365">
        <f t="shared" si="8"/>
        <v>14163.7605572465</v>
      </c>
      <c r="F32" s="365">
        <f t="shared" si="8"/>
        <v>12932.129204442455</v>
      </c>
      <c r="G32" s="365">
        <f t="shared" si="8"/>
        <v>12932.129204442455</v>
      </c>
      <c r="H32" s="365">
        <f t="shared" si="8"/>
        <v>13547.944880844478</v>
      </c>
      <c r="I32" s="365">
        <f t="shared" si="8"/>
        <v>11910.878320273492</v>
      </c>
      <c r="J32" s="365">
        <f t="shared" si="8"/>
        <v>7389.7881168242611</v>
      </c>
      <c r="K32" s="365">
        <f t="shared" si="8"/>
        <v>13547.944880844478</v>
      </c>
      <c r="L32" s="365">
        <f t="shared" si="8"/>
        <v>12932.129204442455</v>
      </c>
      <c r="M32" s="365">
        <f t="shared" si="8"/>
        <v>12932.129204442455</v>
      </c>
      <c r="N32" s="365">
        <f t="shared" si="8"/>
        <v>5752.7215562532756</v>
      </c>
      <c r="O32" s="359">
        <f>SUMIF('Tab. 13'!$B$6:$B$38,B30,'Tab. 13'!$F$6:$F$38)</f>
        <v>141442.55083333314</v>
      </c>
      <c r="Q32" s="521">
        <f t="shared" si="9"/>
        <v>13106.64563706562</v>
      </c>
    </row>
    <row r="33" spans="2:17" s="3" customFormat="1" ht="16" x14ac:dyDescent="0.2">
      <c r="B33" s="337" t="s">
        <v>44</v>
      </c>
      <c r="C33" s="365">
        <f t="shared" si="8"/>
        <v>11084.68217523639</v>
      </c>
      <c r="D33" s="365">
        <f t="shared" si="8"/>
        <v>12316.313528040435</v>
      </c>
      <c r="E33" s="365">
        <f t="shared" si="8"/>
        <v>14163.7605572465</v>
      </c>
      <c r="F33" s="365">
        <f t="shared" si="8"/>
        <v>12932.129204442455</v>
      </c>
      <c r="G33" s="365">
        <f t="shared" si="8"/>
        <v>12932.129204442455</v>
      </c>
      <c r="H33" s="365">
        <f t="shared" si="8"/>
        <v>13547.944880844478</v>
      </c>
      <c r="I33" s="365">
        <f t="shared" si="8"/>
        <v>11910.878320273492</v>
      </c>
      <c r="J33" s="365">
        <f t="shared" si="8"/>
        <v>7389.7881168242611</v>
      </c>
      <c r="K33" s="365">
        <f t="shared" si="8"/>
        <v>13547.944880844478</v>
      </c>
      <c r="L33" s="365">
        <f t="shared" si="8"/>
        <v>12932.129204442455</v>
      </c>
      <c r="M33" s="365">
        <f t="shared" si="8"/>
        <v>12932.129204442455</v>
      </c>
      <c r="N33" s="365">
        <f t="shared" si="8"/>
        <v>5752.7215562532756</v>
      </c>
      <c r="O33" s="359">
        <f>SUMIF('Tab. 13'!$B$6:$B$38,B30,'Tab. 13'!$H$6:$H$38)</f>
        <v>141442.55083333314</v>
      </c>
      <c r="Q33" s="521">
        <f t="shared" si="9"/>
        <v>13106.64563706562</v>
      </c>
    </row>
    <row r="34" spans="2:17" s="3" customFormat="1" ht="16" x14ac:dyDescent="0.2">
      <c r="B34" s="337" t="s">
        <v>577</v>
      </c>
      <c r="C34" s="365">
        <f t="shared" si="8"/>
        <v>31671.153911085403</v>
      </c>
      <c r="D34" s="365">
        <f t="shared" si="8"/>
        <v>35190.171012317114</v>
      </c>
      <c r="E34" s="365">
        <f t="shared" si="8"/>
        <v>40468.696664164687</v>
      </c>
      <c r="F34" s="365">
        <f t="shared" si="8"/>
        <v>36949.679562932972</v>
      </c>
      <c r="G34" s="365">
        <f t="shared" si="8"/>
        <v>36949.679562932972</v>
      </c>
      <c r="H34" s="365">
        <f t="shared" si="8"/>
        <v>38709.188113548829</v>
      </c>
      <c r="I34" s="365">
        <f t="shared" si="8"/>
        <v>34031.761536685408</v>
      </c>
      <c r="J34" s="365">
        <f t="shared" si="8"/>
        <v>21114.102607390269</v>
      </c>
      <c r="K34" s="365">
        <f t="shared" si="8"/>
        <v>38709.188113548829</v>
      </c>
      <c r="L34" s="365">
        <f t="shared" si="8"/>
        <v>36949.679562932972</v>
      </c>
      <c r="M34" s="365">
        <f t="shared" si="8"/>
        <v>36949.679562932972</v>
      </c>
      <c r="N34" s="365">
        <f t="shared" si="8"/>
        <v>16436.676030526851</v>
      </c>
      <c r="O34" s="359">
        <f>SUMIF('Tab. 13'!$B$6:$B$38,B30,'Tab. 13'!$E$6:$E$38)</f>
        <v>404129.65624099929</v>
      </c>
      <c r="Q34" s="521">
        <f t="shared" si="9"/>
        <v>37448.307914223871</v>
      </c>
    </row>
    <row r="35" spans="2:17" s="3" customFormat="1" ht="16" x14ac:dyDescent="0.2">
      <c r="B35" s="337" t="s">
        <v>578</v>
      </c>
      <c r="C35" s="365">
        <f t="shared" si="8"/>
        <v>2639.2628259237913</v>
      </c>
      <c r="D35" s="365">
        <f t="shared" si="8"/>
        <v>2932.5142510264345</v>
      </c>
      <c r="E35" s="365">
        <f t="shared" si="8"/>
        <v>3372.3913886803998</v>
      </c>
      <c r="F35" s="365">
        <f t="shared" si="8"/>
        <v>3079.1399635777566</v>
      </c>
      <c r="G35" s="365">
        <f t="shared" si="8"/>
        <v>3079.1399635777566</v>
      </c>
      <c r="H35" s="365">
        <f t="shared" si="8"/>
        <v>3225.7656761290782</v>
      </c>
      <c r="I35" s="365">
        <f t="shared" si="8"/>
        <v>2835.9801280571255</v>
      </c>
      <c r="J35" s="365">
        <f t="shared" si="8"/>
        <v>1759.5085506158609</v>
      </c>
      <c r="K35" s="365">
        <f t="shared" si="8"/>
        <v>3225.7656761290782</v>
      </c>
      <c r="L35" s="365">
        <f t="shared" si="8"/>
        <v>3079.1399635777566</v>
      </c>
      <c r="M35" s="365">
        <f t="shared" si="8"/>
        <v>3079.1399635777566</v>
      </c>
      <c r="N35" s="365">
        <f t="shared" si="8"/>
        <v>1369.7230025439083</v>
      </c>
      <c r="O35" s="359">
        <f>SUMIF('Tab. 13'!$B$6:$B$38,B30,'Tab. 13'!$G$6:$G$38)</f>
        <v>33677.471353416702</v>
      </c>
      <c r="Q35" s="521">
        <f t="shared" si="9"/>
        <v>3120.6923261853312</v>
      </c>
    </row>
    <row r="36" spans="2:17" s="3" customFormat="1" ht="16" x14ac:dyDescent="0.2">
      <c r="B36" s="337" t="s">
        <v>579</v>
      </c>
      <c r="C36" s="365">
        <f t="shared" si="8"/>
        <v>2639.2628259237913</v>
      </c>
      <c r="D36" s="365">
        <f t="shared" si="8"/>
        <v>2932.5142510264345</v>
      </c>
      <c r="E36" s="365">
        <f t="shared" si="8"/>
        <v>3372.3913886803998</v>
      </c>
      <c r="F36" s="365">
        <f t="shared" si="8"/>
        <v>3079.1399635777566</v>
      </c>
      <c r="G36" s="365">
        <f t="shared" si="8"/>
        <v>3079.1399635777566</v>
      </c>
      <c r="H36" s="365">
        <f t="shared" si="8"/>
        <v>3225.7656761290782</v>
      </c>
      <c r="I36" s="365">
        <f t="shared" si="8"/>
        <v>2835.9801280571255</v>
      </c>
      <c r="J36" s="365">
        <f t="shared" si="8"/>
        <v>1759.5085506158609</v>
      </c>
      <c r="K36" s="365">
        <f t="shared" si="8"/>
        <v>3225.7656761290782</v>
      </c>
      <c r="L36" s="365">
        <f t="shared" si="8"/>
        <v>3079.1399635777566</v>
      </c>
      <c r="M36" s="365">
        <f t="shared" si="8"/>
        <v>3079.1399635777566</v>
      </c>
      <c r="N36" s="365">
        <f t="shared" si="8"/>
        <v>1369.7230025439083</v>
      </c>
      <c r="O36" s="359">
        <f>SUMIF('Tab. 13'!$B$6:$B$38,B30,'Tab. 13'!$I$6:$I$38)</f>
        <v>33677.471353416702</v>
      </c>
      <c r="Q36" s="521">
        <f t="shared" si="9"/>
        <v>3120.6923261853312</v>
      </c>
    </row>
    <row r="37" spans="2:17" s="3" customFormat="1" ht="17" thickBot="1" x14ac:dyDescent="0.25">
      <c r="B37" s="337" t="s">
        <v>47</v>
      </c>
      <c r="C37" s="365">
        <f t="shared" si="8"/>
        <v>9853.050822432393</v>
      </c>
      <c r="D37" s="365">
        <f t="shared" si="8"/>
        <v>10947.834247147102</v>
      </c>
      <c r="E37" s="365">
        <f t="shared" si="8"/>
        <v>12590.009384219169</v>
      </c>
      <c r="F37" s="365">
        <f t="shared" si="8"/>
        <v>11495.225959504458</v>
      </c>
      <c r="G37" s="365">
        <f t="shared" si="8"/>
        <v>11495.225959504458</v>
      </c>
      <c r="H37" s="365">
        <f t="shared" si="8"/>
        <v>12042.617671861814</v>
      </c>
      <c r="I37" s="365">
        <f t="shared" si="8"/>
        <v>10587.447395798708</v>
      </c>
      <c r="J37" s="365">
        <f t="shared" si="8"/>
        <v>6568.7005482882614</v>
      </c>
      <c r="K37" s="365">
        <f t="shared" si="8"/>
        <v>12042.617671861814</v>
      </c>
      <c r="L37" s="365">
        <f t="shared" si="8"/>
        <v>11495.225959504458</v>
      </c>
      <c r="M37" s="365">
        <f t="shared" si="8"/>
        <v>11495.225959504458</v>
      </c>
      <c r="N37" s="365">
        <f t="shared" si="8"/>
        <v>5113.5302722251572</v>
      </c>
      <c r="O37" s="359">
        <f>SUMIF('Tab. 13'!$B$6:$B$38,B30,'Tab. 13'!$J$6:$J$38)</f>
        <v>125726.71185185225</v>
      </c>
      <c r="Q37" s="521">
        <f t="shared" si="9"/>
        <v>11650.351677391714</v>
      </c>
    </row>
    <row r="38" spans="2:17" s="3" customFormat="1" ht="17" thickBot="1" x14ac:dyDescent="0.25">
      <c r="B38" s="349" t="s">
        <v>3</v>
      </c>
      <c r="C38" s="303">
        <f t="shared" ref="C38:O38" si="10">SUM(C31:C37)</f>
        <v>201988.28083867533</v>
      </c>
      <c r="D38" s="303">
        <f t="shared" si="10"/>
        <v>224431.42315408366</v>
      </c>
      <c r="E38" s="303">
        <f t="shared" si="10"/>
        <v>258096.13662719625</v>
      </c>
      <c r="F38" s="303">
        <f t="shared" si="10"/>
        <v>235652.99431178786</v>
      </c>
      <c r="G38" s="303">
        <f t="shared" si="10"/>
        <v>235652.99431178786</v>
      </c>
      <c r="H38" s="303">
        <f t="shared" si="10"/>
        <v>246874.56546949202</v>
      </c>
      <c r="I38" s="303">
        <f t="shared" si="10"/>
        <v>217043.46567242776</v>
      </c>
      <c r="J38" s="303">
        <f t="shared" si="10"/>
        <v>134658.85389245022</v>
      </c>
      <c r="K38" s="303">
        <f t="shared" si="10"/>
        <v>246874.56546949202</v>
      </c>
      <c r="L38" s="303">
        <f t="shared" si="10"/>
        <v>235652.99431178786</v>
      </c>
      <c r="M38" s="303">
        <f t="shared" si="10"/>
        <v>235652.99431178786</v>
      </c>
      <c r="N38" s="303">
        <f t="shared" si="10"/>
        <v>104827.75409538591</v>
      </c>
      <c r="O38" s="360">
        <f t="shared" si="10"/>
        <v>2577407.022466355</v>
      </c>
      <c r="Q38" s="522">
        <f>SUM(Q31:Q37)</f>
        <v>238833.08316290539</v>
      </c>
    </row>
    <row r="39" spans="2:17" s="3" customFormat="1" ht="16" x14ac:dyDescent="0.2">
      <c r="B39" s="348" t="s">
        <v>297</v>
      </c>
      <c r="C39" s="365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359"/>
      <c r="Q39" s="521"/>
    </row>
    <row r="40" spans="2:17" s="3" customFormat="1" ht="16" x14ac:dyDescent="0.2">
      <c r="B40" s="337" t="s">
        <v>576</v>
      </c>
      <c r="C40" s="365">
        <f t="shared" ref="C40:N46" si="11">+$O40/$O$10*C$10</f>
        <v>35443.036439716314</v>
      </c>
      <c r="D40" s="365">
        <f t="shared" si="11"/>
        <v>39381.151599684796</v>
      </c>
      <c r="E40" s="365">
        <f t="shared" si="11"/>
        <v>45288.324339637511</v>
      </c>
      <c r="F40" s="365">
        <f t="shared" si="11"/>
        <v>41350.209179669029</v>
      </c>
      <c r="G40" s="365">
        <f t="shared" si="11"/>
        <v>41350.209179669029</v>
      </c>
      <c r="H40" s="365">
        <f t="shared" si="11"/>
        <v>43319.26675965327</v>
      </c>
      <c r="I40" s="365">
        <f t="shared" si="11"/>
        <v>38084.781111505123</v>
      </c>
      <c r="J40" s="365">
        <f t="shared" si="11"/>
        <v>23628.690959810876</v>
      </c>
      <c r="K40" s="365">
        <f t="shared" si="11"/>
        <v>43319.26675965327</v>
      </c>
      <c r="L40" s="365">
        <f t="shared" si="11"/>
        <v>41350.209179669029</v>
      </c>
      <c r="M40" s="365">
        <f t="shared" si="11"/>
        <v>41350.209179669029</v>
      </c>
      <c r="N40" s="365">
        <f t="shared" si="11"/>
        <v>18394.205311662728</v>
      </c>
      <c r="O40" s="359">
        <f>SUMIF('Tab. 13'!$B$6:$B$38,B39,'Tab. 13'!$D$6:$D$38)</f>
        <v>452259.56</v>
      </c>
      <c r="Q40" s="521">
        <f t="shared" ref="Q40:Q46" si="12">O40/$O$6*$O$7</f>
        <v>41908.221776061779</v>
      </c>
    </row>
    <row r="41" spans="2:17" s="3" customFormat="1" ht="16" x14ac:dyDescent="0.2">
      <c r="B41" s="337" t="s">
        <v>43</v>
      </c>
      <c r="C41" s="365">
        <f t="shared" si="11"/>
        <v>2953.5863699763599</v>
      </c>
      <c r="D41" s="365">
        <f t="shared" si="11"/>
        <v>3281.7626333070666</v>
      </c>
      <c r="E41" s="365">
        <f t="shared" si="11"/>
        <v>3774.0270283031268</v>
      </c>
      <c r="F41" s="365">
        <f t="shared" si="11"/>
        <v>3445.8507649724202</v>
      </c>
      <c r="G41" s="365">
        <f t="shared" si="11"/>
        <v>3445.8507649724202</v>
      </c>
      <c r="H41" s="365">
        <f t="shared" si="11"/>
        <v>3609.9388966377737</v>
      </c>
      <c r="I41" s="365">
        <f t="shared" si="11"/>
        <v>3173.7317592920945</v>
      </c>
      <c r="J41" s="365">
        <f t="shared" si="11"/>
        <v>1969.0575799842402</v>
      </c>
      <c r="K41" s="365">
        <f t="shared" si="11"/>
        <v>3609.9388966377737</v>
      </c>
      <c r="L41" s="365">
        <f t="shared" si="11"/>
        <v>3445.8507649724202</v>
      </c>
      <c r="M41" s="365">
        <f t="shared" si="11"/>
        <v>3445.8507649724202</v>
      </c>
      <c r="N41" s="365">
        <f t="shared" si="11"/>
        <v>1532.8504426385609</v>
      </c>
      <c r="O41" s="359">
        <f>SUMIF('Tab. 13'!$B$6:$B$38,B39,'Tab. 13'!$F$6:$F$38)</f>
        <v>37688.296666666676</v>
      </c>
      <c r="Q41" s="521">
        <f t="shared" si="12"/>
        <v>3492.3518146718152</v>
      </c>
    </row>
    <row r="42" spans="2:17" s="3" customFormat="1" ht="16" x14ac:dyDescent="0.2">
      <c r="B42" s="337" t="s">
        <v>44</v>
      </c>
      <c r="C42" s="365">
        <f t="shared" si="11"/>
        <v>2953.5863699763599</v>
      </c>
      <c r="D42" s="365">
        <f t="shared" si="11"/>
        <v>3281.7626333070666</v>
      </c>
      <c r="E42" s="365">
        <f t="shared" si="11"/>
        <v>3774.0270283031268</v>
      </c>
      <c r="F42" s="365">
        <f t="shared" si="11"/>
        <v>3445.8507649724202</v>
      </c>
      <c r="G42" s="365">
        <f t="shared" si="11"/>
        <v>3445.8507649724202</v>
      </c>
      <c r="H42" s="365">
        <f t="shared" si="11"/>
        <v>3609.9388966377737</v>
      </c>
      <c r="I42" s="365">
        <f t="shared" si="11"/>
        <v>3173.7317592920945</v>
      </c>
      <c r="J42" s="365">
        <f t="shared" si="11"/>
        <v>1969.0575799842402</v>
      </c>
      <c r="K42" s="365">
        <f t="shared" si="11"/>
        <v>3609.9388966377737</v>
      </c>
      <c r="L42" s="365">
        <f t="shared" si="11"/>
        <v>3445.8507649724202</v>
      </c>
      <c r="M42" s="365">
        <f t="shared" si="11"/>
        <v>3445.8507649724202</v>
      </c>
      <c r="N42" s="365">
        <f t="shared" si="11"/>
        <v>1532.8504426385609</v>
      </c>
      <c r="O42" s="359">
        <f>SUMIF('Tab. 13'!$B$6:$B$38,B39,'Tab. 13'!$H$6:$H$38)</f>
        <v>37688.296666666676</v>
      </c>
      <c r="Q42" s="521">
        <f t="shared" si="12"/>
        <v>3492.3518146718152</v>
      </c>
    </row>
    <row r="43" spans="2:17" s="3" customFormat="1" ht="16" x14ac:dyDescent="0.2">
      <c r="B43" s="337" t="s">
        <v>577</v>
      </c>
      <c r="C43" s="365">
        <f t="shared" si="11"/>
        <v>8438.9869762964536</v>
      </c>
      <c r="D43" s="365">
        <f t="shared" si="11"/>
        <v>9376.652195884948</v>
      </c>
      <c r="E43" s="365">
        <f t="shared" si="11"/>
        <v>10783.150025267691</v>
      </c>
      <c r="F43" s="365">
        <f t="shared" si="11"/>
        <v>9845.4848056791961</v>
      </c>
      <c r="G43" s="365">
        <f t="shared" si="11"/>
        <v>9845.4848056791961</v>
      </c>
      <c r="H43" s="365">
        <f t="shared" si="11"/>
        <v>10314.317415473442</v>
      </c>
      <c r="I43" s="365">
        <f t="shared" si="11"/>
        <v>9067.9863826493693</v>
      </c>
      <c r="J43" s="365">
        <f t="shared" si="11"/>
        <v>5625.9913175309694</v>
      </c>
      <c r="K43" s="365">
        <f t="shared" si="11"/>
        <v>10314.317415473442</v>
      </c>
      <c r="L43" s="365">
        <f t="shared" si="11"/>
        <v>9845.4848056791961</v>
      </c>
      <c r="M43" s="365">
        <f t="shared" si="11"/>
        <v>9845.4848056791961</v>
      </c>
      <c r="N43" s="365">
        <f t="shared" si="11"/>
        <v>4379.6602847068953</v>
      </c>
      <c r="O43" s="359">
        <f>SUMIF('Tab. 13'!$B$6:$B$38,B39,'Tab. 13'!$E$6:$E$38)</f>
        <v>107683.001236</v>
      </c>
      <c r="Q43" s="521">
        <f t="shared" si="12"/>
        <v>9978.3476048803077</v>
      </c>
    </row>
    <row r="44" spans="2:17" s="3" customFormat="1" ht="16" x14ac:dyDescent="0.2">
      <c r="B44" s="337" t="s">
        <v>578</v>
      </c>
      <c r="C44" s="365">
        <f t="shared" si="11"/>
        <v>703.24891469137117</v>
      </c>
      <c r="D44" s="365">
        <f t="shared" si="11"/>
        <v>781.38768299041249</v>
      </c>
      <c r="E44" s="365">
        <f t="shared" si="11"/>
        <v>898.59583543897429</v>
      </c>
      <c r="F44" s="365">
        <f t="shared" si="11"/>
        <v>820.45706713993309</v>
      </c>
      <c r="G44" s="365">
        <f t="shared" si="11"/>
        <v>820.45706713993309</v>
      </c>
      <c r="H44" s="365">
        <f t="shared" si="11"/>
        <v>859.52645128945369</v>
      </c>
      <c r="I44" s="365">
        <f t="shared" si="11"/>
        <v>755.66553188744751</v>
      </c>
      <c r="J44" s="365">
        <f t="shared" si="11"/>
        <v>468.8326097942475</v>
      </c>
      <c r="K44" s="365">
        <f t="shared" si="11"/>
        <v>859.52645128945369</v>
      </c>
      <c r="L44" s="365">
        <f t="shared" si="11"/>
        <v>820.45706713993309</v>
      </c>
      <c r="M44" s="365">
        <f t="shared" si="11"/>
        <v>820.45706713993309</v>
      </c>
      <c r="N44" s="365">
        <f t="shared" si="11"/>
        <v>364.97169039224127</v>
      </c>
      <c r="O44" s="359">
        <f>SUMIF('Tab. 13'!$B$6:$B$38,B39,'Tab. 13'!$G$6:$G$38)</f>
        <v>8973.5834363333342</v>
      </c>
      <c r="Q44" s="521">
        <f t="shared" si="12"/>
        <v>831.52896707335913</v>
      </c>
    </row>
    <row r="45" spans="2:17" s="3" customFormat="1" ht="16" x14ac:dyDescent="0.2">
      <c r="B45" s="337" t="s">
        <v>579</v>
      </c>
      <c r="C45" s="365">
        <f t="shared" si="11"/>
        <v>703.24891469137117</v>
      </c>
      <c r="D45" s="365">
        <f t="shared" si="11"/>
        <v>781.38768299041249</v>
      </c>
      <c r="E45" s="365">
        <f t="shared" si="11"/>
        <v>898.59583543897429</v>
      </c>
      <c r="F45" s="365">
        <f t="shared" si="11"/>
        <v>820.45706713993309</v>
      </c>
      <c r="G45" s="365">
        <f t="shared" si="11"/>
        <v>820.45706713993309</v>
      </c>
      <c r="H45" s="365">
        <f t="shared" si="11"/>
        <v>859.52645128945369</v>
      </c>
      <c r="I45" s="365">
        <f t="shared" si="11"/>
        <v>755.66553188744751</v>
      </c>
      <c r="J45" s="365">
        <f t="shared" si="11"/>
        <v>468.8326097942475</v>
      </c>
      <c r="K45" s="365">
        <f t="shared" si="11"/>
        <v>859.52645128945369</v>
      </c>
      <c r="L45" s="365">
        <f t="shared" si="11"/>
        <v>820.45706713993309</v>
      </c>
      <c r="M45" s="365">
        <f t="shared" si="11"/>
        <v>820.45706713993309</v>
      </c>
      <c r="N45" s="365">
        <f t="shared" si="11"/>
        <v>364.97169039224127</v>
      </c>
      <c r="O45" s="359">
        <f>SUMIF('Tab. 13'!$B$6:$B$38,B39,'Tab. 13'!$I$6:$I$38)</f>
        <v>8973.5834363333342</v>
      </c>
      <c r="Q45" s="521">
        <f t="shared" si="12"/>
        <v>831.52896707335913</v>
      </c>
    </row>
    <row r="46" spans="2:17" s="3" customFormat="1" ht="17" thickBot="1" x14ac:dyDescent="0.25">
      <c r="B46" s="337" t="s">
        <v>47</v>
      </c>
      <c r="C46" s="365">
        <f t="shared" si="11"/>
        <v>2625.4101066456524</v>
      </c>
      <c r="D46" s="365">
        <f t="shared" si="11"/>
        <v>2917.1223407173916</v>
      </c>
      <c r="E46" s="365">
        <f t="shared" si="11"/>
        <v>3354.6906918250002</v>
      </c>
      <c r="F46" s="365">
        <f t="shared" si="11"/>
        <v>3062.978457753261</v>
      </c>
      <c r="G46" s="365">
        <f t="shared" si="11"/>
        <v>3062.978457753261</v>
      </c>
      <c r="H46" s="365">
        <f t="shared" si="11"/>
        <v>3208.8345747891308</v>
      </c>
      <c r="I46" s="365">
        <f t="shared" si="11"/>
        <v>2821.0948971485273</v>
      </c>
      <c r="J46" s="365">
        <f t="shared" si="11"/>
        <v>1750.273404430435</v>
      </c>
      <c r="K46" s="365">
        <f t="shared" si="11"/>
        <v>3208.8345747891308</v>
      </c>
      <c r="L46" s="365">
        <f t="shared" si="11"/>
        <v>3062.978457753261</v>
      </c>
      <c r="M46" s="365">
        <f t="shared" si="11"/>
        <v>3062.978457753261</v>
      </c>
      <c r="N46" s="365">
        <f t="shared" si="11"/>
        <v>1362.5337267898315</v>
      </c>
      <c r="O46" s="359">
        <f>SUMIF('Tab. 13'!$B$6:$B$38,B39,'Tab. 13'!$J$6:$J$38)</f>
        <v>33500.708148148144</v>
      </c>
      <c r="Q46" s="521">
        <f t="shared" si="12"/>
        <v>3104.3127241527241</v>
      </c>
    </row>
    <row r="47" spans="2:17" s="3" customFormat="1" ht="17" thickBot="1" x14ac:dyDescent="0.25">
      <c r="B47" s="349" t="s">
        <v>3</v>
      </c>
      <c r="C47" s="303">
        <f t="shared" ref="C47:O47" si="13">SUM(C40:C46)</f>
        <v>53821.104091993875</v>
      </c>
      <c r="D47" s="303">
        <f t="shared" si="13"/>
        <v>59801.226768882087</v>
      </c>
      <c r="E47" s="303">
        <f t="shared" si="13"/>
        <v>68771.4107842144</v>
      </c>
      <c r="F47" s="303">
        <f t="shared" si="13"/>
        <v>62791.288107326196</v>
      </c>
      <c r="G47" s="303">
        <f t="shared" si="13"/>
        <v>62791.288107326196</v>
      </c>
      <c r="H47" s="303">
        <f t="shared" si="13"/>
        <v>65781.349445770291</v>
      </c>
      <c r="I47" s="303">
        <f t="shared" si="13"/>
        <v>57832.656973662102</v>
      </c>
      <c r="J47" s="303">
        <f t="shared" si="13"/>
        <v>35880.736061329262</v>
      </c>
      <c r="K47" s="303">
        <f t="shared" si="13"/>
        <v>65781.349445770291</v>
      </c>
      <c r="L47" s="303">
        <f t="shared" si="13"/>
        <v>62791.288107326196</v>
      </c>
      <c r="M47" s="303">
        <f t="shared" si="13"/>
        <v>62791.288107326196</v>
      </c>
      <c r="N47" s="303">
        <f t="shared" si="13"/>
        <v>27932.043589221063</v>
      </c>
      <c r="O47" s="360">
        <f t="shared" si="13"/>
        <v>686767.02959014813</v>
      </c>
      <c r="Q47" s="522">
        <f>SUM(Q40:Q46)</f>
        <v>63638.643668585159</v>
      </c>
    </row>
    <row r="48" spans="2:17" s="3" customFormat="1" ht="16" x14ac:dyDescent="0.2">
      <c r="B48" s="348" t="s">
        <v>323</v>
      </c>
      <c r="C48" s="365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359"/>
      <c r="Q48" s="521"/>
    </row>
    <row r="49" spans="2:17" s="3" customFormat="1" ht="16" x14ac:dyDescent="0.2">
      <c r="B49" s="337" t="s">
        <v>576</v>
      </c>
      <c r="C49" s="365">
        <f t="shared" ref="C49:N55" si="14">+$O49/$O$10*C$10</f>
        <v>58027.17925886521</v>
      </c>
      <c r="D49" s="365">
        <f t="shared" si="14"/>
        <v>64474.643620961346</v>
      </c>
      <c r="E49" s="365">
        <f t="shared" si="14"/>
        <v>74145.840164105553</v>
      </c>
      <c r="F49" s="365">
        <f t="shared" si="14"/>
        <v>67698.37580200941</v>
      </c>
      <c r="G49" s="365">
        <f t="shared" si="14"/>
        <v>67698.37580200941</v>
      </c>
      <c r="H49" s="365">
        <f t="shared" si="14"/>
        <v>70922.107983057474</v>
      </c>
      <c r="I49" s="365">
        <f t="shared" si="14"/>
        <v>62352.231709909334</v>
      </c>
      <c r="J49" s="365">
        <f t="shared" si="14"/>
        <v>38684.786172576809</v>
      </c>
      <c r="K49" s="365">
        <f t="shared" si="14"/>
        <v>70922.107983057474</v>
      </c>
      <c r="L49" s="365">
        <f t="shared" si="14"/>
        <v>67698.37580200941</v>
      </c>
      <c r="M49" s="365">
        <f t="shared" si="14"/>
        <v>67698.37580200941</v>
      </c>
      <c r="N49" s="365">
        <f t="shared" si="14"/>
        <v>30114.909899428665</v>
      </c>
      <c r="O49" s="359">
        <f>SUMIF('Tab. 13'!$B$6:$B$38,B48,'Tab. 13'!$D$6:$D$38)</f>
        <v>740437.30999999959</v>
      </c>
      <c r="Q49" s="521">
        <f t="shared" ref="Q49:Q55" si="15">O49/$O$6*$O$7</f>
        <v>68611.951505791469</v>
      </c>
    </row>
    <row r="50" spans="2:17" s="3" customFormat="1" ht="16" x14ac:dyDescent="0.2">
      <c r="B50" s="337" t="s">
        <v>43</v>
      </c>
      <c r="C50" s="365">
        <f t="shared" si="14"/>
        <v>4835.5982715721038</v>
      </c>
      <c r="D50" s="365">
        <f t="shared" si="14"/>
        <v>5372.8869684134488</v>
      </c>
      <c r="E50" s="365">
        <f t="shared" si="14"/>
        <v>6178.8200136754658</v>
      </c>
      <c r="F50" s="365">
        <f t="shared" si="14"/>
        <v>5641.5313168341208</v>
      </c>
      <c r="G50" s="365">
        <f t="shared" si="14"/>
        <v>5641.5313168341208</v>
      </c>
      <c r="H50" s="365">
        <f t="shared" si="14"/>
        <v>5910.1756652547938</v>
      </c>
      <c r="I50" s="365">
        <f t="shared" si="14"/>
        <v>5196.0193091591145</v>
      </c>
      <c r="J50" s="365">
        <f t="shared" si="14"/>
        <v>3223.7321810480694</v>
      </c>
      <c r="K50" s="365">
        <f t="shared" si="14"/>
        <v>5910.1756652547938</v>
      </c>
      <c r="L50" s="365">
        <f t="shared" si="14"/>
        <v>5641.5313168341208</v>
      </c>
      <c r="M50" s="365">
        <f t="shared" si="14"/>
        <v>5641.5313168341208</v>
      </c>
      <c r="N50" s="365">
        <f t="shared" si="14"/>
        <v>2509.5758249523901</v>
      </c>
      <c r="O50" s="359">
        <f>SUMIF('Tab. 13'!$B$6:$B$38,B48,'Tab. 13'!$F$6:$F$38)</f>
        <v>61703.109166666669</v>
      </c>
      <c r="Q50" s="521">
        <f t="shared" si="15"/>
        <v>5717.662625482626</v>
      </c>
    </row>
    <row r="51" spans="2:17" s="3" customFormat="1" ht="16" x14ac:dyDescent="0.2">
      <c r="B51" s="337" t="s">
        <v>44</v>
      </c>
      <c r="C51" s="365">
        <f t="shared" si="14"/>
        <v>4835.5982715721038</v>
      </c>
      <c r="D51" s="365">
        <f t="shared" si="14"/>
        <v>5372.8869684134488</v>
      </c>
      <c r="E51" s="365">
        <f t="shared" si="14"/>
        <v>6178.8200136754658</v>
      </c>
      <c r="F51" s="365">
        <f t="shared" si="14"/>
        <v>5641.5313168341208</v>
      </c>
      <c r="G51" s="365">
        <f t="shared" si="14"/>
        <v>5641.5313168341208</v>
      </c>
      <c r="H51" s="365">
        <f t="shared" si="14"/>
        <v>5910.1756652547938</v>
      </c>
      <c r="I51" s="365">
        <f t="shared" si="14"/>
        <v>5196.0193091591145</v>
      </c>
      <c r="J51" s="365">
        <f t="shared" si="14"/>
        <v>3223.7321810480694</v>
      </c>
      <c r="K51" s="365">
        <f t="shared" si="14"/>
        <v>5910.1756652547938</v>
      </c>
      <c r="L51" s="365">
        <f t="shared" si="14"/>
        <v>5641.5313168341208</v>
      </c>
      <c r="M51" s="365">
        <f t="shared" si="14"/>
        <v>5641.5313168341208</v>
      </c>
      <c r="N51" s="365">
        <f t="shared" si="14"/>
        <v>2509.5758249523901</v>
      </c>
      <c r="O51" s="359">
        <f>SUMIF('Tab. 13'!$B$6:$B$38,B48,'Tab. 13'!$H$6:$H$38)</f>
        <v>61703.109166666669</v>
      </c>
      <c r="Q51" s="521">
        <f t="shared" si="15"/>
        <v>5717.662625482626</v>
      </c>
    </row>
    <row r="52" spans="2:17" s="3" customFormat="1" ht="16" x14ac:dyDescent="0.2">
      <c r="B52" s="337" t="s">
        <v>577</v>
      </c>
      <c r="C52" s="365">
        <f t="shared" si="14"/>
        <v>13816.271381535815</v>
      </c>
      <c r="D52" s="365">
        <f t="shared" si="14"/>
        <v>15351.412646150906</v>
      </c>
      <c r="E52" s="365">
        <f t="shared" si="14"/>
        <v>17654.124543073543</v>
      </c>
      <c r="F52" s="365">
        <f t="shared" si="14"/>
        <v>16118.983278458451</v>
      </c>
      <c r="G52" s="365">
        <f t="shared" si="14"/>
        <v>16118.983278458451</v>
      </c>
      <c r="H52" s="365">
        <f t="shared" si="14"/>
        <v>16886.553910765997</v>
      </c>
      <c r="I52" s="365">
        <f t="shared" si="14"/>
        <v>14846.066370129423</v>
      </c>
      <c r="J52" s="365">
        <f t="shared" si="14"/>
        <v>9210.8475876905432</v>
      </c>
      <c r="K52" s="365">
        <f t="shared" si="14"/>
        <v>16886.553910765997</v>
      </c>
      <c r="L52" s="365">
        <f t="shared" si="14"/>
        <v>16118.983278458451</v>
      </c>
      <c r="M52" s="365">
        <f t="shared" si="14"/>
        <v>16118.983278458451</v>
      </c>
      <c r="N52" s="365">
        <f t="shared" si="14"/>
        <v>7170.3600470539695</v>
      </c>
      <c r="O52" s="359">
        <f>SUMIF('Tab. 13'!$B$6:$B$38,B48,'Tab. 13'!$E$6:$E$38)</f>
        <v>176298.12351100001</v>
      </c>
      <c r="Q52" s="521">
        <f t="shared" si="15"/>
        <v>16336.505653528959</v>
      </c>
    </row>
    <row r="53" spans="2:17" s="3" customFormat="1" ht="16" x14ac:dyDescent="0.2">
      <c r="B53" s="337" t="s">
        <v>578</v>
      </c>
      <c r="C53" s="365">
        <f t="shared" si="14"/>
        <v>1151.3559484613181</v>
      </c>
      <c r="D53" s="365">
        <f t="shared" si="14"/>
        <v>1279.2843871792422</v>
      </c>
      <c r="E53" s="365">
        <f t="shared" si="14"/>
        <v>1471.1770452561286</v>
      </c>
      <c r="F53" s="365">
        <f t="shared" si="14"/>
        <v>1343.2486065382045</v>
      </c>
      <c r="G53" s="365">
        <f t="shared" si="14"/>
        <v>1343.2486065382045</v>
      </c>
      <c r="H53" s="365">
        <f t="shared" si="14"/>
        <v>1407.2128258971666</v>
      </c>
      <c r="I53" s="365">
        <f t="shared" si="14"/>
        <v>1237.1721975107855</v>
      </c>
      <c r="J53" s="365">
        <f t="shared" si="14"/>
        <v>767.57063230754545</v>
      </c>
      <c r="K53" s="365">
        <f t="shared" si="14"/>
        <v>1407.2128258971666</v>
      </c>
      <c r="L53" s="365">
        <f t="shared" si="14"/>
        <v>1343.2486065382045</v>
      </c>
      <c r="M53" s="365">
        <f t="shared" si="14"/>
        <v>1343.2486065382045</v>
      </c>
      <c r="N53" s="365">
        <f t="shared" si="14"/>
        <v>597.53000392116428</v>
      </c>
      <c r="O53" s="359">
        <f>SUMIF('Tab. 13'!$B$6:$B$38,B48,'Tab. 13'!$G$6:$G$38)</f>
        <v>14691.510292583334</v>
      </c>
      <c r="Q53" s="521">
        <f t="shared" si="15"/>
        <v>1361.3754711274132</v>
      </c>
    </row>
    <row r="54" spans="2:17" s="3" customFormat="1" ht="16" x14ac:dyDescent="0.2">
      <c r="B54" s="337" t="s">
        <v>579</v>
      </c>
      <c r="C54" s="365">
        <f t="shared" si="14"/>
        <v>1151.3559484613181</v>
      </c>
      <c r="D54" s="365">
        <f t="shared" si="14"/>
        <v>1279.2843871792422</v>
      </c>
      <c r="E54" s="365">
        <f t="shared" si="14"/>
        <v>1471.1770452561286</v>
      </c>
      <c r="F54" s="365">
        <f t="shared" si="14"/>
        <v>1343.2486065382045</v>
      </c>
      <c r="G54" s="365">
        <f t="shared" si="14"/>
        <v>1343.2486065382045</v>
      </c>
      <c r="H54" s="365">
        <f t="shared" si="14"/>
        <v>1407.2128258971666</v>
      </c>
      <c r="I54" s="365">
        <f t="shared" si="14"/>
        <v>1237.1721975107855</v>
      </c>
      <c r="J54" s="365">
        <f t="shared" si="14"/>
        <v>767.57063230754545</v>
      </c>
      <c r="K54" s="365">
        <f t="shared" si="14"/>
        <v>1407.2128258971666</v>
      </c>
      <c r="L54" s="365">
        <f t="shared" si="14"/>
        <v>1343.2486065382045</v>
      </c>
      <c r="M54" s="365">
        <f t="shared" si="14"/>
        <v>1343.2486065382045</v>
      </c>
      <c r="N54" s="365">
        <f t="shared" si="14"/>
        <v>597.53000392116428</v>
      </c>
      <c r="O54" s="359">
        <f>SUMIF('Tab. 13'!$B$6:$B$38,B48,'Tab. 13'!$I$6:$I$38)</f>
        <v>14691.510292583334</v>
      </c>
      <c r="Q54" s="521">
        <f t="shared" si="15"/>
        <v>1361.3754711274132</v>
      </c>
    </row>
    <row r="55" spans="2:17" s="3" customFormat="1" ht="17" thickBot="1" x14ac:dyDescent="0.25">
      <c r="B55" s="337" t="s">
        <v>47</v>
      </c>
      <c r="C55" s="365">
        <f t="shared" si="14"/>
        <v>4298.3095747307607</v>
      </c>
      <c r="D55" s="365">
        <f t="shared" si="14"/>
        <v>4775.899527478623</v>
      </c>
      <c r="E55" s="365">
        <f t="shared" si="14"/>
        <v>5492.284456600416</v>
      </c>
      <c r="F55" s="365">
        <f t="shared" si="14"/>
        <v>5014.6945038525537</v>
      </c>
      <c r="G55" s="365">
        <f t="shared" si="14"/>
        <v>5014.6945038525537</v>
      </c>
      <c r="H55" s="365">
        <f t="shared" si="14"/>
        <v>5253.4894802264853</v>
      </c>
      <c r="I55" s="365">
        <f t="shared" si="14"/>
        <v>4618.6838303636587</v>
      </c>
      <c r="J55" s="365">
        <f t="shared" si="14"/>
        <v>2865.5397164871738</v>
      </c>
      <c r="K55" s="365">
        <f t="shared" si="14"/>
        <v>5253.4894802264853</v>
      </c>
      <c r="L55" s="365">
        <f t="shared" si="14"/>
        <v>5014.6945038525537</v>
      </c>
      <c r="M55" s="365">
        <f t="shared" si="14"/>
        <v>5014.6945038525537</v>
      </c>
      <c r="N55" s="365">
        <f t="shared" si="14"/>
        <v>2230.7340666243476</v>
      </c>
      <c r="O55" s="359">
        <f>SUMIF('Tab. 13'!$B$6:$B$38,B48,'Tab. 13'!$J$6:$J$38)</f>
        <v>54847.208148148165</v>
      </c>
      <c r="Q55" s="521">
        <f t="shared" si="15"/>
        <v>5082.3667782067796</v>
      </c>
    </row>
    <row r="56" spans="2:17" s="3" customFormat="1" ht="17" thickBot="1" x14ac:dyDescent="0.25">
      <c r="B56" s="349" t="s">
        <v>3</v>
      </c>
      <c r="C56" s="303">
        <f t="shared" ref="C56:O56" si="16">SUM(C49:C55)</f>
        <v>88115.66865519865</v>
      </c>
      <c r="D56" s="303">
        <f t="shared" si="16"/>
        <v>97906.298505776271</v>
      </c>
      <c r="E56" s="303">
        <f t="shared" si="16"/>
        <v>112592.2432816427</v>
      </c>
      <c r="F56" s="303">
        <f t="shared" si="16"/>
        <v>102801.6134310651</v>
      </c>
      <c r="G56" s="303">
        <f t="shared" si="16"/>
        <v>102801.6134310651</v>
      </c>
      <c r="H56" s="303">
        <f t="shared" si="16"/>
        <v>107696.92835635388</v>
      </c>
      <c r="I56" s="303">
        <f t="shared" si="16"/>
        <v>94683.364923742221</v>
      </c>
      <c r="J56" s="303">
        <f t="shared" si="16"/>
        <v>58743.779103465757</v>
      </c>
      <c r="K56" s="303">
        <f t="shared" si="16"/>
        <v>107696.92835635388</v>
      </c>
      <c r="L56" s="303">
        <f t="shared" si="16"/>
        <v>102801.6134310651</v>
      </c>
      <c r="M56" s="303">
        <f t="shared" si="16"/>
        <v>102801.6134310651</v>
      </c>
      <c r="N56" s="303">
        <f t="shared" si="16"/>
        <v>45730.215670854093</v>
      </c>
      <c r="O56" s="360">
        <f t="shared" si="16"/>
        <v>1124371.8805776478</v>
      </c>
      <c r="Q56" s="522">
        <f>SUM(Q49:Q55)</f>
        <v>104188.90013074728</v>
      </c>
    </row>
    <row r="57" spans="2:17" s="3" customFormat="1" ht="16" x14ac:dyDescent="0.2">
      <c r="B57" s="348" t="s">
        <v>571</v>
      </c>
      <c r="C57" s="365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359"/>
      <c r="Q57" s="521"/>
    </row>
    <row r="58" spans="2:17" s="351" customFormat="1" ht="16" outlineLevel="1" x14ac:dyDescent="0.2">
      <c r="B58" s="350" t="s">
        <v>576</v>
      </c>
      <c r="C58" s="598">
        <f t="shared" ref="C58:N64" si="17">+$O58/$O$10*C$10</f>
        <v>11490.768826241132</v>
      </c>
      <c r="D58" s="598">
        <f t="shared" si="17"/>
        <v>12767.520918045704</v>
      </c>
      <c r="E58" s="598">
        <f t="shared" si="17"/>
        <v>14682.649055752559</v>
      </c>
      <c r="F58" s="598">
        <f t="shared" si="17"/>
        <v>13405.896963947989</v>
      </c>
      <c r="G58" s="598">
        <f t="shared" si="17"/>
        <v>13405.896963947989</v>
      </c>
      <c r="H58" s="598">
        <f t="shared" si="17"/>
        <v>14044.273009850274</v>
      </c>
      <c r="I58" s="598">
        <f t="shared" si="17"/>
        <v>12347.232616331756</v>
      </c>
      <c r="J58" s="598">
        <f t="shared" si="17"/>
        <v>7660.5125508274223</v>
      </c>
      <c r="K58" s="598">
        <f t="shared" si="17"/>
        <v>14044.273009850274</v>
      </c>
      <c r="L58" s="598">
        <f t="shared" si="17"/>
        <v>13405.896963947989</v>
      </c>
      <c r="M58" s="598">
        <f t="shared" si="17"/>
        <v>13405.896963947989</v>
      </c>
      <c r="N58" s="598">
        <f t="shared" si="17"/>
        <v>5963.4721573089037</v>
      </c>
      <c r="O58" s="361">
        <f>SUMIF('Tab. 13'!$B$6:$B$38,B57,'Tab. 13'!$D$6:$D$38)</f>
        <v>146624.28999999998</v>
      </c>
      <c r="Q58" s="523">
        <f t="shared" ref="Q58:Q64" si="18">O58/$O$6*$O$7</f>
        <v>13586.806795366792</v>
      </c>
    </row>
    <row r="59" spans="2:17" s="351" customFormat="1" ht="16" outlineLevel="1" x14ac:dyDescent="0.2">
      <c r="B59" s="350" t="s">
        <v>43</v>
      </c>
      <c r="C59" s="598">
        <f t="shared" si="17"/>
        <v>957.56406885342778</v>
      </c>
      <c r="D59" s="598">
        <f t="shared" si="17"/>
        <v>1063.9600765038088</v>
      </c>
      <c r="E59" s="598">
        <f t="shared" si="17"/>
        <v>1223.55408797938</v>
      </c>
      <c r="F59" s="598">
        <f t="shared" si="17"/>
        <v>1117.1580803289992</v>
      </c>
      <c r="G59" s="598">
        <f t="shared" si="17"/>
        <v>1117.1580803289992</v>
      </c>
      <c r="H59" s="598">
        <f t="shared" si="17"/>
        <v>1170.3560841541896</v>
      </c>
      <c r="I59" s="598">
        <f t="shared" si="17"/>
        <v>1028.9360513609797</v>
      </c>
      <c r="J59" s="598">
        <f t="shared" si="17"/>
        <v>638.37604590228523</v>
      </c>
      <c r="K59" s="598">
        <f t="shared" si="17"/>
        <v>1170.3560841541896</v>
      </c>
      <c r="L59" s="598">
        <f t="shared" si="17"/>
        <v>1117.1580803289992</v>
      </c>
      <c r="M59" s="598">
        <f t="shared" si="17"/>
        <v>1117.1580803289992</v>
      </c>
      <c r="N59" s="598">
        <f t="shared" si="17"/>
        <v>496.95601310907534</v>
      </c>
      <c r="O59" s="361">
        <f>SUMIF('Tab. 13'!$B$6:$B$38,B57,'Tab. 13'!$F$6:$F$38)</f>
        <v>12218.690833333332</v>
      </c>
      <c r="Q59" s="523">
        <f t="shared" si="18"/>
        <v>1132.2338996138994</v>
      </c>
    </row>
    <row r="60" spans="2:17" s="351" customFormat="1" ht="16" outlineLevel="1" x14ac:dyDescent="0.2">
      <c r="B60" s="350" t="s">
        <v>44</v>
      </c>
      <c r="C60" s="598">
        <f t="shared" si="17"/>
        <v>957.56406885342778</v>
      </c>
      <c r="D60" s="598">
        <f t="shared" si="17"/>
        <v>1063.9600765038088</v>
      </c>
      <c r="E60" s="598">
        <f t="shared" si="17"/>
        <v>1223.55408797938</v>
      </c>
      <c r="F60" s="598">
        <f t="shared" si="17"/>
        <v>1117.1580803289992</v>
      </c>
      <c r="G60" s="598">
        <f t="shared" si="17"/>
        <v>1117.1580803289992</v>
      </c>
      <c r="H60" s="598">
        <f t="shared" si="17"/>
        <v>1170.3560841541896</v>
      </c>
      <c r="I60" s="598">
        <f t="shared" si="17"/>
        <v>1028.9360513609797</v>
      </c>
      <c r="J60" s="598">
        <f t="shared" si="17"/>
        <v>638.37604590228523</v>
      </c>
      <c r="K60" s="598">
        <f t="shared" si="17"/>
        <v>1170.3560841541896</v>
      </c>
      <c r="L60" s="598">
        <f t="shared" si="17"/>
        <v>1117.1580803289992</v>
      </c>
      <c r="M60" s="598">
        <f t="shared" si="17"/>
        <v>1117.1580803289992</v>
      </c>
      <c r="N60" s="598">
        <f t="shared" si="17"/>
        <v>496.95601310907534</v>
      </c>
      <c r="O60" s="361">
        <f>SUMIF('Tab. 13'!$B$6:$B$38,B57,'Tab. 13'!$H$6:$H$38)</f>
        <v>12218.690833333332</v>
      </c>
      <c r="Q60" s="523">
        <f t="shared" si="18"/>
        <v>1132.2338996138994</v>
      </c>
    </row>
    <row r="61" spans="2:17" s="351" customFormat="1" ht="16" outlineLevel="1" x14ac:dyDescent="0.2">
      <c r="B61" s="350" t="s">
        <v>577</v>
      </c>
      <c r="C61" s="598">
        <f t="shared" si="17"/>
        <v>2735.9520575280144</v>
      </c>
      <c r="D61" s="598">
        <f t="shared" si="17"/>
        <v>3039.9467305866824</v>
      </c>
      <c r="E61" s="598">
        <f t="shared" si="17"/>
        <v>3495.9387401746849</v>
      </c>
      <c r="F61" s="598">
        <f t="shared" si="17"/>
        <v>3191.9440671160169</v>
      </c>
      <c r="G61" s="598">
        <f t="shared" si="17"/>
        <v>3191.9440671160169</v>
      </c>
      <c r="H61" s="598">
        <f t="shared" si="17"/>
        <v>3343.9414036453509</v>
      </c>
      <c r="I61" s="598">
        <f t="shared" si="17"/>
        <v>2939.8760859485915</v>
      </c>
      <c r="J61" s="598">
        <f t="shared" si="17"/>
        <v>1823.9680383520097</v>
      </c>
      <c r="K61" s="598">
        <f t="shared" si="17"/>
        <v>3343.9414036453509</v>
      </c>
      <c r="L61" s="598">
        <f t="shared" si="17"/>
        <v>3191.9440671160169</v>
      </c>
      <c r="M61" s="598">
        <f t="shared" si="17"/>
        <v>3191.9440671160169</v>
      </c>
      <c r="N61" s="598">
        <f t="shared" si="17"/>
        <v>1419.9027206552503</v>
      </c>
      <c r="O61" s="361">
        <f>SUMIF('Tab. 13'!$B$6:$B$38,B57,'Tab. 13'!$E$6:$E$38)</f>
        <v>34911.243449000001</v>
      </c>
      <c r="Q61" s="523">
        <f t="shared" si="18"/>
        <v>3235.0186979768341</v>
      </c>
    </row>
    <row r="62" spans="2:17" s="351" customFormat="1" ht="16" outlineLevel="1" x14ac:dyDescent="0.2">
      <c r="B62" s="350" t="s">
        <v>578</v>
      </c>
      <c r="C62" s="598">
        <f t="shared" si="17"/>
        <v>227.99600479400121</v>
      </c>
      <c r="D62" s="598">
        <f t="shared" si="17"/>
        <v>253.32889421555691</v>
      </c>
      <c r="E62" s="598">
        <f t="shared" si="17"/>
        <v>291.32822834789044</v>
      </c>
      <c r="F62" s="598">
        <f t="shared" si="17"/>
        <v>265.99533892633474</v>
      </c>
      <c r="G62" s="598">
        <f t="shared" si="17"/>
        <v>265.99533892633474</v>
      </c>
      <c r="H62" s="598">
        <f t="shared" si="17"/>
        <v>278.66178363711259</v>
      </c>
      <c r="I62" s="598">
        <f t="shared" si="17"/>
        <v>244.98967382904931</v>
      </c>
      <c r="J62" s="598">
        <f t="shared" si="17"/>
        <v>151.99733652933415</v>
      </c>
      <c r="K62" s="598">
        <f t="shared" si="17"/>
        <v>278.66178363711259</v>
      </c>
      <c r="L62" s="598">
        <f t="shared" si="17"/>
        <v>265.99533892633474</v>
      </c>
      <c r="M62" s="598">
        <f t="shared" si="17"/>
        <v>265.99533892633474</v>
      </c>
      <c r="N62" s="598">
        <f t="shared" si="17"/>
        <v>118.32522672127087</v>
      </c>
      <c r="O62" s="361">
        <f>SUMIF('Tab. 13'!$B$6:$B$38,B57,'Tab. 13'!$G$6:$G$38)</f>
        <v>2909.2702874166671</v>
      </c>
      <c r="Q62" s="523">
        <f t="shared" si="18"/>
        <v>269.58489149806951</v>
      </c>
    </row>
    <row r="63" spans="2:17" s="351" customFormat="1" ht="16" outlineLevel="1" x14ac:dyDescent="0.2">
      <c r="B63" s="350" t="s">
        <v>579</v>
      </c>
      <c r="C63" s="598">
        <f t="shared" si="17"/>
        <v>227.99600479400121</v>
      </c>
      <c r="D63" s="598">
        <f t="shared" si="17"/>
        <v>253.32889421555691</v>
      </c>
      <c r="E63" s="598">
        <f t="shared" si="17"/>
        <v>291.32822834789044</v>
      </c>
      <c r="F63" s="598">
        <f t="shared" si="17"/>
        <v>265.99533892633474</v>
      </c>
      <c r="G63" s="598">
        <f t="shared" si="17"/>
        <v>265.99533892633474</v>
      </c>
      <c r="H63" s="598">
        <f t="shared" si="17"/>
        <v>278.66178363711259</v>
      </c>
      <c r="I63" s="598">
        <f t="shared" si="17"/>
        <v>244.98967382904931</v>
      </c>
      <c r="J63" s="598">
        <f t="shared" si="17"/>
        <v>151.99733652933415</v>
      </c>
      <c r="K63" s="598">
        <f t="shared" si="17"/>
        <v>278.66178363711259</v>
      </c>
      <c r="L63" s="598">
        <f t="shared" si="17"/>
        <v>265.99533892633474</v>
      </c>
      <c r="M63" s="598">
        <f t="shared" si="17"/>
        <v>265.99533892633474</v>
      </c>
      <c r="N63" s="598">
        <f t="shared" si="17"/>
        <v>118.32522672127087</v>
      </c>
      <c r="O63" s="361">
        <f>SUMIF('Tab. 13'!$B$6:$B$38,B57,'Tab. 13'!$I$6:$I$38)</f>
        <v>2909.2702874166671</v>
      </c>
      <c r="Q63" s="523">
        <f t="shared" si="18"/>
        <v>269.58489149806951</v>
      </c>
    </row>
    <row r="64" spans="2:17" s="351" customFormat="1" ht="17" outlineLevel="1" thickBot="1" x14ac:dyDescent="0.25">
      <c r="B64" s="350" t="s">
        <v>47</v>
      </c>
      <c r="C64" s="598">
        <f t="shared" si="17"/>
        <v>851.16806120304693</v>
      </c>
      <c r="D64" s="598">
        <f t="shared" si="17"/>
        <v>945.7422902256078</v>
      </c>
      <c r="E64" s="598">
        <f t="shared" si="17"/>
        <v>1087.6036337594489</v>
      </c>
      <c r="F64" s="598">
        <f t="shared" si="17"/>
        <v>993.02940473688818</v>
      </c>
      <c r="G64" s="598">
        <f t="shared" si="17"/>
        <v>993.02940473688818</v>
      </c>
      <c r="H64" s="598">
        <f t="shared" si="17"/>
        <v>1040.3165192481686</v>
      </c>
      <c r="I64" s="598">
        <f t="shared" si="17"/>
        <v>914.60982343198202</v>
      </c>
      <c r="J64" s="598">
        <f t="shared" si="17"/>
        <v>567.44537413536466</v>
      </c>
      <c r="K64" s="598">
        <f t="shared" si="17"/>
        <v>1040.3165192481686</v>
      </c>
      <c r="L64" s="598">
        <f t="shared" si="17"/>
        <v>993.02940473688818</v>
      </c>
      <c r="M64" s="598">
        <f t="shared" si="17"/>
        <v>993.02940473688818</v>
      </c>
      <c r="N64" s="598">
        <f t="shared" si="17"/>
        <v>441.73867831917812</v>
      </c>
      <c r="O64" s="361">
        <f>SUMIF('Tab. 13'!$B$6:$B$38,B57,'Tab. 13'!$J$6:$J$38)</f>
        <v>10861.058518518519</v>
      </c>
      <c r="Q64" s="523">
        <f t="shared" si="18"/>
        <v>1006.430132990133</v>
      </c>
    </row>
    <row r="65" spans="2:17" s="351" customFormat="1" ht="17" outlineLevel="1" thickBot="1" x14ac:dyDescent="0.25">
      <c r="B65" s="352" t="s">
        <v>580</v>
      </c>
      <c r="C65" s="353">
        <f t="shared" ref="C65:O65" si="19">SUM(C58:C64)</f>
        <v>17449.00909226705</v>
      </c>
      <c r="D65" s="353">
        <f t="shared" si="19"/>
        <v>19387.787880296724</v>
      </c>
      <c r="E65" s="353">
        <f t="shared" si="19"/>
        <v>22295.956062341236</v>
      </c>
      <c r="F65" s="353">
        <f t="shared" si="19"/>
        <v>20357.177274311565</v>
      </c>
      <c r="G65" s="353">
        <f t="shared" si="19"/>
        <v>20357.177274311565</v>
      </c>
      <c r="H65" s="353">
        <f t="shared" si="19"/>
        <v>21326.566668326399</v>
      </c>
      <c r="I65" s="353">
        <f t="shared" si="19"/>
        <v>18749.569976092385</v>
      </c>
      <c r="J65" s="353">
        <f t="shared" si="19"/>
        <v>11632.672728178035</v>
      </c>
      <c r="K65" s="353">
        <f t="shared" si="19"/>
        <v>21326.566668326399</v>
      </c>
      <c r="L65" s="353">
        <f t="shared" si="19"/>
        <v>20357.177274311565</v>
      </c>
      <c r="M65" s="353">
        <f t="shared" si="19"/>
        <v>20357.177274311565</v>
      </c>
      <c r="N65" s="353">
        <f t="shared" si="19"/>
        <v>9055.6760359440232</v>
      </c>
      <c r="O65" s="362">
        <f t="shared" si="19"/>
        <v>222652.5142090185</v>
      </c>
      <c r="Q65" s="524">
        <f>SUM(Q58:Q64)</f>
        <v>20631.893208557696</v>
      </c>
    </row>
    <row r="66" spans="2:17" s="351" customFormat="1" ht="16" outlineLevel="1" x14ac:dyDescent="0.2">
      <c r="B66" s="350" t="s">
        <v>576</v>
      </c>
      <c r="C66" s="366">
        <v>0</v>
      </c>
      <c r="D66" s="366">
        <v>0</v>
      </c>
      <c r="E66" s="366">
        <f>$O66/SUM($E$10:$N$10)*E$10</f>
        <v>1802.4822695035459</v>
      </c>
      <c r="F66" s="366">
        <f t="shared" ref="F66:N66" si="20">$O66/SUM($E$10:$N$10)*F$10</f>
        <v>1645.7446808510638</v>
      </c>
      <c r="G66" s="366">
        <f t="shared" si="20"/>
        <v>1645.7446808510638</v>
      </c>
      <c r="H66" s="366">
        <f t="shared" si="20"/>
        <v>1724.1134751773047</v>
      </c>
      <c r="I66" s="366">
        <f t="shared" si="20"/>
        <v>1515.7801418439715</v>
      </c>
      <c r="J66" s="366">
        <f t="shared" si="20"/>
        <v>940.42553191489355</v>
      </c>
      <c r="K66" s="366">
        <f t="shared" si="20"/>
        <v>1724.1134751773047</v>
      </c>
      <c r="L66" s="366">
        <f t="shared" si="20"/>
        <v>1645.7446808510638</v>
      </c>
      <c r="M66" s="366">
        <f t="shared" si="20"/>
        <v>1645.7446808510638</v>
      </c>
      <c r="N66" s="366">
        <f t="shared" si="20"/>
        <v>732.09219858156018</v>
      </c>
      <c r="O66" s="361">
        <f>'Tab. 13'!$E$45/$O$10*SUM($E$10:$N$10)</f>
        <v>15021.985815602837</v>
      </c>
      <c r="Q66" s="523">
        <f>O66/$O$6*SUM($E$7:$N$7)</f>
        <v>1275.9987951477312</v>
      </c>
    </row>
    <row r="67" spans="2:17" s="351" customFormat="1" ht="16" outlineLevel="1" x14ac:dyDescent="0.2">
      <c r="B67" s="350" t="s">
        <v>43</v>
      </c>
      <c r="C67" s="366">
        <v>0</v>
      </c>
      <c r="D67" s="366">
        <v>0</v>
      </c>
      <c r="E67" s="366">
        <f t="shared" ref="E67:N72" si="21">$O67/SUM($E$10:$N$10)*E$10</f>
        <v>150.2068557919622</v>
      </c>
      <c r="F67" s="366">
        <f t="shared" si="21"/>
        <v>137.14539007092199</v>
      </c>
      <c r="G67" s="366">
        <f t="shared" si="21"/>
        <v>137.14539007092199</v>
      </c>
      <c r="H67" s="366">
        <f t="shared" si="21"/>
        <v>143.67612293144211</v>
      </c>
      <c r="I67" s="366">
        <f t="shared" si="21"/>
        <v>126.31501182033098</v>
      </c>
      <c r="J67" s="366">
        <f t="shared" si="21"/>
        <v>78.368794326241144</v>
      </c>
      <c r="K67" s="366">
        <f t="shared" si="21"/>
        <v>143.67612293144211</v>
      </c>
      <c r="L67" s="366">
        <f t="shared" si="21"/>
        <v>137.14539007092199</v>
      </c>
      <c r="M67" s="366">
        <f t="shared" si="21"/>
        <v>137.14539007092199</v>
      </c>
      <c r="N67" s="366">
        <f t="shared" si="21"/>
        <v>61.007683215130029</v>
      </c>
      <c r="O67" s="361">
        <f>'Tab. 13'!$G$45/$O$10*SUM($E$10:$N$10)</f>
        <v>1251.8321513002365</v>
      </c>
      <c r="Q67" s="523">
        <f t="shared" ref="Q67:Q72" si="22">O67/$O$6*SUM($E$7:$N$7)</f>
        <v>106.33323292897762</v>
      </c>
    </row>
    <row r="68" spans="2:17" s="351" customFormat="1" ht="16" outlineLevel="1" x14ac:dyDescent="0.2">
      <c r="B68" s="350" t="s">
        <v>44</v>
      </c>
      <c r="C68" s="366">
        <v>0</v>
      </c>
      <c r="D68" s="366">
        <v>0</v>
      </c>
      <c r="E68" s="366">
        <f t="shared" si="21"/>
        <v>150.2068557919622</v>
      </c>
      <c r="F68" s="366">
        <f t="shared" si="21"/>
        <v>137.14539007092199</v>
      </c>
      <c r="G68" s="366">
        <f t="shared" si="21"/>
        <v>137.14539007092199</v>
      </c>
      <c r="H68" s="366">
        <f t="shared" si="21"/>
        <v>143.67612293144211</v>
      </c>
      <c r="I68" s="366">
        <f t="shared" si="21"/>
        <v>126.31501182033098</v>
      </c>
      <c r="J68" s="366">
        <f t="shared" si="21"/>
        <v>78.368794326241144</v>
      </c>
      <c r="K68" s="366">
        <f t="shared" si="21"/>
        <v>143.67612293144211</v>
      </c>
      <c r="L68" s="366">
        <f t="shared" si="21"/>
        <v>137.14539007092199</v>
      </c>
      <c r="M68" s="366">
        <f t="shared" si="21"/>
        <v>137.14539007092199</v>
      </c>
      <c r="N68" s="366">
        <f t="shared" si="21"/>
        <v>61.007683215130029</v>
      </c>
      <c r="O68" s="361">
        <f>'Tab. 13'!$I$45/$O$10*SUM($E$10:$N$10)</f>
        <v>1251.8321513002365</v>
      </c>
      <c r="Q68" s="523">
        <f t="shared" si="22"/>
        <v>106.33323292897762</v>
      </c>
    </row>
    <row r="69" spans="2:17" s="351" customFormat="1" ht="16" outlineLevel="1" x14ac:dyDescent="0.2">
      <c r="B69" s="350" t="s">
        <v>577</v>
      </c>
      <c r="C69" s="366">
        <v>0</v>
      </c>
      <c r="D69" s="366">
        <v>0</v>
      </c>
      <c r="E69" s="366">
        <f t="shared" si="21"/>
        <v>429.17102836879434</v>
      </c>
      <c r="F69" s="366">
        <f t="shared" si="21"/>
        <v>391.85180851063831</v>
      </c>
      <c r="G69" s="366">
        <f t="shared" si="21"/>
        <v>391.85180851063831</v>
      </c>
      <c r="H69" s="366">
        <f t="shared" si="21"/>
        <v>410.51141843971635</v>
      </c>
      <c r="I69" s="366">
        <f t="shared" si="21"/>
        <v>360.90725177304967</v>
      </c>
      <c r="J69" s="366">
        <f t="shared" si="21"/>
        <v>223.91531914893619</v>
      </c>
      <c r="K69" s="366">
        <f t="shared" si="21"/>
        <v>410.51141843971635</v>
      </c>
      <c r="L69" s="366">
        <f t="shared" si="21"/>
        <v>391.85180851063831</v>
      </c>
      <c r="M69" s="366">
        <f t="shared" si="21"/>
        <v>391.85180851063831</v>
      </c>
      <c r="N69" s="366">
        <f t="shared" si="21"/>
        <v>174.31115248226951</v>
      </c>
      <c r="O69" s="361">
        <f>'Tab. 13'!$F$45/$O$10*SUM($E$10:$N$10)</f>
        <v>3576.7348226950357</v>
      </c>
      <c r="Q69" s="523">
        <f t="shared" si="22"/>
        <v>303.81531312467484</v>
      </c>
    </row>
    <row r="70" spans="2:17" s="351" customFormat="1" ht="16" outlineLevel="1" x14ac:dyDescent="0.2">
      <c r="B70" s="350" t="s">
        <v>578</v>
      </c>
      <c r="C70" s="366">
        <v>0</v>
      </c>
      <c r="D70" s="366">
        <v>0</v>
      </c>
      <c r="E70" s="366">
        <f t="shared" si="21"/>
        <v>35.764252364066195</v>
      </c>
      <c r="F70" s="366">
        <f t="shared" si="21"/>
        <v>32.654317375886521</v>
      </c>
      <c r="G70" s="366">
        <f t="shared" si="21"/>
        <v>32.654317375886521</v>
      </c>
      <c r="H70" s="366">
        <f t="shared" si="21"/>
        <v>34.209284869976358</v>
      </c>
      <c r="I70" s="366">
        <f t="shared" si="21"/>
        <v>30.075604314420804</v>
      </c>
      <c r="J70" s="366">
        <f t="shared" si="21"/>
        <v>18.659609929078012</v>
      </c>
      <c r="K70" s="366">
        <f t="shared" si="21"/>
        <v>34.209284869976358</v>
      </c>
      <c r="L70" s="366">
        <f t="shared" si="21"/>
        <v>32.654317375886521</v>
      </c>
      <c r="M70" s="366">
        <f t="shared" si="21"/>
        <v>32.654317375886521</v>
      </c>
      <c r="N70" s="366">
        <f t="shared" si="21"/>
        <v>14.525929373522459</v>
      </c>
      <c r="O70" s="361">
        <f>'Tab. 13'!$H$45/$O$10*SUM($E$10:$N$10)</f>
        <v>298.06123522458631</v>
      </c>
      <c r="Q70" s="523">
        <f t="shared" si="22"/>
        <v>25.31794276038957</v>
      </c>
    </row>
    <row r="71" spans="2:17" s="351" customFormat="1" ht="16" outlineLevel="1" x14ac:dyDescent="0.2">
      <c r="B71" s="350" t="s">
        <v>579</v>
      </c>
      <c r="C71" s="366">
        <v>0</v>
      </c>
      <c r="D71" s="366">
        <v>0</v>
      </c>
      <c r="E71" s="366">
        <f t="shared" si="21"/>
        <v>35.764252364066195</v>
      </c>
      <c r="F71" s="366">
        <f t="shared" si="21"/>
        <v>32.654317375886521</v>
      </c>
      <c r="G71" s="366">
        <f t="shared" si="21"/>
        <v>32.654317375886521</v>
      </c>
      <c r="H71" s="366">
        <f t="shared" si="21"/>
        <v>34.209284869976358</v>
      </c>
      <c r="I71" s="366">
        <f t="shared" si="21"/>
        <v>30.075604314420804</v>
      </c>
      <c r="J71" s="366">
        <f t="shared" si="21"/>
        <v>18.659609929078012</v>
      </c>
      <c r="K71" s="366">
        <f t="shared" si="21"/>
        <v>34.209284869976358</v>
      </c>
      <c r="L71" s="366">
        <f t="shared" si="21"/>
        <v>32.654317375886521</v>
      </c>
      <c r="M71" s="366">
        <f t="shared" si="21"/>
        <v>32.654317375886521</v>
      </c>
      <c r="N71" s="366">
        <f t="shared" si="21"/>
        <v>14.525929373522459</v>
      </c>
      <c r="O71" s="361">
        <f>'Tab. 13'!$J$45/$O$10*SUM($E$10:$N$10)</f>
        <v>298.06123522458631</v>
      </c>
      <c r="Q71" s="523">
        <f t="shared" si="22"/>
        <v>25.31794276038957</v>
      </c>
    </row>
    <row r="72" spans="2:17" s="351" customFormat="1" ht="17" outlineLevel="1" thickBot="1" x14ac:dyDescent="0.25">
      <c r="B72" s="350" t="s">
        <v>47</v>
      </c>
      <c r="C72" s="366">
        <v>0</v>
      </c>
      <c r="D72" s="366">
        <v>0</v>
      </c>
      <c r="E72" s="366">
        <f>$O72/SUM($E$10:$N$10)*E$10</f>
        <v>133.5172051484108</v>
      </c>
      <c r="F72" s="366">
        <f t="shared" si="21"/>
        <v>121.90701339637508</v>
      </c>
      <c r="G72" s="366">
        <f t="shared" si="21"/>
        <v>121.90701339637508</v>
      </c>
      <c r="H72" s="366">
        <f t="shared" si="21"/>
        <v>127.71210927239294</v>
      </c>
      <c r="I72" s="366">
        <f t="shared" si="21"/>
        <v>112.28001050696083</v>
      </c>
      <c r="J72" s="366">
        <f t="shared" si="21"/>
        <v>69.661150512214334</v>
      </c>
      <c r="K72" s="366">
        <f t="shared" si="21"/>
        <v>127.71210927239294</v>
      </c>
      <c r="L72" s="366">
        <f t="shared" si="21"/>
        <v>121.90701339637508</v>
      </c>
      <c r="M72" s="366">
        <f t="shared" si="21"/>
        <v>121.90701339637508</v>
      </c>
      <c r="N72" s="366">
        <f t="shared" si="21"/>
        <v>54.229051746782233</v>
      </c>
      <c r="O72" s="361">
        <f>'Tab. 13'!$K$45/$O$10*SUM($E$10:$N$10)</f>
        <v>1112.7396900446545</v>
      </c>
      <c r="Q72" s="523">
        <f t="shared" si="22"/>
        <v>94.518429270202304</v>
      </c>
    </row>
    <row r="73" spans="2:17" s="351" customFormat="1" ht="17" outlineLevel="1" thickBot="1" x14ac:dyDescent="0.25">
      <c r="B73" s="352" t="s">
        <v>581</v>
      </c>
      <c r="C73" s="353">
        <f t="shared" ref="C73:M73" si="23">SUM(C66:C72)</f>
        <v>0</v>
      </c>
      <c r="D73" s="353">
        <f t="shared" si="23"/>
        <v>0</v>
      </c>
      <c r="E73" s="353">
        <f t="shared" si="23"/>
        <v>2737.112719332808</v>
      </c>
      <c r="F73" s="353">
        <f t="shared" si="23"/>
        <v>2499.102917651694</v>
      </c>
      <c r="G73" s="353">
        <f t="shared" si="23"/>
        <v>2499.102917651694</v>
      </c>
      <c r="H73" s="353">
        <f t="shared" si="23"/>
        <v>2618.1078184922503</v>
      </c>
      <c r="I73" s="353">
        <f t="shared" si="23"/>
        <v>2301.748636393485</v>
      </c>
      <c r="J73" s="353">
        <f t="shared" si="23"/>
        <v>1428.0588100866823</v>
      </c>
      <c r="K73" s="353">
        <f t="shared" si="23"/>
        <v>2618.1078184922503</v>
      </c>
      <c r="L73" s="353">
        <f t="shared" si="23"/>
        <v>2499.102917651694</v>
      </c>
      <c r="M73" s="353">
        <f t="shared" si="23"/>
        <v>2499.102917651694</v>
      </c>
      <c r="N73" s="353">
        <f>SUM(N66:N72)</f>
        <v>1111.699627987917</v>
      </c>
      <c r="O73" s="362">
        <f>SUM(O66:O72)</f>
        <v>22811.247101392175</v>
      </c>
      <c r="Q73" s="524">
        <f>SUM(Q66:Q72)</f>
        <v>1937.6348889213425</v>
      </c>
    </row>
    <row r="74" spans="2:17" s="3" customFormat="1" ht="16" x14ac:dyDescent="0.2">
      <c r="B74" s="337" t="s">
        <v>576</v>
      </c>
      <c r="C74" s="365">
        <f>+C58+C66</f>
        <v>11490.768826241132</v>
      </c>
      <c r="D74" s="365">
        <f t="shared" ref="D74:N74" si="24">+D58+D66</f>
        <v>12767.520918045704</v>
      </c>
      <c r="E74" s="365">
        <f t="shared" si="24"/>
        <v>16485.131325256105</v>
      </c>
      <c r="F74" s="365">
        <f t="shared" si="24"/>
        <v>15051.641644799052</v>
      </c>
      <c r="G74" s="365">
        <f t="shared" si="24"/>
        <v>15051.641644799052</v>
      </c>
      <c r="H74" s="365">
        <f t="shared" si="24"/>
        <v>15768.386485027579</v>
      </c>
      <c r="I74" s="365">
        <f t="shared" si="24"/>
        <v>13863.012758175728</v>
      </c>
      <c r="J74" s="365">
        <f t="shared" si="24"/>
        <v>8600.9380827423156</v>
      </c>
      <c r="K74" s="365">
        <f t="shared" si="24"/>
        <v>15768.386485027579</v>
      </c>
      <c r="L74" s="365">
        <f t="shared" si="24"/>
        <v>15051.641644799052</v>
      </c>
      <c r="M74" s="365">
        <f t="shared" si="24"/>
        <v>15051.641644799052</v>
      </c>
      <c r="N74" s="365">
        <f t="shared" si="24"/>
        <v>6695.564355890464</v>
      </c>
      <c r="O74" s="359">
        <f>SUM(C74:N74)</f>
        <v>161646.27581560283</v>
      </c>
      <c r="Q74" s="521">
        <f t="shared" ref="Q74:Q80" si="25">O74/$O$6*$O$7</f>
        <v>14978.805480982503</v>
      </c>
    </row>
    <row r="75" spans="2:17" s="3" customFormat="1" ht="16" x14ac:dyDescent="0.2">
      <c r="B75" s="337" t="s">
        <v>43</v>
      </c>
      <c r="C75" s="365">
        <f t="shared" ref="C75:C80" si="26">+C59+C67</f>
        <v>957.56406885342778</v>
      </c>
      <c r="D75" s="365">
        <f t="shared" ref="D75:N75" si="27">+D59+D67</f>
        <v>1063.9600765038088</v>
      </c>
      <c r="E75" s="365">
        <f t="shared" si="27"/>
        <v>1373.7609437713422</v>
      </c>
      <c r="F75" s="365">
        <f t="shared" si="27"/>
        <v>1254.3034703999213</v>
      </c>
      <c r="G75" s="365">
        <f t="shared" si="27"/>
        <v>1254.3034703999213</v>
      </c>
      <c r="H75" s="365">
        <f t="shared" si="27"/>
        <v>1314.0322070856316</v>
      </c>
      <c r="I75" s="365">
        <f t="shared" si="27"/>
        <v>1155.2510631813107</v>
      </c>
      <c r="J75" s="365">
        <f t="shared" si="27"/>
        <v>716.74484022852641</v>
      </c>
      <c r="K75" s="365">
        <f t="shared" si="27"/>
        <v>1314.0322070856316</v>
      </c>
      <c r="L75" s="365">
        <f t="shared" si="27"/>
        <v>1254.3034703999213</v>
      </c>
      <c r="M75" s="365">
        <f t="shared" si="27"/>
        <v>1254.3034703999213</v>
      </c>
      <c r="N75" s="365">
        <f t="shared" si="27"/>
        <v>557.96369632420533</v>
      </c>
      <c r="O75" s="359">
        <f t="shared" ref="O75:O80" si="28">SUM(C75:N75)</f>
        <v>13470.52298463357</v>
      </c>
      <c r="Q75" s="521">
        <f t="shared" si="25"/>
        <v>1248.2337900818752</v>
      </c>
    </row>
    <row r="76" spans="2:17" s="3" customFormat="1" ht="16" x14ac:dyDescent="0.2">
      <c r="B76" s="337" t="s">
        <v>44</v>
      </c>
      <c r="C76" s="365">
        <f t="shared" si="26"/>
        <v>957.56406885342778</v>
      </c>
      <c r="D76" s="365">
        <f t="shared" ref="D76:N76" si="29">+D60+D68</f>
        <v>1063.9600765038088</v>
      </c>
      <c r="E76" s="365">
        <f t="shared" si="29"/>
        <v>1373.7609437713422</v>
      </c>
      <c r="F76" s="365">
        <f t="shared" si="29"/>
        <v>1254.3034703999213</v>
      </c>
      <c r="G76" s="365">
        <f t="shared" si="29"/>
        <v>1254.3034703999213</v>
      </c>
      <c r="H76" s="365">
        <f t="shared" si="29"/>
        <v>1314.0322070856316</v>
      </c>
      <c r="I76" s="365">
        <f t="shared" si="29"/>
        <v>1155.2510631813107</v>
      </c>
      <c r="J76" s="365">
        <f t="shared" si="29"/>
        <v>716.74484022852641</v>
      </c>
      <c r="K76" s="365">
        <f t="shared" si="29"/>
        <v>1314.0322070856316</v>
      </c>
      <c r="L76" s="365">
        <f t="shared" si="29"/>
        <v>1254.3034703999213</v>
      </c>
      <c r="M76" s="365">
        <f t="shared" si="29"/>
        <v>1254.3034703999213</v>
      </c>
      <c r="N76" s="365">
        <f t="shared" si="29"/>
        <v>557.96369632420533</v>
      </c>
      <c r="O76" s="359">
        <f t="shared" si="28"/>
        <v>13470.52298463357</v>
      </c>
      <c r="Q76" s="521">
        <f t="shared" si="25"/>
        <v>1248.2337900818752</v>
      </c>
    </row>
    <row r="77" spans="2:17" s="3" customFormat="1" ht="16" x14ac:dyDescent="0.2">
      <c r="B77" s="337" t="s">
        <v>577</v>
      </c>
      <c r="C77" s="365">
        <f t="shared" si="26"/>
        <v>2735.9520575280144</v>
      </c>
      <c r="D77" s="365">
        <f t="shared" ref="D77:N77" si="30">+D61+D69</f>
        <v>3039.9467305866824</v>
      </c>
      <c r="E77" s="365">
        <f t="shared" si="30"/>
        <v>3925.1097685434793</v>
      </c>
      <c r="F77" s="365">
        <f t="shared" si="30"/>
        <v>3583.7958756266553</v>
      </c>
      <c r="G77" s="365">
        <f t="shared" si="30"/>
        <v>3583.7958756266553</v>
      </c>
      <c r="H77" s="365">
        <f t="shared" si="30"/>
        <v>3754.4528220850671</v>
      </c>
      <c r="I77" s="365">
        <f t="shared" si="30"/>
        <v>3300.7833377216411</v>
      </c>
      <c r="J77" s="365">
        <f t="shared" si="30"/>
        <v>2047.8833575009457</v>
      </c>
      <c r="K77" s="365">
        <f t="shared" si="30"/>
        <v>3754.4528220850671</v>
      </c>
      <c r="L77" s="365">
        <f t="shared" si="30"/>
        <v>3583.7958756266553</v>
      </c>
      <c r="M77" s="365">
        <f t="shared" si="30"/>
        <v>3583.7958756266553</v>
      </c>
      <c r="N77" s="365">
        <f t="shared" si="30"/>
        <v>1594.2138731375198</v>
      </c>
      <c r="O77" s="359">
        <f t="shared" si="28"/>
        <v>38487.978271695029</v>
      </c>
      <c r="Q77" s="521">
        <f t="shared" si="25"/>
        <v>3566.4535850219327</v>
      </c>
    </row>
    <row r="78" spans="2:17" s="3" customFormat="1" ht="16" x14ac:dyDescent="0.2">
      <c r="B78" s="337" t="s">
        <v>578</v>
      </c>
      <c r="C78" s="365">
        <f t="shared" si="26"/>
        <v>227.99600479400121</v>
      </c>
      <c r="D78" s="365">
        <f t="shared" ref="D78:N78" si="31">+D62+D70</f>
        <v>253.32889421555691</v>
      </c>
      <c r="E78" s="365">
        <f t="shared" si="31"/>
        <v>327.09248071195663</v>
      </c>
      <c r="F78" s="365">
        <f t="shared" si="31"/>
        <v>298.64965630222127</v>
      </c>
      <c r="G78" s="365">
        <f t="shared" si="31"/>
        <v>298.64965630222127</v>
      </c>
      <c r="H78" s="365">
        <f t="shared" si="31"/>
        <v>312.87106850708892</v>
      </c>
      <c r="I78" s="365">
        <f t="shared" si="31"/>
        <v>275.0652781434701</v>
      </c>
      <c r="J78" s="365">
        <f t="shared" si="31"/>
        <v>170.65694645841216</v>
      </c>
      <c r="K78" s="365">
        <f t="shared" si="31"/>
        <v>312.87106850708892</v>
      </c>
      <c r="L78" s="365">
        <f t="shared" si="31"/>
        <v>298.64965630222127</v>
      </c>
      <c r="M78" s="365">
        <f t="shared" si="31"/>
        <v>298.64965630222127</v>
      </c>
      <c r="N78" s="365">
        <f t="shared" si="31"/>
        <v>132.85115609479334</v>
      </c>
      <c r="O78" s="359">
        <f t="shared" si="28"/>
        <v>3207.3315226412528</v>
      </c>
      <c r="Q78" s="521">
        <f t="shared" si="25"/>
        <v>297.20446541849446</v>
      </c>
    </row>
    <row r="79" spans="2:17" s="3" customFormat="1" ht="16" x14ac:dyDescent="0.2">
      <c r="B79" s="337" t="s">
        <v>579</v>
      </c>
      <c r="C79" s="365">
        <f t="shared" si="26"/>
        <v>227.99600479400121</v>
      </c>
      <c r="D79" s="365">
        <f t="shared" ref="D79:N79" si="32">+D63+D71</f>
        <v>253.32889421555691</v>
      </c>
      <c r="E79" s="365">
        <f t="shared" si="32"/>
        <v>327.09248071195663</v>
      </c>
      <c r="F79" s="365">
        <f t="shared" si="32"/>
        <v>298.64965630222127</v>
      </c>
      <c r="G79" s="365">
        <f t="shared" si="32"/>
        <v>298.64965630222127</v>
      </c>
      <c r="H79" s="365">
        <f t="shared" si="32"/>
        <v>312.87106850708892</v>
      </c>
      <c r="I79" s="365">
        <f t="shared" si="32"/>
        <v>275.0652781434701</v>
      </c>
      <c r="J79" s="365">
        <f t="shared" si="32"/>
        <v>170.65694645841216</v>
      </c>
      <c r="K79" s="365">
        <f t="shared" si="32"/>
        <v>312.87106850708892</v>
      </c>
      <c r="L79" s="365">
        <f t="shared" si="32"/>
        <v>298.64965630222127</v>
      </c>
      <c r="M79" s="365">
        <f t="shared" si="32"/>
        <v>298.64965630222127</v>
      </c>
      <c r="N79" s="365">
        <f t="shared" si="32"/>
        <v>132.85115609479334</v>
      </c>
      <c r="O79" s="359">
        <f t="shared" si="28"/>
        <v>3207.3315226412528</v>
      </c>
      <c r="Q79" s="521">
        <f t="shared" si="25"/>
        <v>297.20446541849446</v>
      </c>
    </row>
    <row r="80" spans="2:17" s="3" customFormat="1" ht="17" thickBot="1" x14ac:dyDescent="0.25">
      <c r="B80" s="337" t="s">
        <v>47</v>
      </c>
      <c r="C80" s="365">
        <f t="shared" si="26"/>
        <v>851.16806120304693</v>
      </c>
      <c r="D80" s="365">
        <f t="shared" ref="D80:N80" si="33">+D64+D72</f>
        <v>945.7422902256078</v>
      </c>
      <c r="E80" s="365">
        <f t="shared" si="33"/>
        <v>1221.1208389078597</v>
      </c>
      <c r="F80" s="365">
        <f t="shared" si="33"/>
        <v>1114.9364181332633</v>
      </c>
      <c r="G80" s="365">
        <f t="shared" si="33"/>
        <v>1114.9364181332633</v>
      </c>
      <c r="H80" s="365">
        <f t="shared" si="33"/>
        <v>1168.0286285205616</v>
      </c>
      <c r="I80" s="365">
        <f t="shared" si="33"/>
        <v>1026.889833938943</v>
      </c>
      <c r="J80" s="365">
        <f t="shared" si="33"/>
        <v>637.10652464757902</v>
      </c>
      <c r="K80" s="365">
        <f t="shared" si="33"/>
        <v>1168.0286285205616</v>
      </c>
      <c r="L80" s="365">
        <f t="shared" si="33"/>
        <v>1114.9364181332633</v>
      </c>
      <c r="M80" s="365">
        <f t="shared" si="33"/>
        <v>1114.9364181332633</v>
      </c>
      <c r="N80" s="365">
        <f t="shared" si="33"/>
        <v>495.96773006596038</v>
      </c>
      <c r="O80" s="359">
        <f t="shared" si="28"/>
        <v>11973.798208563176</v>
      </c>
      <c r="Q80" s="521">
        <f t="shared" si="25"/>
        <v>1109.5411467394449</v>
      </c>
    </row>
    <row r="81" spans="1:17" s="3" customFormat="1" ht="17" thickBot="1" x14ac:dyDescent="0.25">
      <c r="B81" s="349" t="s">
        <v>3</v>
      </c>
      <c r="C81" s="303">
        <f t="shared" ref="C81:O81" si="34">SUM(C74:C80)</f>
        <v>17449.00909226705</v>
      </c>
      <c r="D81" s="303">
        <f t="shared" si="34"/>
        <v>19387.787880296724</v>
      </c>
      <c r="E81" s="303">
        <f t="shared" si="34"/>
        <v>25033.068781674043</v>
      </c>
      <c r="F81" s="303">
        <f t="shared" si="34"/>
        <v>22856.280191963262</v>
      </c>
      <c r="G81" s="303">
        <f t="shared" si="34"/>
        <v>22856.280191963262</v>
      </c>
      <c r="H81" s="303">
        <f t="shared" si="34"/>
        <v>23944.674486818643</v>
      </c>
      <c r="I81" s="303">
        <f t="shared" si="34"/>
        <v>21051.318612485869</v>
      </c>
      <c r="J81" s="303">
        <f t="shared" si="34"/>
        <v>13060.731538264716</v>
      </c>
      <c r="K81" s="303">
        <f t="shared" si="34"/>
        <v>23944.674486818643</v>
      </c>
      <c r="L81" s="303">
        <f t="shared" si="34"/>
        <v>22856.280191963262</v>
      </c>
      <c r="M81" s="303">
        <f t="shared" si="34"/>
        <v>22856.280191963262</v>
      </c>
      <c r="N81" s="303">
        <f t="shared" si="34"/>
        <v>10167.375663931944</v>
      </c>
      <c r="O81" s="360">
        <f t="shared" si="34"/>
        <v>245463.76131041071</v>
      </c>
      <c r="Q81" s="522">
        <f>SUM(Q74:Q80)</f>
        <v>22745.676723744618</v>
      </c>
    </row>
    <row r="82" spans="1:17" s="3" customFormat="1" ht="16" x14ac:dyDescent="0.2">
      <c r="A82" s="3">
        <f>(O31+O32+O33)/O38</f>
        <v>0.76828987211022415</v>
      </c>
      <c r="B82" s="337" t="s">
        <v>576</v>
      </c>
      <c r="C82" s="365">
        <f>'Mens costi industriali DIR'!C$35*$A$82</f>
        <v>0</v>
      </c>
      <c r="D82" s="365">
        <f>'Mens costi industriali DIR'!D$35*$A$82</f>
        <v>2988.8269181406804</v>
      </c>
      <c r="E82" s="365">
        <f>'Mens costi industriali DIR'!E$35*$A$82</f>
        <v>0</v>
      </c>
      <c r="F82" s="365">
        <f>'Mens costi industriali DIR'!F$35*$A$82</f>
        <v>0</v>
      </c>
      <c r="G82" s="365">
        <f>'Mens costi industriali DIR'!G$35*$A$82</f>
        <v>0</v>
      </c>
      <c r="H82" s="365">
        <f>'Mens costi industriali DIR'!H$35*$A$82</f>
        <v>0</v>
      </c>
      <c r="I82" s="365">
        <f>'Mens costi industriali DIR'!I$35*$A$82</f>
        <v>0</v>
      </c>
      <c r="J82" s="365">
        <f>'Mens costi industriali DIR'!J$35*$A$82</f>
        <v>0</v>
      </c>
      <c r="K82" s="365">
        <f>'Mens costi industriali DIR'!K$35*$A$82</f>
        <v>0</v>
      </c>
      <c r="L82" s="365">
        <f>'Mens costi industriali DIR'!L$35*$A$82</f>
        <v>0</v>
      </c>
      <c r="M82" s="365">
        <f>'Mens costi industriali DIR'!M$35*$A$82</f>
        <v>0</v>
      </c>
      <c r="N82" s="365">
        <f>'Mens costi industriali DIR'!N$35*$A$82</f>
        <v>0</v>
      </c>
      <c r="O82" s="359">
        <f>SUM(C82:N82)</f>
        <v>2988.8269181406804</v>
      </c>
      <c r="Q82" s="521">
        <f t="shared" ref="Q82:Q88" si="35">O82/$O$6*$O$7</f>
        <v>276.9569344995225</v>
      </c>
    </row>
    <row r="83" spans="1:17" s="3" customFormat="1" ht="16" x14ac:dyDescent="0.2">
      <c r="B83" s="337" t="s">
        <v>43</v>
      </c>
      <c r="C83" s="365"/>
      <c r="D83" s="365"/>
      <c r="E83" s="365"/>
      <c r="F83" s="365"/>
      <c r="G83" s="365"/>
      <c r="H83" s="365"/>
      <c r="I83" s="365"/>
      <c r="J83" s="365"/>
      <c r="K83" s="365"/>
      <c r="L83" s="365"/>
      <c r="M83" s="365"/>
      <c r="N83" s="365"/>
      <c r="O83" s="359">
        <f t="shared" ref="O83:O88" si="36">SUM(C83:N83)</f>
        <v>0</v>
      </c>
      <c r="Q83" s="521">
        <f t="shared" si="35"/>
        <v>0</v>
      </c>
    </row>
    <row r="84" spans="1:17" s="3" customFormat="1" ht="16" x14ac:dyDescent="0.2">
      <c r="B84" s="337" t="s">
        <v>44</v>
      </c>
      <c r="C84" s="365"/>
      <c r="D84" s="365"/>
      <c r="E84" s="365"/>
      <c r="F84" s="365"/>
      <c r="G84" s="365"/>
      <c r="H84" s="365"/>
      <c r="I84" s="365"/>
      <c r="J84" s="365"/>
      <c r="K84" s="365"/>
      <c r="L84" s="365"/>
      <c r="M84" s="365"/>
      <c r="N84" s="365"/>
      <c r="O84" s="359">
        <f t="shared" si="36"/>
        <v>0</v>
      </c>
      <c r="Q84" s="521">
        <f t="shared" si="35"/>
        <v>0</v>
      </c>
    </row>
    <row r="85" spans="1:17" s="3" customFormat="1" ht="16" x14ac:dyDescent="0.2">
      <c r="A85" s="3">
        <f>(O34+O35+O36)/O38</f>
        <v>0.18292981854944385</v>
      </c>
      <c r="B85" s="337" t="s">
        <v>577</v>
      </c>
      <c r="C85" s="365">
        <f>'Mens costi industriali DIR'!C$35*$A$85</f>
        <v>0</v>
      </c>
      <c r="D85" s="365">
        <f>'Mens costi industriali DIR'!D$35*$A$85</f>
        <v>711.63968920929403</v>
      </c>
      <c r="E85" s="365">
        <f>'Mens costi industriali DIR'!E$35*$A$85</f>
        <v>0</v>
      </c>
      <c r="F85" s="365">
        <f>'Mens costi industriali DIR'!F$35*$A$85</f>
        <v>0</v>
      </c>
      <c r="G85" s="365">
        <f>'Mens costi industriali DIR'!G$35*$A$85</f>
        <v>0</v>
      </c>
      <c r="H85" s="365">
        <f>'Mens costi industriali DIR'!H$35*$A$85</f>
        <v>0</v>
      </c>
      <c r="I85" s="365">
        <f>'Mens costi industriali DIR'!I$35*$A$85</f>
        <v>0</v>
      </c>
      <c r="J85" s="365">
        <f>'Mens costi industriali DIR'!J$35*$A$85</f>
        <v>0</v>
      </c>
      <c r="K85" s="365">
        <f>'Mens costi industriali DIR'!K$35*$A$85</f>
        <v>0</v>
      </c>
      <c r="L85" s="365">
        <f>'Mens costi industriali DIR'!L$35*$A$85</f>
        <v>0</v>
      </c>
      <c r="M85" s="365">
        <f>'Mens costi industriali DIR'!M$35*$A$85</f>
        <v>0</v>
      </c>
      <c r="N85" s="365">
        <f>'Mens costi industriali DIR'!N$35*$A$85</f>
        <v>0</v>
      </c>
      <c r="O85" s="359">
        <f t="shared" si="36"/>
        <v>711.63968920929403</v>
      </c>
      <c r="Q85" s="521">
        <f t="shared" si="35"/>
        <v>65.943446104336118</v>
      </c>
    </row>
    <row r="86" spans="1:17" s="3" customFormat="1" ht="16" x14ac:dyDescent="0.2">
      <c r="B86" s="337" t="s">
        <v>578</v>
      </c>
      <c r="C86" s="365"/>
      <c r="D86" s="365"/>
      <c r="E86" s="365"/>
      <c r="F86" s="365"/>
      <c r="G86" s="365"/>
      <c r="H86" s="365"/>
      <c r="I86" s="365"/>
      <c r="J86" s="365"/>
      <c r="K86" s="365"/>
      <c r="L86" s="365"/>
      <c r="M86" s="365"/>
      <c r="N86" s="365"/>
      <c r="O86" s="359">
        <f t="shared" si="36"/>
        <v>0</v>
      </c>
      <c r="Q86" s="521">
        <f t="shared" si="35"/>
        <v>0</v>
      </c>
    </row>
    <row r="87" spans="1:17" s="3" customFormat="1" ht="16" x14ac:dyDescent="0.2">
      <c r="B87" s="337" t="s">
        <v>579</v>
      </c>
      <c r="C87" s="365"/>
      <c r="D87" s="365"/>
      <c r="E87" s="365"/>
      <c r="F87" s="365"/>
      <c r="G87" s="365"/>
      <c r="H87" s="365"/>
      <c r="I87" s="365"/>
      <c r="J87" s="365"/>
      <c r="K87" s="365"/>
      <c r="L87" s="365"/>
      <c r="M87" s="365"/>
      <c r="N87" s="365"/>
      <c r="O87" s="359">
        <f t="shared" si="36"/>
        <v>0</v>
      </c>
      <c r="Q87" s="521">
        <f t="shared" si="35"/>
        <v>0</v>
      </c>
    </row>
    <row r="88" spans="1:17" s="3" customFormat="1" ht="17" thickBot="1" x14ac:dyDescent="0.25">
      <c r="A88" s="3">
        <f>O28/O29</f>
        <v>4.878030934033168E-2</v>
      </c>
      <c r="B88" s="337" t="s">
        <v>47</v>
      </c>
      <c r="C88" s="365">
        <f>'Mens costi industriali DIR'!C$35*$A$88</f>
        <v>0</v>
      </c>
      <c r="D88" s="365">
        <f>'Mens costi industriali DIR'!D$35*$A$88</f>
        <v>189.76678845337651</v>
      </c>
      <c r="E88" s="365">
        <f>'Mens costi industriali DIR'!E$35*$A$88</f>
        <v>0</v>
      </c>
      <c r="F88" s="365">
        <f>'Mens costi industriali DIR'!F$35*$A$88</f>
        <v>0</v>
      </c>
      <c r="G88" s="365">
        <f>'Mens costi industriali DIR'!G$35*$A$88</f>
        <v>0</v>
      </c>
      <c r="H88" s="365">
        <f>'Mens costi industriali DIR'!H$35*$A$88</f>
        <v>0</v>
      </c>
      <c r="I88" s="365">
        <f>'Mens costi industriali DIR'!I$35*$A$88</f>
        <v>0</v>
      </c>
      <c r="J88" s="365">
        <f>'Mens costi industriali DIR'!J$35*$A$88</f>
        <v>0</v>
      </c>
      <c r="K88" s="365">
        <f>'Mens costi industriali DIR'!K$35*$A$88</f>
        <v>0</v>
      </c>
      <c r="L88" s="365">
        <f>'Mens costi industriali DIR'!L$35*$A$88</f>
        <v>0</v>
      </c>
      <c r="M88" s="365">
        <f>'Mens costi industriali DIR'!M$35*$A$88</f>
        <v>0</v>
      </c>
      <c r="N88" s="365">
        <f>'Mens costi industriali DIR'!N$35*$A$88</f>
        <v>0</v>
      </c>
      <c r="O88" s="359">
        <f t="shared" si="36"/>
        <v>189.76678845337651</v>
      </c>
      <c r="Q88" s="521">
        <f t="shared" si="35"/>
        <v>17.58456726981095</v>
      </c>
    </row>
    <row r="89" spans="1:17" s="3" customFormat="1" ht="17" thickBot="1" x14ac:dyDescent="0.25">
      <c r="B89" s="349" t="s">
        <v>747</v>
      </c>
      <c r="C89" s="303">
        <f t="shared" ref="C89:O89" si="37">SUM(C82:C88)</f>
        <v>0</v>
      </c>
      <c r="D89" s="303">
        <f t="shared" si="37"/>
        <v>3890.233395803351</v>
      </c>
      <c r="E89" s="303">
        <f t="shared" si="37"/>
        <v>0</v>
      </c>
      <c r="F89" s="303">
        <f t="shared" si="37"/>
        <v>0</v>
      </c>
      <c r="G89" s="303">
        <f t="shared" si="37"/>
        <v>0</v>
      </c>
      <c r="H89" s="303">
        <f t="shared" si="37"/>
        <v>0</v>
      </c>
      <c r="I89" s="303">
        <f t="shared" si="37"/>
        <v>0</v>
      </c>
      <c r="J89" s="303">
        <f t="shared" si="37"/>
        <v>0</v>
      </c>
      <c r="K89" s="303">
        <f t="shared" si="37"/>
        <v>0</v>
      </c>
      <c r="L89" s="303">
        <f t="shared" si="37"/>
        <v>0</v>
      </c>
      <c r="M89" s="303">
        <f t="shared" si="37"/>
        <v>0</v>
      </c>
      <c r="N89" s="303">
        <f t="shared" si="37"/>
        <v>0</v>
      </c>
      <c r="O89" s="360">
        <f t="shared" si="37"/>
        <v>3890.233395803351</v>
      </c>
      <c r="Q89" s="522">
        <f>SUM(Q82:Q88)</f>
        <v>360.48494787366957</v>
      </c>
    </row>
    <row r="90" spans="1:17" s="3" customFormat="1" ht="16" x14ac:dyDescent="0.2">
      <c r="B90" s="354"/>
      <c r="C90" s="367"/>
      <c r="D90" s="368"/>
      <c r="E90" s="368"/>
      <c r="F90" s="368"/>
      <c r="G90" s="368"/>
      <c r="H90" s="368"/>
      <c r="I90" s="368"/>
      <c r="J90" s="368"/>
      <c r="K90" s="368"/>
      <c r="L90" s="368"/>
      <c r="M90" s="368"/>
      <c r="N90" s="368"/>
      <c r="O90" s="359"/>
      <c r="Q90" s="521"/>
    </row>
    <row r="91" spans="1:17" ht="16" x14ac:dyDescent="0.2">
      <c r="B91" s="355" t="s">
        <v>576</v>
      </c>
      <c r="C91" s="367">
        <f>C13+C22+C40+C49+C74+C31+C82</f>
        <v>255400.45091489385</v>
      </c>
      <c r="D91" s="367">
        <f>D13+D22+D40+D49+D74+D31+D82</f>
        <v>286767.10571246716</v>
      </c>
      <c r="E91" s="367">
        <f t="shared" ref="E91:N91" si="38">E13+E22+E40+E49+E74+E31+E82</f>
        <v>328147.502882979</v>
      </c>
      <c r="F91" s="367">
        <f t="shared" si="38"/>
        <v>299612.93741489388</v>
      </c>
      <c r="G91" s="367">
        <f t="shared" si="38"/>
        <v>299612.93741489388</v>
      </c>
      <c r="H91" s="367">
        <f t="shared" si="38"/>
        <v>313880.22014893644</v>
      </c>
      <c r="I91" s="367">
        <f t="shared" si="38"/>
        <v>275952.48889893643</v>
      </c>
      <c r="J91" s="367">
        <f t="shared" si="38"/>
        <v>171207.39280851081</v>
      </c>
      <c r="K91" s="367">
        <f t="shared" si="38"/>
        <v>313880.22014893644</v>
      </c>
      <c r="L91" s="367">
        <f t="shared" si="38"/>
        <v>299612.93741489388</v>
      </c>
      <c r="M91" s="367">
        <f t="shared" si="38"/>
        <v>299612.93741489388</v>
      </c>
      <c r="N91" s="367">
        <f t="shared" si="38"/>
        <v>133279.66155851076</v>
      </c>
      <c r="O91" s="359">
        <f>SUM(C91:N91)</f>
        <v>3276966.7927337461</v>
      </c>
      <c r="Q91" s="525">
        <f t="shared" ref="Q91:Q97" si="39">Q13+Q22+Q40+Q49+Q74+Q31</f>
        <v>303380.19760453491</v>
      </c>
    </row>
    <row r="92" spans="1:17" ht="16" x14ac:dyDescent="0.2">
      <c r="B92" s="355" t="s">
        <v>43</v>
      </c>
      <c r="C92" s="367">
        <f t="shared" ref="C92:N97" si="40">C14+C23+C41+C50+C75+C32+C83</f>
        <v>21283.370909574449</v>
      </c>
      <c r="D92" s="367">
        <f t="shared" si="40"/>
        <v>23648.189899527169</v>
      </c>
      <c r="E92" s="367">
        <f t="shared" si="40"/>
        <v>27345.625240248206</v>
      </c>
      <c r="F92" s="367">
        <f t="shared" si="40"/>
        <v>24967.74478457445</v>
      </c>
      <c r="G92" s="367">
        <f t="shared" si="40"/>
        <v>24967.74478457445</v>
      </c>
      <c r="H92" s="367">
        <f t="shared" si="40"/>
        <v>26156.685012411326</v>
      </c>
      <c r="I92" s="367">
        <f t="shared" si="40"/>
        <v>22996.040741577999</v>
      </c>
      <c r="J92" s="367">
        <f t="shared" si="40"/>
        <v>14267.282734042543</v>
      </c>
      <c r="K92" s="367">
        <f t="shared" si="40"/>
        <v>26156.685012411326</v>
      </c>
      <c r="L92" s="367">
        <f t="shared" si="40"/>
        <v>24967.74478457445</v>
      </c>
      <c r="M92" s="367">
        <f t="shared" si="40"/>
        <v>24967.74478457445</v>
      </c>
      <c r="N92" s="367">
        <f t="shared" si="40"/>
        <v>11106.638463209212</v>
      </c>
      <c r="O92" s="359">
        <f t="shared" ref="O92:O97" si="41">SUM(C92:N92)</f>
        <v>272831.49715130002</v>
      </c>
      <c r="Q92" s="525">
        <f t="shared" si="39"/>
        <v>25281.683133711202</v>
      </c>
    </row>
    <row r="93" spans="1:17" ht="16" x14ac:dyDescent="0.2">
      <c r="B93" s="355" t="s">
        <v>44</v>
      </c>
      <c r="C93" s="367">
        <f t="shared" si="40"/>
        <v>21283.370909574449</v>
      </c>
      <c r="D93" s="367">
        <f t="shared" si="40"/>
        <v>23648.189899527169</v>
      </c>
      <c r="E93" s="367">
        <f t="shared" si="40"/>
        <v>27345.625240248206</v>
      </c>
      <c r="F93" s="367">
        <f t="shared" si="40"/>
        <v>24967.74478457445</v>
      </c>
      <c r="G93" s="367">
        <f t="shared" si="40"/>
        <v>24967.74478457445</v>
      </c>
      <c r="H93" s="367">
        <f t="shared" si="40"/>
        <v>26156.685012411326</v>
      </c>
      <c r="I93" s="367">
        <f t="shared" si="40"/>
        <v>22996.040741577999</v>
      </c>
      <c r="J93" s="367">
        <f t="shared" si="40"/>
        <v>14267.282734042543</v>
      </c>
      <c r="K93" s="367">
        <f t="shared" si="40"/>
        <v>26156.685012411326</v>
      </c>
      <c r="L93" s="367">
        <f t="shared" si="40"/>
        <v>24967.74478457445</v>
      </c>
      <c r="M93" s="367">
        <f t="shared" si="40"/>
        <v>24967.74478457445</v>
      </c>
      <c r="N93" s="367">
        <f t="shared" si="40"/>
        <v>11106.638463209212</v>
      </c>
      <c r="O93" s="359">
        <f t="shared" si="41"/>
        <v>272831.49715130002</v>
      </c>
      <c r="Q93" s="525">
        <f t="shared" si="39"/>
        <v>25281.683133711202</v>
      </c>
    </row>
    <row r="94" spans="1:17" ht="16" x14ac:dyDescent="0.2">
      <c r="B94" s="355" t="s">
        <v>577</v>
      </c>
      <c r="C94" s="367">
        <f t="shared" si="40"/>
        <v>60810.84736283611</v>
      </c>
      <c r="D94" s="367">
        <f>D16+D25+D43+D52+D77+D34+D85</f>
        <v>68279.247870138293</v>
      </c>
      <c r="E94" s="367">
        <f t="shared" si="40"/>
        <v>78131.920436437169</v>
      </c>
      <c r="F94" s="367">
        <f t="shared" si="40"/>
        <v>71337.840398486092</v>
      </c>
      <c r="G94" s="367">
        <f t="shared" si="40"/>
        <v>71337.840398486092</v>
      </c>
      <c r="H94" s="367">
        <f t="shared" si="40"/>
        <v>74734.880417461638</v>
      </c>
      <c r="I94" s="367">
        <f t="shared" si="40"/>
        <v>65704.287606836646</v>
      </c>
      <c r="J94" s="367">
        <f t="shared" si="40"/>
        <v>40764.480227706343</v>
      </c>
      <c r="K94" s="367">
        <f t="shared" si="40"/>
        <v>74734.880417461638</v>
      </c>
      <c r="L94" s="367">
        <f t="shared" si="40"/>
        <v>71337.840398486092</v>
      </c>
      <c r="M94" s="367">
        <f t="shared" si="40"/>
        <v>71337.840398486092</v>
      </c>
      <c r="N94" s="367">
        <f t="shared" si="40"/>
        <v>31733.887417081351</v>
      </c>
      <c r="O94" s="359">
        <f t="shared" si="41"/>
        <v>780245.79334990366</v>
      </c>
      <c r="Q94" s="525">
        <f t="shared" si="39"/>
        <v>72234.825049639621</v>
      </c>
    </row>
    <row r="95" spans="1:17" ht="16" x14ac:dyDescent="0.2">
      <c r="B95" s="355" t="s">
        <v>578</v>
      </c>
      <c r="C95" s="367">
        <f t="shared" si="40"/>
        <v>5067.5706135696837</v>
      </c>
      <c r="D95" s="367">
        <f t="shared" si="40"/>
        <v>5630.6340150774267</v>
      </c>
      <c r="E95" s="367">
        <f t="shared" si="40"/>
        <v>6510.9933697031065</v>
      </c>
      <c r="F95" s="367">
        <f t="shared" si="40"/>
        <v>5944.8200332071847</v>
      </c>
      <c r="G95" s="367">
        <f t="shared" si="40"/>
        <v>5944.8200332071847</v>
      </c>
      <c r="H95" s="367">
        <f t="shared" si="40"/>
        <v>6227.9067014551456</v>
      </c>
      <c r="I95" s="367">
        <f t="shared" si="40"/>
        <v>5475.357300569729</v>
      </c>
      <c r="J95" s="367">
        <f t="shared" si="40"/>
        <v>3397.0400189755346</v>
      </c>
      <c r="K95" s="367">
        <f t="shared" si="40"/>
        <v>6227.9067014551456</v>
      </c>
      <c r="L95" s="367">
        <f t="shared" si="40"/>
        <v>5944.8200332071847</v>
      </c>
      <c r="M95" s="367">
        <f t="shared" si="40"/>
        <v>5944.8200332071847</v>
      </c>
      <c r="N95" s="367">
        <f t="shared" si="40"/>
        <v>2644.4906180901171</v>
      </c>
      <c r="O95" s="359">
        <f t="shared" si="41"/>
        <v>64961.17947172463</v>
      </c>
      <c r="Q95" s="525">
        <f t="shared" si="39"/>
        <v>6019.5687541366442</v>
      </c>
    </row>
    <row r="96" spans="1:17" ht="16" x14ac:dyDescent="0.2">
      <c r="B96" s="355" t="s">
        <v>579</v>
      </c>
      <c r="C96" s="367">
        <f t="shared" si="40"/>
        <v>5067.5706135696837</v>
      </c>
      <c r="D96" s="367">
        <f t="shared" si="40"/>
        <v>5630.6340150774267</v>
      </c>
      <c r="E96" s="367">
        <f t="shared" si="40"/>
        <v>6510.9933697031065</v>
      </c>
      <c r="F96" s="367">
        <f t="shared" si="40"/>
        <v>5944.8200332071847</v>
      </c>
      <c r="G96" s="367">
        <f t="shared" si="40"/>
        <v>5944.8200332071847</v>
      </c>
      <c r="H96" s="367">
        <f t="shared" si="40"/>
        <v>6227.9067014551456</v>
      </c>
      <c r="I96" s="367">
        <f t="shared" si="40"/>
        <v>5475.357300569729</v>
      </c>
      <c r="J96" s="367">
        <f t="shared" si="40"/>
        <v>3397.0400189755346</v>
      </c>
      <c r="K96" s="367">
        <f t="shared" si="40"/>
        <v>6227.9067014551456</v>
      </c>
      <c r="L96" s="367">
        <f t="shared" si="40"/>
        <v>5944.8200332071847</v>
      </c>
      <c r="M96" s="367">
        <f t="shared" si="40"/>
        <v>5944.8200332071847</v>
      </c>
      <c r="N96" s="367">
        <f t="shared" si="40"/>
        <v>2644.4906180901171</v>
      </c>
      <c r="O96" s="359">
        <f t="shared" si="41"/>
        <v>64961.17947172463</v>
      </c>
      <c r="Q96" s="525">
        <f t="shared" si="39"/>
        <v>6019.5687541366442</v>
      </c>
    </row>
    <row r="97" spans="2:17" ht="17" thickBot="1" x14ac:dyDescent="0.25">
      <c r="B97" s="355" t="s">
        <v>47</v>
      </c>
      <c r="C97" s="367">
        <f t="shared" si="40"/>
        <v>18918.551919621783</v>
      </c>
      <c r="D97" s="367">
        <f t="shared" si="40"/>
        <v>21210.380032477577</v>
      </c>
      <c r="E97" s="367">
        <f t="shared" si="40"/>
        <v>24307.222435776246</v>
      </c>
      <c r="F97" s="367">
        <f t="shared" si="40"/>
        <v>22193.55091962179</v>
      </c>
      <c r="G97" s="367">
        <f t="shared" si="40"/>
        <v>22193.55091962179</v>
      </c>
      <c r="H97" s="367">
        <f t="shared" si="40"/>
        <v>23250.386677699018</v>
      </c>
      <c r="I97" s="367">
        <f t="shared" si="40"/>
        <v>20440.925103624937</v>
      </c>
      <c r="J97" s="367">
        <f t="shared" si="40"/>
        <v>12682.029096926735</v>
      </c>
      <c r="K97" s="367">
        <f t="shared" si="40"/>
        <v>23250.386677699018</v>
      </c>
      <c r="L97" s="367">
        <f t="shared" si="40"/>
        <v>22193.55091962179</v>
      </c>
      <c r="M97" s="367">
        <f t="shared" si="40"/>
        <v>22193.55091962179</v>
      </c>
      <c r="N97" s="367">
        <f t="shared" si="40"/>
        <v>9872.5675228526561</v>
      </c>
      <c r="O97" s="359">
        <f t="shared" si="41"/>
        <v>242706.6531451651</v>
      </c>
      <c r="Q97" s="525">
        <f t="shared" si="39"/>
        <v>22472.607229965564</v>
      </c>
    </row>
    <row r="98" spans="2:17" ht="17" thickBot="1" x14ac:dyDescent="0.2">
      <c r="B98" s="356" t="s">
        <v>572</v>
      </c>
      <c r="C98" s="312">
        <f t="shared" ref="C98:O98" si="42">SUM(C91:C97)</f>
        <v>387831.73324364005</v>
      </c>
      <c r="D98" s="312">
        <f t="shared" si="42"/>
        <v>434814.38144429226</v>
      </c>
      <c r="E98" s="312">
        <f t="shared" si="42"/>
        <v>498299.88297509513</v>
      </c>
      <c r="F98" s="312">
        <f t="shared" si="42"/>
        <v>454969.45836856501</v>
      </c>
      <c r="G98" s="312">
        <f t="shared" si="42"/>
        <v>454969.45836856501</v>
      </c>
      <c r="H98" s="312">
        <f t="shared" si="42"/>
        <v>476634.67067182995</v>
      </c>
      <c r="I98" s="312">
        <f t="shared" si="42"/>
        <v>419040.49769369338</v>
      </c>
      <c r="J98" s="312">
        <f t="shared" si="42"/>
        <v>259982.54763918006</v>
      </c>
      <c r="K98" s="312">
        <f t="shared" si="42"/>
        <v>476634.67067182995</v>
      </c>
      <c r="L98" s="312">
        <f t="shared" si="42"/>
        <v>454969.45836856501</v>
      </c>
      <c r="M98" s="312">
        <f t="shared" si="42"/>
        <v>454969.45836856501</v>
      </c>
      <c r="N98" s="312">
        <f t="shared" si="42"/>
        <v>202388.37466104343</v>
      </c>
      <c r="O98" s="360">
        <f t="shared" si="42"/>
        <v>4975504.5924748639</v>
      </c>
      <c r="Q98" s="522">
        <f>SUM(Q91:Q97)</f>
        <v>460690.13365983579</v>
      </c>
    </row>
    <row r="101" spans="2:17" x14ac:dyDescent="0.15">
      <c r="B101" s="331" t="s">
        <v>786</v>
      </c>
    </row>
    <row r="102" spans="2:17" ht="14" thickBot="1" x14ac:dyDescent="0.2"/>
    <row r="103" spans="2:17" s="3" customFormat="1" ht="16" x14ac:dyDescent="0.2">
      <c r="B103" s="229"/>
      <c r="C103" s="695" t="s">
        <v>98</v>
      </c>
      <c r="D103" s="653"/>
      <c r="E103" s="653"/>
      <c r="F103" s="653"/>
      <c r="G103" s="653"/>
      <c r="H103" s="653"/>
      <c r="I103" s="653"/>
      <c r="J103" s="653"/>
      <c r="K103" s="653"/>
      <c r="L103" s="653"/>
      <c r="M103" s="653"/>
      <c r="N103" s="653"/>
      <c r="O103" s="654"/>
    </row>
    <row r="104" spans="2:17" s="3" customFormat="1" ht="16" x14ac:dyDescent="0.2">
      <c r="B104" s="141"/>
      <c r="C104" s="236" t="s">
        <v>113</v>
      </c>
      <c r="D104" s="236" t="s">
        <v>114</v>
      </c>
      <c r="E104" s="236" t="s">
        <v>115</v>
      </c>
      <c r="F104" s="236" t="s">
        <v>116</v>
      </c>
      <c r="G104" s="236" t="s">
        <v>117</v>
      </c>
      <c r="H104" s="236" t="s">
        <v>118</v>
      </c>
      <c r="I104" s="236" t="s">
        <v>119</v>
      </c>
      <c r="J104" s="236" t="s">
        <v>120</v>
      </c>
      <c r="K104" s="236" t="s">
        <v>121</v>
      </c>
      <c r="L104" s="236" t="s">
        <v>122</v>
      </c>
      <c r="M104" s="236" t="s">
        <v>123</v>
      </c>
      <c r="N104" s="236" t="s">
        <v>124</v>
      </c>
      <c r="O104" s="241" t="s">
        <v>81</v>
      </c>
    </row>
    <row r="105" spans="2:17" s="3" customFormat="1" ht="16" x14ac:dyDescent="0.2">
      <c r="B105" s="196" t="s">
        <v>787</v>
      </c>
      <c r="C105" s="106">
        <v>20</v>
      </c>
      <c r="D105" s="106">
        <v>20</v>
      </c>
      <c r="E105" s="106">
        <v>23</v>
      </c>
      <c r="F105" s="106">
        <v>21</v>
      </c>
      <c r="G105" s="106">
        <v>21</v>
      </c>
      <c r="H105" s="106">
        <v>22</v>
      </c>
      <c r="I105" s="106">
        <v>22</v>
      </c>
      <c r="J105" s="106">
        <v>22</v>
      </c>
      <c r="K105" s="106">
        <v>22</v>
      </c>
      <c r="L105" s="106">
        <v>21</v>
      </c>
      <c r="M105" s="106">
        <v>21</v>
      </c>
      <c r="N105" s="106">
        <v>24</v>
      </c>
      <c r="O105" s="237">
        <f>SUM(C105:N105)</f>
        <v>259</v>
      </c>
    </row>
    <row r="106" spans="2:17" s="3" customFormat="1" ht="16" x14ac:dyDescent="0.2">
      <c r="B106" s="363" t="s">
        <v>582</v>
      </c>
      <c r="C106" s="106">
        <v>2</v>
      </c>
      <c r="D106" s="106">
        <v>0</v>
      </c>
      <c r="E106" s="106">
        <v>0</v>
      </c>
      <c r="F106" s="106">
        <v>0</v>
      </c>
      <c r="G106" s="106">
        <v>0</v>
      </c>
      <c r="H106" s="106">
        <v>0</v>
      </c>
      <c r="I106" s="106">
        <v>0</v>
      </c>
      <c r="J106" s="106">
        <v>10</v>
      </c>
      <c r="K106" s="106">
        <v>0</v>
      </c>
      <c r="L106" s="106">
        <v>0</v>
      </c>
      <c r="M106" s="106">
        <v>0</v>
      </c>
      <c r="N106" s="106">
        <v>12</v>
      </c>
      <c r="O106" s="237">
        <f>SUM(C106:N106)</f>
        <v>24</v>
      </c>
    </row>
    <row r="107" spans="2:17" s="3" customFormat="1" ht="16" x14ac:dyDescent="0.2">
      <c r="B107" s="363" t="s">
        <v>743</v>
      </c>
      <c r="C107" s="529">
        <f>(C105-C106)*'All. 2'!$F$9</f>
        <v>1.0723404255319149</v>
      </c>
      <c r="D107" s="529">
        <f>(D105-D106)*'All. 2'!$F$9</f>
        <v>1.1914893617021276</v>
      </c>
      <c r="E107" s="529">
        <f>(E105-E106)*'All. 2'!$F$9</f>
        <v>1.3702127659574468</v>
      </c>
      <c r="F107" s="529">
        <f>(F105-F106)*'All. 2'!$F$9</f>
        <v>1.2510638297872341</v>
      </c>
      <c r="G107" s="529">
        <f>(G105-G106)*'All. 2'!$F$9</f>
        <v>1.2510638297872341</v>
      </c>
      <c r="H107" s="529">
        <f>(H105-H106)*'All. 2'!$F$9</f>
        <v>1.3106382978723405</v>
      </c>
      <c r="I107" s="529">
        <f>(I105-I106)*'All. 2'!$F$9</f>
        <v>1.3106382978723405</v>
      </c>
      <c r="J107" s="529">
        <f>(J105-J106)*'All. 2'!$F$9</f>
        <v>0.71489361702127663</v>
      </c>
      <c r="K107" s="529">
        <f>(K105-K106)*'All. 2'!$F$9</f>
        <v>1.3106382978723405</v>
      </c>
      <c r="L107" s="529">
        <f>(L105-L106)*'All. 2'!$F$9</f>
        <v>1.2510638297872341</v>
      </c>
      <c r="M107" s="529">
        <f>(M105-M106)*'All. 2'!$F$9</f>
        <v>1.2510638297872341</v>
      </c>
      <c r="N107" s="529">
        <f>(N105-N106)*'All. 2'!$F$9</f>
        <v>0.71489361702127663</v>
      </c>
      <c r="O107" s="237">
        <f>SUM(C107:N107)</f>
        <v>14.000000000000004</v>
      </c>
    </row>
    <row r="108" spans="2:17" s="3" customFormat="1" ht="17" thickBot="1" x14ac:dyDescent="0.25">
      <c r="B108" s="363" t="s">
        <v>744</v>
      </c>
      <c r="C108" s="106"/>
      <c r="D108" s="106"/>
      <c r="E108" s="106"/>
      <c r="F108" s="106"/>
      <c r="G108" s="106"/>
      <c r="H108" s="106"/>
      <c r="I108" s="106">
        <v>2.5</v>
      </c>
      <c r="J108" s="106"/>
      <c r="K108" s="106"/>
      <c r="L108" s="106"/>
      <c r="M108" s="106"/>
      <c r="N108" s="106">
        <v>2.5</v>
      </c>
      <c r="O108" s="237">
        <f>SUM(C108:N108)</f>
        <v>5</v>
      </c>
    </row>
    <row r="109" spans="2:17" s="3" customFormat="1" ht="17" thickBot="1" x14ac:dyDescent="0.25">
      <c r="B109" s="364" t="s">
        <v>788</v>
      </c>
      <c r="C109" s="530">
        <f>C105-SUM(C106:C108)</f>
        <v>16.927659574468084</v>
      </c>
      <c r="D109" s="530">
        <f t="shared" ref="D109:N109" si="43">D105-SUM(D106:D108)</f>
        <v>18.808510638297872</v>
      </c>
      <c r="E109" s="530">
        <f t="shared" si="43"/>
        <v>21.629787234042553</v>
      </c>
      <c r="F109" s="530">
        <f t="shared" si="43"/>
        <v>19.748936170212765</v>
      </c>
      <c r="G109" s="530">
        <f t="shared" si="43"/>
        <v>19.748936170212765</v>
      </c>
      <c r="H109" s="530">
        <f t="shared" si="43"/>
        <v>20.689361702127659</v>
      </c>
      <c r="I109" s="530">
        <f t="shared" si="43"/>
        <v>18.189361702127659</v>
      </c>
      <c r="J109" s="530">
        <f t="shared" si="43"/>
        <v>11.285106382978723</v>
      </c>
      <c r="K109" s="530">
        <f t="shared" si="43"/>
        <v>20.689361702127659</v>
      </c>
      <c r="L109" s="530">
        <f t="shared" si="43"/>
        <v>19.748936170212765</v>
      </c>
      <c r="M109" s="530">
        <f t="shared" si="43"/>
        <v>19.748936170212765</v>
      </c>
      <c r="N109" s="530">
        <f t="shared" si="43"/>
        <v>8.7851063829787233</v>
      </c>
      <c r="O109" s="531">
        <f>O105-SUM(O106:O108)</f>
        <v>216</v>
      </c>
    </row>
    <row r="110" spans="2:17" s="3" customFormat="1" ht="16" x14ac:dyDescent="0.2">
      <c r="B110" s="337"/>
      <c r="C110" s="16"/>
      <c r="O110" s="358"/>
    </row>
    <row r="111" spans="2:17" s="3" customFormat="1" ht="16" x14ac:dyDescent="0.2">
      <c r="B111" s="348" t="s">
        <v>370</v>
      </c>
      <c r="C111" s="16"/>
      <c r="O111" s="358"/>
    </row>
    <row r="112" spans="2:17" s="3" customFormat="1" ht="16" x14ac:dyDescent="0.2">
      <c r="B112" s="337" t="s">
        <v>576</v>
      </c>
      <c r="C112" s="365">
        <f>+C13+C14+C15</f>
        <v>9653.5113185579194</v>
      </c>
      <c r="D112" s="365">
        <f t="shared" ref="D112:N112" si="44">+D13+D14+D15</f>
        <v>10726.123687286576</v>
      </c>
      <c r="E112" s="365">
        <f t="shared" si="44"/>
        <v>12335.042240379562</v>
      </c>
      <c r="F112" s="365">
        <f t="shared" si="44"/>
        <v>11262.429871650906</v>
      </c>
      <c r="G112" s="365">
        <f t="shared" si="44"/>
        <v>11262.429871650906</v>
      </c>
      <c r="H112" s="365">
        <f t="shared" si="44"/>
        <v>11798.736056015236</v>
      </c>
      <c r="I112" s="365">
        <f t="shared" si="44"/>
        <v>10373.035226539927</v>
      </c>
      <c r="J112" s="365">
        <f t="shared" si="44"/>
        <v>6435.6742123719469</v>
      </c>
      <c r="K112" s="365">
        <f t="shared" si="44"/>
        <v>11798.736056015236</v>
      </c>
      <c r="L112" s="365">
        <f t="shared" si="44"/>
        <v>11262.429871650906</v>
      </c>
      <c r="M112" s="365">
        <f t="shared" si="44"/>
        <v>11262.429871650906</v>
      </c>
      <c r="N112" s="365">
        <f t="shared" si="44"/>
        <v>5009.9733828966382</v>
      </c>
      <c r="O112" s="359">
        <f>SUM(C112:N112)</f>
        <v>123180.55166666667</v>
      </c>
    </row>
    <row r="113" spans="2:15" s="3" customFormat="1" ht="16" x14ac:dyDescent="0.2">
      <c r="B113" s="337" t="s">
        <v>577</v>
      </c>
      <c r="C113" s="365">
        <f t="shared" ref="C113:N113" si="45">+C16+C17+C18</f>
        <v>2298.5010449486404</v>
      </c>
      <c r="D113" s="365">
        <f t="shared" si="45"/>
        <v>2553.8900499429342</v>
      </c>
      <c r="E113" s="365">
        <f t="shared" si="45"/>
        <v>2936.973557434374</v>
      </c>
      <c r="F113" s="365">
        <f t="shared" si="45"/>
        <v>2681.5845524400811</v>
      </c>
      <c r="G113" s="365">
        <f t="shared" si="45"/>
        <v>2681.5845524400811</v>
      </c>
      <c r="H113" s="365">
        <f t="shared" si="45"/>
        <v>2809.2790549372276</v>
      </c>
      <c r="I113" s="365">
        <f t="shared" si="45"/>
        <v>2469.819687439157</v>
      </c>
      <c r="J113" s="365">
        <f t="shared" si="45"/>
        <v>1532.3340299657602</v>
      </c>
      <c r="K113" s="365">
        <f t="shared" si="45"/>
        <v>2809.2790549372276</v>
      </c>
      <c r="L113" s="365">
        <f t="shared" si="45"/>
        <v>2681.5845524400811</v>
      </c>
      <c r="M113" s="365">
        <f t="shared" si="45"/>
        <v>2681.5845524400811</v>
      </c>
      <c r="N113" s="365">
        <f t="shared" si="45"/>
        <v>1192.8746624676894</v>
      </c>
      <c r="O113" s="359">
        <f>SUM(C113:N113)</f>
        <v>29329.289351833333</v>
      </c>
    </row>
    <row r="114" spans="2:15" s="3" customFormat="1" ht="17" thickBot="1" x14ac:dyDescent="0.25">
      <c r="B114" s="337" t="s">
        <v>47</v>
      </c>
      <c r="C114" s="365">
        <f>+C19</f>
        <v>612.92135355923301</v>
      </c>
      <c r="D114" s="365">
        <f t="shared" ref="D114:N114" si="46">+D19</f>
        <v>681.02372617692561</v>
      </c>
      <c r="E114" s="365">
        <f t="shared" si="46"/>
        <v>783.17728510346444</v>
      </c>
      <c r="F114" s="365">
        <f t="shared" si="46"/>
        <v>715.07491248577185</v>
      </c>
      <c r="G114" s="365">
        <f t="shared" si="46"/>
        <v>715.07491248577185</v>
      </c>
      <c r="H114" s="365">
        <f t="shared" si="46"/>
        <v>749.1260987946182</v>
      </c>
      <c r="I114" s="365">
        <f t="shared" si="46"/>
        <v>658.60541120888422</v>
      </c>
      <c r="J114" s="365">
        <f t="shared" si="46"/>
        <v>408.61423570615534</v>
      </c>
      <c r="K114" s="365">
        <f t="shared" si="46"/>
        <v>749.1260987946182</v>
      </c>
      <c r="L114" s="365">
        <f t="shared" si="46"/>
        <v>715.07491248577185</v>
      </c>
      <c r="M114" s="365">
        <f t="shared" si="46"/>
        <v>715.07491248577185</v>
      </c>
      <c r="N114" s="365">
        <f t="shared" si="46"/>
        <v>318.09354812042147</v>
      </c>
      <c r="O114" s="359">
        <f>SUM(C114:N114)</f>
        <v>7820.9874074074078</v>
      </c>
    </row>
    <row r="115" spans="2:15" s="3" customFormat="1" ht="17" thickBot="1" x14ac:dyDescent="0.25">
      <c r="B115" s="349" t="s">
        <v>3</v>
      </c>
      <c r="C115" s="303">
        <f t="shared" ref="C115:O115" si="47">SUM(C112:C114)</f>
        <v>12564.933717065793</v>
      </c>
      <c r="D115" s="303">
        <f t="shared" si="47"/>
        <v>13961.037463406436</v>
      </c>
      <c r="E115" s="303">
        <f t="shared" si="47"/>
        <v>16055.1930829174</v>
      </c>
      <c r="F115" s="303">
        <f t="shared" si="47"/>
        <v>14659.089336576759</v>
      </c>
      <c r="G115" s="303">
        <f t="shared" si="47"/>
        <v>14659.089336576759</v>
      </c>
      <c r="H115" s="303">
        <f t="shared" si="47"/>
        <v>15357.141209747082</v>
      </c>
      <c r="I115" s="303">
        <f t="shared" si="47"/>
        <v>13501.460325187969</v>
      </c>
      <c r="J115" s="303">
        <f t="shared" si="47"/>
        <v>8376.6224780438624</v>
      </c>
      <c r="K115" s="303">
        <f t="shared" si="47"/>
        <v>15357.141209747082</v>
      </c>
      <c r="L115" s="303">
        <f t="shared" si="47"/>
        <v>14659.089336576759</v>
      </c>
      <c r="M115" s="303">
        <f t="shared" si="47"/>
        <v>14659.089336576759</v>
      </c>
      <c r="N115" s="303">
        <f t="shared" si="47"/>
        <v>6520.9415934847493</v>
      </c>
      <c r="O115" s="360">
        <f t="shared" si="47"/>
        <v>160330.82842590741</v>
      </c>
    </row>
    <row r="116" spans="2:15" s="3" customFormat="1" ht="16" x14ac:dyDescent="0.2">
      <c r="B116" s="348" t="s">
        <v>557</v>
      </c>
      <c r="C116" s="365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359"/>
    </row>
    <row r="117" spans="2:15" s="3" customFormat="1" ht="16" x14ac:dyDescent="0.2">
      <c r="B117" s="337" t="s">
        <v>576</v>
      </c>
      <c r="C117" s="365">
        <f t="shared" ref="C117:N117" si="48">+C22+C23+C24</f>
        <v>10673.649016548461</v>
      </c>
      <c r="D117" s="365">
        <f t="shared" si="48"/>
        <v>11859.61001838718</v>
      </c>
      <c r="E117" s="365">
        <f t="shared" si="48"/>
        <v>13638.551521145258</v>
      </c>
      <c r="F117" s="365">
        <f t="shared" si="48"/>
        <v>12452.590519306539</v>
      </c>
      <c r="G117" s="365">
        <f t="shared" si="48"/>
        <v>12452.590519306539</v>
      </c>
      <c r="H117" s="365">
        <f t="shared" si="48"/>
        <v>13045.5710202259</v>
      </c>
      <c r="I117" s="365">
        <f t="shared" si="48"/>
        <v>11469.208828867875</v>
      </c>
      <c r="J117" s="365">
        <f t="shared" si="48"/>
        <v>7115.7660110323086</v>
      </c>
      <c r="K117" s="365">
        <f t="shared" si="48"/>
        <v>13045.5710202259</v>
      </c>
      <c r="L117" s="365">
        <f t="shared" si="48"/>
        <v>12452.590519306539</v>
      </c>
      <c r="M117" s="365">
        <f t="shared" si="48"/>
        <v>12452.590519306539</v>
      </c>
      <c r="N117" s="365">
        <f t="shared" si="48"/>
        <v>5539.4038196742831</v>
      </c>
      <c r="O117" s="359">
        <f>SUM(C117:N117)</f>
        <v>136197.69333333333</v>
      </c>
    </row>
    <row r="118" spans="2:15" s="3" customFormat="1" ht="16" x14ac:dyDescent="0.2">
      <c r="B118" s="337" t="s">
        <v>577</v>
      </c>
      <c r="C118" s="365">
        <f t="shared" ref="C118:N118" si="49">+C25+C26+C27</f>
        <v>2541.3958308401889</v>
      </c>
      <c r="D118" s="365">
        <f t="shared" si="49"/>
        <v>2823.7731453779879</v>
      </c>
      <c r="E118" s="365">
        <f t="shared" si="49"/>
        <v>3247.3391171846861</v>
      </c>
      <c r="F118" s="365">
        <f t="shared" si="49"/>
        <v>2964.961802646887</v>
      </c>
      <c r="G118" s="365">
        <f t="shared" si="49"/>
        <v>2964.961802646887</v>
      </c>
      <c r="H118" s="365">
        <f t="shared" si="49"/>
        <v>3106.1504599157861</v>
      </c>
      <c r="I118" s="365">
        <f t="shared" si="49"/>
        <v>2730.8186221534406</v>
      </c>
      <c r="J118" s="365">
        <f t="shared" si="49"/>
        <v>1694.2638872267926</v>
      </c>
      <c r="K118" s="365">
        <f t="shared" si="49"/>
        <v>3106.1504599157861</v>
      </c>
      <c r="L118" s="365">
        <f t="shared" si="49"/>
        <v>2964.961802646887</v>
      </c>
      <c r="M118" s="365">
        <f t="shared" si="49"/>
        <v>2964.961802646887</v>
      </c>
      <c r="N118" s="365">
        <f t="shared" si="49"/>
        <v>1318.9320494644469</v>
      </c>
      <c r="O118" s="359">
        <f>SUM(C118:N118)</f>
        <v>32428.670782666664</v>
      </c>
    </row>
    <row r="119" spans="2:15" s="3" customFormat="1" ht="17" thickBot="1" x14ac:dyDescent="0.25">
      <c r="B119" s="337" t="s">
        <v>47</v>
      </c>
      <c r="C119" s="365">
        <f>+C28</f>
        <v>677.69200105069604</v>
      </c>
      <c r="D119" s="365">
        <f t="shared" ref="D119:N119" si="50">+D28</f>
        <v>752.99111227855121</v>
      </c>
      <c r="E119" s="365">
        <f t="shared" si="50"/>
        <v>865.93977912033392</v>
      </c>
      <c r="F119" s="365">
        <f t="shared" si="50"/>
        <v>790.64066789247875</v>
      </c>
      <c r="G119" s="365">
        <f t="shared" si="50"/>
        <v>790.64066789247875</v>
      </c>
      <c r="H119" s="365">
        <f t="shared" si="50"/>
        <v>828.29022350640639</v>
      </c>
      <c r="I119" s="365">
        <f t="shared" si="50"/>
        <v>728.2037351662143</v>
      </c>
      <c r="J119" s="365">
        <f t="shared" si="50"/>
        <v>451.79466736713073</v>
      </c>
      <c r="K119" s="365">
        <f t="shared" si="50"/>
        <v>828.29022350640639</v>
      </c>
      <c r="L119" s="365">
        <f t="shared" si="50"/>
        <v>790.64066789247875</v>
      </c>
      <c r="M119" s="365">
        <f t="shared" si="50"/>
        <v>790.64066789247875</v>
      </c>
      <c r="N119" s="365">
        <f t="shared" si="50"/>
        <v>351.70817902693869</v>
      </c>
      <c r="O119" s="359">
        <f>SUM(C119:N119)</f>
        <v>8647.4725925925923</v>
      </c>
    </row>
    <row r="120" spans="2:15" s="3" customFormat="1" ht="17" thickBot="1" x14ac:dyDescent="0.25">
      <c r="B120" s="349" t="s">
        <v>3</v>
      </c>
      <c r="C120" s="303">
        <f t="shared" ref="C120:O120" si="51">SUM(C117:C119)</f>
        <v>13892.736848439346</v>
      </c>
      <c r="D120" s="303">
        <f t="shared" si="51"/>
        <v>15436.374276043718</v>
      </c>
      <c r="E120" s="303">
        <f t="shared" si="51"/>
        <v>17751.830417450277</v>
      </c>
      <c r="F120" s="303">
        <f t="shared" si="51"/>
        <v>16208.192989845906</v>
      </c>
      <c r="G120" s="303">
        <f t="shared" si="51"/>
        <v>16208.192989845906</v>
      </c>
      <c r="H120" s="303">
        <f t="shared" si="51"/>
        <v>16980.011703648091</v>
      </c>
      <c r="I120" s="303">
        <f t="shared" si="51"/>
        <v>14928.231186187531</v>
      </c>
      <c r="J120" s="303">
        <f t="shared" si="51"/>
        <v>9261.8245656262316</v>
      </c>
      <c r="K120" s="303">
        <f t="shared" si="51"/>
        <v>16980.011703648091</v>
      </c>
      <c r="L120" s="303">
        <f t="shared" si="51"/>
        <v>16208.192989845906</v>
      </c>
      <c r="M120" s="303">
        <f t="shared" si="51"/>
        <v>16208.192989845906</v>
      </c>
      <c r="N120" s="303">
        <f t="shared" si="51"/>
        <v>7210.0440481656688</v>
      </c>
      <c r="O120" s="360">
        <f t="shared" si="51"/>
        <v>177273.83670859257</v>
      </c>
    </row>
    <row r="121" spans="2:15" s="3" customFormat="1" ht="16" x14ac:dyDescent="0.2">
      <c r="B121" s="348" t="s">
        <v>726</v>
      </c>
      <c r="C121" s="365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359"/>
    </row>
    <row r="122" spans="2:15" s="3" customFormat="1" ht="16" x14ac:dyDescent="0.2">
      <c r="B122" s="337" t="s">
        <v>576</v>
      </c>
      <c r="C122" s="365">
        <f t="shared" ref="C122:N122" si="52">+C31+C32+C33+C82</f>
        <v>155185.55045330996</v>
      </c>
      <c r="D122" s="365">
        <f t="shared" si="52"/>
        <v>175417.21631070724</v>
      </c>
      <c r="E122" s="365">
        <f t="shared" si="52"/>
        <v>198292.64780145159</v>
      </c>
      <c r="F122" s="365">
        <f t="shared" si="52"/>
        <v>181049.80886219491</v>
      </c>
      <c r="G122" s="365">
        <f t="shared" si="52"/>
        <v>181049.80886219491</v>
      </c>
      <c r="H122" s="365">
        <f t="shared" si="52"/>
        <v>189671.22833182322</v>
      </c>
      <c r="I122" s="365">
        <f t="shared" si="52"/>
        <v>166752.29648382938</v>
      </c>
      <c r="J122" s="365">
        <f t="shared" si="52"/>
        <v>103457.03363553995</v>
      </c>
      <c r="K122" s="365">
        <f t="shared" si="52"/>
        <v>189671.22833182322</v>
      </c>
      <c r="L122" s="365">
        <f t="shared" si="52"/>
        <v>181049.80886219491</v>
      </c>
      <c r="M122" s="365">
        <f t="shared" si="52"/>
        <v>181049.80886219491</v>
      </c>
      <c r="N122" s="365">
        <f t="shared" si="52"/>
        <v>80538.101787546097</v>
      </c>
      <c r="O122" s="359">
        <f>SUM(C122:N122)</f>
        <v>1983184.5385848102</v>
      </c>
    </row>
    <row r="123" spans="2:15" s="3" customFormat="1" ht="16" x14ac:dyDescent="0.2">
      <c r="B123" s="337" t="s">
        <v>577</v>
      </c>
      <c r="C123" s="365">
        <f t="shared" ref="C123:N123" si="53">+C34+C35+C36+C85</f>
        <v>36949.679562932986</v>
      </c>
      <c r="D123" s="365">
        <f t="shared" si="53"/>
        <v>41766.839203579279</v>
      </c>
      <c r="E123" s="365">
        <f t="shared" si="53"/>
        <v>47213.479441525487</v>
      </c>
      <c r="F123" s="365">
        <f t="shared" si="53"/>
        <v>43107.959490088484</v>
      </c>
      <c r="G123" s="365">
        <f t="shared" si="53"/>
        <v>43107.959490088484</v>
      </c>
      <c r="H123" s="365">
        <f t="shared" si="53"/>
        <v>45160.719465806986</v>
      </c>
      <c r="I123" s="365">
        <f t="shared" si="53"/>
        <v>39703.721792799661</v>
      </c>
      <c r="J123" s="365">
        <f t="shared" si="53"/>
        <v>24633.119708621991</v>
      </c>
      <c r="K123" s="365">
        <f t="shared" si="53"/>
        <v>45160.719465806986</v>
      </c>
      <c r="L123" s="365">
        <f t="shared" si="53"/>
        <v>43107.959490088484</v>
      </c>
      <c r="M123" s="365">
        <f t="shared" si="53"/>
        <v>43107.959490088484</v>
      </c>
      <c r="N123" s="365">
        <f t="shared" si="53"/>
        <v>19176.12203561467</v>
      </c>
      <c r="O123" s="359">
        <f>SUM(C123:N123)</f>
        <v>472196.238637042</v>
      </c>
    </row>
    <row r="124" spans="2:15" s="3" customFormat="1" ht="17" thickBot="1" x14ac:dyDescent="0.25">
      <c r="B124" s="337" t="s">
        <v>47</v>
      </c>
      <c r="C124" s="365">
        <f>+C37+C88</f>
        <v>9853.050822432393</v>
      </c>
      <c r="D124" s="365">
        <f t="shared" ref="D124:N124" si="54">+D37+D88</f>
        <v>11137.601035600479</v>
      </c>
      <c r="E124" s="365">
        <f t="shared" si="54"/>
        <v>12590.009384219169</v>
      </c>
      <c r="F124" s="365">
        <f t="shared" si="54"/>
        <v>11495.225959504458</v>
      </c>
      <c r="G124" s="365">
        <f t="shared" si="54"/>
        <v>11495.225959504458</v>
      </c>
      <c r="H124" s="365">
        <f t="shared" si="54"/>
        <v>12042.617671861814</v>
      </c>
      <c r="I124" s="365">
        <f t="shared" si="54"/>
        <v>10587.447395798708</v>
      </c>
      <c r="J124" s="365">
        <f t="shared" si="54"/>
        <v>6568.7005482882614</v>
      </c>
      <c r="K124" s="365">
        <f t="shared" si="54"/>
        <v>12042.617671861814</v>
      </c>
      <c r="L124" s="365">
        <f t="shared" si="54"/>
        <v>11495.225959504458</v>
      </c>
      <c r="M124" s="365">
        <f t="shared" si="54"/>
        <v>11495.225959504458</v>
      </c>
      <c r="N124" s="365">
        <f t="shared" si="54"/>
        <v>5113.5302722251572</v>
      </c>
      <c r="O124" s="359">
        <f>SUM(C124:N124)</f>
        <v>125916.47864030562</v>
      </c>
    </row>
    <row r="125" spans="2:15" s="3" customFormat="1" ht="17" thickBot="1" x14ac:dyDescent="0.25">
      <c r="B125" s="349" t="s">
        <v>3</v>
      </c>
      <c r="C125" s="303">
        <f t="shared" ref="C125:O125" si="55">SUM(C122:C124)</f>
        <v>201988.28083867533</v>
      </c>
      <c r="D125" s="303">
        <f t="shared" si="55"/>
        <v>228321.65654988697</v>
      </c>
      <c r="E125" s="303">
        <f t="shared" si="55"/>
        <v>258096.13662719625</v>
      </c>
      <c r="F125" s="303">
        <f t="shared" si="55"/>
        <v>235652.99431178786</v>
      </c>
      <c r="G125" s="303">
        <f t="shared" si="55"/>
        <v>235652.99431178786</v>
      </c>
      <c r="H125" s="303">
        <f t="shared" si="55"/>
        <v>246874.56546949202</v>
      </c>
      <c r="I125" s="303">
        <f t="shared" si="55"/>
        <v>217043.46567242776</v>
      </c>
      <c r="J125" s="303">
        <f t="shared" si="55"/>
        <v>134658.85389245019</v>
      </c>
      <c r="K125" s="303">
        <f t="shared" si="55"/>
        <v>246874.56546949202</v>
      </c>
      <c r="L125" s="303">
        <f t="shared" si="55"/>
        <v>235652.99431178786</v>
      </c>
      <c r="M125" s="303">
        <f t="shared" si="55"/>
        <v>235652.99431178786</v>
      </c>
      <c r="N125" s="303">
        <f t="shared" si="55"/>
        <v>104827.75409538591</v>
      </c>
      <c r="O125" s="360">
        <f t="shared" si="55"/>
        <v>2581297.2558621578</v>
      </c>
    </row>
    <row r="126" spans="2:15" s="3" customFormat="1" ht="16" x14ac:dyDescent="0.2">
      <c r="B126" s="348" t="s">
        <v>297</v>
      </c>
      <c r="C126" s="365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359"/>
    </row>
    <row r="127" spans="2:15" s="3" customFormat="1" ht="16" x14ac:dyDescent="0.2">
      <c r="B127" s="337" t="s">
        <v>576</v>
      </c>
      <c r="C127" s="365">
        <f t="shared" ref="C127:N127" si="56">+C40+C41+C42</f>
        <v>41350.209179669029</v>
      </c>
      <c r="D127" s="365">
        <f t="shared" si="56"/>
        <v>45944.676866298927</v>
      </c>
      <c r="E127" s="365">
        <f t="shared" si="56"/>
        <v>52836.378396243766</v>
      </c>
      <c r="F127" s="365">
        <f t="shared" si="56"/>
        <v>48241.910709613869</v>
      </c>
      <c r="G127" s="365">
        <f t="shared" si="56"/>
        <v>48241.910709613869</v>
      </c>
      <c r="H127" s="365">
        <f t="shared" si="56"/>
        <v>50539.144552928818</v>
      </c>
      <c r="I127" s="365">
        <f t="shared" si="56"/>
        <v>44432.244630089313</v>
      </c>
      <c r="J127" s="365">
        <f t="shared" si="56"/>
        <v>27566.806119779358</v>
      </c>
      <c r="K127" s="365">
        <f t="shared" si="56"/>
        <v>50539.144552928818</v>
      </c>
      <c r="L127" s="365">
        <f t="shared" si="56"/>
        <v>48241.910709613869</v>
      </c>
      <c r="M127" s="365">
        <f t="shared" si="56"/>
        <v>48241.910709613869</v>
      </c>
      <c r="N127" s="365">
        <f t="shared" si="56"/>
        <v>21459.906196939854</v>
      </c>
      <c r="O127" s="359">
        <f>SUM(C127:N127)</f>
        <v>527636.15333333332</v>
      </c>
    </row>
    <row r="128" spans="2:15" s="3" customFormat="1" ht="16" x14ac:dyDescent="0.2">
      <c r="B128" s="337" t="s">
        <v>577</v>
      </c>
      <c r="C128" s="365">
        <f t="shared" ref="C128:N128" si="57">+C43+C44+C45</f>
        <v>9845.4848056791943</v>
      </c>
      <c r="D128" s="365">
        <f t="shared" si="57"/>
        <v>10939.427561865774</v>
      </c>
      <c r="E128" s="365">
        <f t="shared" si="57"/>
        <v>12580.341696145641</v>
      </c>
      <c r="F128" s="365">
        <f t="shared" si="57"/>
        <v>11486.398939959061</v>
      </c>
      <c r="G128" s="365">
        <f t="shared" si="57"/>
        <v>11486.398939959061</v>
      </c>
      <c r="H128" s="365">
        <f t="shared" si="57"/>
        <v>12033.37031805235</v>
      </c>
      <c r="I128" s="365">
        <f t="shared" si="57"/>
        <v>10579.317446424264</v>
      </c>
      <c r="J128" s="365">
        <f t="shared" si="57"/>
        <v>6563.6565371194638</v>
      </c>
      <c r="K128" s="365">
        <f t="shared" si="57"/>
        <v>12033.37031805235</v>
      </c>
      <c r="L128" s="365">
        <f t="shared" si="57"/>
        <v>11486.398939959061</v>
      </c>
      <c r="M128" s="365">
        <f t="shared" si="57"/>
        <v>11486.398939959061</v>
      </c>
      <c r="N128" s="365">
        <f t="shared" si="57"/>
        <v>5109.6036654913787</v>
      </c>
      <c r="O128" s="359">
        <f>SUM(C128:N128)</f>
        <v>125630.16810866665</v>
      </c>
    </row>
    <row r="129" spans="2:17" s="3" customFormat="1" ht="17" thickBot="1" x14ac:dyDescent="0.25">
      <c r="B129" s="337" t="s">
        <v>47</v>
      </c>
      <c r="C129" s="365">
        <f>+C46</f>
        <v>2625.4101066456524</v>
      </c>
      <c r="D129" s="365">
        <f t="shared" ref="D129:N129" si="58">+D46</f>
        <v>2917.1223407173916</v>
      </c>
      <c r="E129" s="365">
        <f t="shared" si="58"/>
        <v>3354.6906918250002</v>
      </c>
      <c r="F129" s="365">
        <f t="shared" si="58"/>
        <v>3062.978457753261</v>
      </c>
      <c r="G129" s="365">
        <f t="shared" si="58"/>
        <v>3062.978457753261</v>
      </c>
      <c r="H129" s="365">
        <f t="shared" si="58"/>
        <v>3208.8345747891308</v>
      </c>
      <c r="I129" s="365">
        <f t="shared" si="58"/>
        <v>2821.0948971485273</v>
      </c>
      <c r="J129" s="365">
        <f t="shared" si="58"/>
        <v>1750.273404430435</v>
      </c>
      <c r="K129" s="365">
        <f t="shared" si="58"/>
        <v>3208.8345747891308</v>
      </c>
      <c r="L129" s="365">
        <f t="shared" si="58"/>
        <v>3062.978457753261</v>
      </c>
      <c r="M129" s="365">
        <f t="shared" si="58"/>
        <v>3062.978457753261</v>
      </c>
      <c r="N129" s="365">
        <f t="shared" si="58"/>
        <v>1362.5337267898315</v>
      </c>
      <c r="O129" s="359">
        <f>SUM(C129:N129)</f>
        <v>33500.708148148144</v>
      </c>
    </row>
    <row r="130" spans="2:17" s="3" customFormat="1" ht="17" thickBot="1" x14ac:dyDescent="0.25">
      <c r="B130" s="349" t="s">
        <v>3</v>
      </c>
      <c r="C130" s="303">
        <f t="shared" ref="C130:O130" si="59">SUM(C127:C129)</f>
        <v>53821.104091993875</v>
      </c>
      <c r="D130" s="303">
        <f t="shared" si="59"/>
        <v>59801.226768882094</v>
      </c>
      <c r="E130" s="303">
        <f t="shared" si="59"/>
        <v>68771.4107842144</v>
      </c>
      <c r="F130" s="303">
        <f t="shared" si="59"/>
        <v>62791.288107326189</v>
      </c>
      <c r="G130" s="303">
        <f t="shared" si="59"/>
        <v>62791.288107326189</v>
      </c>
      <c r="H130" s="303">
        <f t="shared" si="59"/>
        <v>65781.349445770305</v>
      </c>
      <c r="I130" s="303">
        <f t="shared" si="59"/>
        <v>57832.656973662102</v>
      </c>
      <c r="J130" s="303">
        <f t="shared" si="59"/>
        <v>35880.736061329262</v>
      </c>
      <c r="K130" s="303">
        <f t="shared" si="59"/>
        <v>65781.349445770305</v>
      </c>
      <c r="L130" s="303">
        <f t="shared" si="59"/>
        <v>62791.288107326189</v>
      </c>
      <c r="M130" s="303">
        <f t="shared" si="59"/>
        <v>62791.288107326189</v>
      </c>
      <c r="N130" s="303">
        <f t="shared" si="59"/>
        <v>27932.043589221063</v>
      </c>
      <c r="O130" s="360">
        <f t="shared" si="59"/>
        <v>686767.02959014813</v>
      </c>
    </row>
    <row r="131" spans="2:17" s="3" customFormat="1" ht="16" x14ac:dyDescent="0.2">
      <c r="B131" s="348" t="s">
        <v>323</v>
      </c>
      <c r="C131" s="365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359"/>
    </row>
    <row r="132" spans="2:17" s="3" customFormat="1" ht="16" x14ac:dyDescent="0.2">
      <c r="B132" s="337" t="s">
        <v>576</v>
      </c>
      <c r="C132" s="365">
        <f t="shared" ref="C132:N132" si="60">+C49+C50+C51</f>
        <v>67698.375802009425</v>
      </c>
      <c r="D132" s="365">
        <f t="shared" si="60"/>
        <v>75220.417557788256</v>
      </c>
      <c r="E132" s="365">
        <f t="shared" si="60"/>
        <v>86503.480191456474</v>
      </c>
      <c r="F132" s="365">
        <f t="shared" si="60"/>
        <v>78981.438435677657</v>
      </c>
      <c r="G132" s="365">
        <f t="shared" si="60"/>
        <v>78981.438435677657</v>
      </c>
      <c r="H132" s="365">
        <f t="shared" si="60"/>
        <v>82742.459313567058</v>
      </c>
      <c r="I132" s="365">
        <f t="shared" si="60"/>
        <v>72744.270328227576</v>
      </c>
      <c r="J132" s="365">
        <f t="shared" si="60"/>
        <v>45132.250534672952</v>
      </c>
      <c r="K132" s="365">
        <f t="shared" si="60"/>
        <v>82742.459313567058</v>
      </c>
      <c r="L132" s="365">
        <f t="shared" si="60"/>
        <v>78981.438435677657</v>
      </c>
      <c r="M132" s="365">
        <f t="shared" si="60"/>
        <v>78981.438435677657</v>
      </c>
      <c r="N132" s="365">
        <f t="shared" si="60"/>
        <v>35134.061549333448</v>
      </c>
      <c r="O132" s="359">
        <f>SUM(C132:N132)</f>
        <v>863843.52833333286</v>
      </c>
    </row>
    <row r="133" spans="2:17" s="3" customFormat="1" ht="16" x14ac:dyDescent="0.2">
      <c r="B133" s="337" t="s">
        <v>577</v>
      </c>
      <c r="C133" s="365">
        <f t="shared" ref="C133:N133" si="61">+C52+C53+C54</f>
        <v>16118.983278458451</v>
      </c>
      <c r="D133" s="365">
        <f t="shared" si="61"/>
        <v>17909.98142050939</v>
      </c>
      <c r="E133" s="365">
        <f t="shared" si="61"/>
        <v>20596.478633585801</v>
      </c>
      <c r="F133" s="365">
        <f t="shared" si="61"/>
        <v>18805.480491534858</v>
      </c>
      <c r="G133" s="365">
        <f t="shared" si="61"/>
        <v>18805.480491534858</v>
      </c>
      <c r="H133" s="365">
        <f t="shared" si="61"/>
        <v>19700.979562560333</v>
      </c>
      <c r="I133" s="365">
        <f t="shared" si="61"/>
        <v>17320.410765150995</v>
      </c>
      <c r="J133" s="365">
        <f t="shared" si="61"/>
        <v>10745.988852305632</v>
      </c>
      <c r="K133" s="365">
        <f t="shared" si="61"/>
        <v>19700.979562560333</v>
      </c>
      <c r="L133" s="365">
        <f t="shared" si="61"/>
        <v>18805.480491534858</v>
      </c>
      <c r="M133" s="365">
        <f t="shared" si="61"/>
        <v>18805.480491534858</v>
      </c>
      <c r="N133" s="365">
        <f t="shared" si="61"/>
        <v>8365.4200548962981</v>
      </c>
      <c r="O133" s="359">
        <f>SUM(C133:N133)</f>
        <v>205681.14409616668</v>
      </c>
    </row>
    <row r="134" spans="2:17" s="3" customFormat="1" ht="17" thickBot="1" x14ac:dyDescent="0.25">
      <c r="B134" s="337" t="s">
        <v>47</v>
      </c>
      <c r="C134" s="365">
        <f>+C55</f>
        <v>4298.3095747307607</v>
      </c>
      <c r="D134" s="365">
        <f t="shared" ref="D134:N134" si="62">+D55</f>
        <v>4775.899527478623</v>
      </c>
      <c r="E134" s="365">
        <f t="shared" si="62"/>
        <v>5492.284456600416</v>
      </c>
      <c r="F134" s="365">
        <f t="shared" si="62"/>
        <v>5014.6945038525537</v>
      </c>
      <c r="G134" s="365">
        <f t="shared" si="62"/>
        <v>5014.6945038525537</v>
      </c>
      <c r="H134" s="365">
        <f t="shared" si="62"/>
        <v>5253.4894802264853</v>
      </c>
      <c r="I134" s="365">
        <f t="shared" si="62"/>
        <v>4618.6838303636587</v>
      </c>
      <c r="J134" s="365">
        <f t="shared" si="62"/>
        <v>2865.5397164871738</v>
      </c>
      <c r="K134" s="365">
        <f t="shared" si="62"/>
        <v>5253.4894802264853</v>
      </c>
      <c r="L134" s="365">
        <f t="shared" si="62"/>
        <v>5014.6945038525537</v>
      </c>
      <c r="M134" s="365">
        <f t="shared" si="62"/>
        <v>5014.6945038525537</v>
      </c>
      <c r="N134" s="365">
        <f t="shared" si="62"/>
        <v>2230.7340666243476</v>
      </c>
      <c r="O134" s="359">
        <f>SUM(C134:N134)</f>
        <v>54847.208148148158</v>
      </c>
    </row>
    <row r="135" spans="2:17" s="3" customFormat="1" ht="17" thickBot="1" x14ac:dyDescent="0.25">
      <c r="B135" s="349" t="s">
        <v>3</v>
      </c>
      <c r="C135" s="303">
        <f t="shared" ref="C135:O135" si="63">SUM(C132:C134)</f>
        <v>88115.668655198635</v>
      </c>
      <c r="D135" s="303">
        <f t="shared" si="63"/>
        <v>97906.298505776271</v>
      </c>
      <c r="E135" s="303">
        <f t="shared" si="63"/>
        <v>112592.24328164269</v>
      </c>
      <c r="F135" s="303">
        <f t="shared" si="63"/>
        <v>102801.61343106507</v>
      </c>
      <c r="G135" s="303">
        <f t="shared" si="63"/>
        <v>102801.61343106507</v>
      </c>
      <c r="H135" s="303">
        <f t="shared" si="63"/>
        <v>107696.92835635388</v>
      </c>
      <c r="I135" s="303">
        <f t="shared" si="63"/>
        <v>94683.364923742236</v>
      </c>
      <c r="J135" s="303">
        <f t="shared" si="63"/>
        <v>58743.779103465764</v>
      </c>
      <c r="K135" s="303">
        <f t="shared" si="63"/>
        <v>107696.92835635388</v>
      </c>
      <c r="L135" s="303">
        <f t="shared" si="63"/>
        <v>102801.61343106507</v>
      </c>
      <c r="M135" s="303">
        <f t="shared" si="63"/>
        <v>102801.61343106507</v>
      </c>
      <c r="N135" s="303">
        <f t="shared" si="63"/>
        <v>45730.215670854093</v>
      </c>
      <c r="O135" s="360">
        <f t="shared" si="63"/>
        <v>1124371.8805776476</v>
      </c>
    </row>
    <row r="136" spans="2:17" s="3" customFormat="1" ht="16" x14ac:dyDescent="0.2">
      <c r="B136" s="348" t="s">
        <v>571</v>
      </c>
      <c r="C136" s="365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359"/>
    </row>
    <row r="137" spans="2:17" s="3" customFormat="1" ht="16" x14ac:dyDescent="0.2">
      <c r="B137" s="337" t="s">
        <v>576</v>
      </c>
      <c r="C137" s="365">
        <f t="shared" ref="C137:N137" si="64">+C74+C75+C76</f>
        <v>13405.896963947987</v>
      </c>
      <c r="D137" s="365">
        <f t="shared" si="64"/>
        <v>14895.441071053321</v>
      </c>
      <c r="E137" s="365">
        <f t="shared" si="64"/>
        <v>19232.653212798792</v>
      </c>
      <c r="F137" s="365">
        <f t="shared" si="64"/>
        <v>17560.248585598896</v>
      </c>
      <c r="G137" s="365">
        <f t="shared" si="64"/>
        <v>17560.248585598896</v>
      </c>
      <c r="H137" s="365">
        <f t="shared" si="64"/>
        <v>18396.45089919884</v>
      </c>
      <c r="I137" s="365">
        <f t="shared" si="64"/>
        <v>16173.51488453835</v>
      </c>
      <c r="J137" s="365">
        <f t="shared" si="64"/>
        <v>10034.427763199368</v>
      </c>
      <c r="K137" s="365">
        <f t="shared" si="64"/>
        <v>18396.45089919884</v>
      </c>
      <c r="L137" s="365">
        <f t="shared" si="64"/>
        <v>17560.248585598896</v>
      </c>
      <c r="M137" s="365">
        <f t="shared" si="64"/>
        <v>17560.248585598896</v>
      </c>
      <c r="N137" s="365">
        <f t="shared" si="64"/>
        <v>7811.4917485388751</v>
      </c>
      <c r="O137" s="359">
        <f>SUM(C137:N137)</f>
        <v>188587.32178486997</v>
      </c>
    </row>
    <row r="138" spans="2:17" s="3" customFormat="1" ht="16" x14ac:dyDescent="0.2">
      <c r="B138" s="337" t="s">
        <v>39</v>
      </c>
      <c r="C138" s="365">
        <f t="shared" ref="C138:N138" si="65">+C77+C78+C79</f>
        <v>3191.9440671160169</v>
      </c>
      <c r="D138" s="365">
        <f t="shared" si="65"/>
        <v>3546.6045190177961</v>
      </c>
      <c r="E138" s="365">
        <f t="shared" si="65"/>
        <v>4579.2947299673924</v>
      </c>
      <c r="F138" s="365">
        <f t="shared" si="65"/>
        <v>4181.0951882310974</v>
      </c>
      <c r="G138" s="365">
        <f t="shared" si="65"/>
        <v>4181.0951882310974</v>
      </c>
      <c r="H138" s="365">
        <f t="shared" si="65"/>
        <v>4380.1949590992454</v>
      </c>
      <c r="I138" s="365">
        <f t="shared" si="65"/>
        <v>3850.9138940085813</v>
      </c>
      <c r="J138" s="365">
        <f t="shared" si="65"/>
        <v>2389.1972504177702</v>
      </c>
      <c r="K138" s="365">
        <f t="shared" si="65"/>
        <v>4380.1949590992454</v>
      </c>
      <c r="L138" s="365">
        <f t="shared" si="65"/>
        <v>4181.0951882310974</v>
      </c>
      <c r="M138" s="365">
        <f t="shared" si="65"/>
        <v>4181.0951882310974</v>
      </c>
      <c r="N138" s="365">
        <f t="shared" si="65"/>
        <v>1859.9161853271066</v>
      </c>
      <c r="O138" s="359">
        <f>SUM(C138:N138)</f>
        <v>44902.641316977541</v>
      </c>
    </row>
    <row r="139" spans="2:17" s="3" customFormat="1" ht="17" thickBot="1" x14ac:dyDescent="0.25">
      <c r="B139" s="337" t="s">
        <v>47</v>
      </c>
      <c r="C139" s="365">
        <f>+C80</f>
        <v>851.16806120304693</v>
      </c>
      <c r="D139" s="365">
        <f t="shared" ref="D139:N139" si="66">+D80</f>
        <v>945.7422902256078</v>
      </c>
      <c r="E139" s="365">
        <f t="shared" si="66"/>
        <v>1221.1208389078597</v>
      </c>
      <c r="F139" s="365">
        <f t="shared" si="66"/>
        <v>1114.9364181332633</v>
      </c>
      <c r="G139" s="365">
        <f t="shared" si="66"/>
        <v>1114.9364181332633</v>
      </c>
      <c r="H139" s="365">
        <f t="shared" si="66"/>
        <v>1168.0286285205616</v>
      </c>
      <c r="I139" s="365">
        <f t="shared" si="66"/>
        <v>1026.889833938943</v>
      </c>
      <c r="J139" s="365">
        <f t="shared" si="66"/>
        <v>637.10652464757902</v>
      </c>
      <c r="K139" s="365">
        <f t="shared" si="66"/>
        <v>1168.0286285205616</v>
      </c>
      <c r="L139" s="365">
        <f t="shared" si="66"/>
        <v>1114.9364181332633</v>
      </c>
      <c r="M139" s="365">
        <f t="shared" si="66"/>
        <v>1114.9364181332633</v>
      </c>
      <c r="N139" s="365">
        <f t="shared" si="66"/>
        <v>495.96773006596038</v>
      </c>
      <c r="O139" s="359">
        <f>SUM(C139:N139)</f>
        <v>11973.798208563176</v>
      </c>
    </row>
    <row r="140" spans="2:17" s="3" customFormat="1" ht="17" thickBot="1" x14ac:dyDescent="0.25">
      <c r="B140" s="349" t="s">
        <v>3</v>
      </c>
      <c r="C140" s="303">
        <f t="shared" ref="C140:O140" si="67">SUM(C137:C139)</f>
        <v>17449.00909226705</v>
      </c>
      <c r="D140" s="303">
        <f t="shared" si="67"/>
        <v>19387.787880296724</v>
      </c>
      <c r="E140" s="303">
        <f t="shared" si="67"/>
        <v>25033.068781674046</v>
      </c>
      <c r="F140" s="303">
        <f t="shared" si="67"/>
        <v>22856.280191963258</v>
      </c>
      <c r="G140" s="303">
        <f t="shared" si="67"/>
        <v>22856.280191963258</v>
      </c>
      <c r="H140" s="303">
        <f t="shared" si="67"/>
        <v>23944.674486818647</v>
      </c>
      <c r="I140" s="303">
        <f t="shared" si="67"/>
        <v>21051.318612485873</v>
      </c>
      <c r="J140" s="303">
        <f t="shared" si="67"/>
        <v>13060.731538264718</v>
      </c>
      <c r="K140" s="303">
        <f t="shared" si="67"/>
        <v>23944.674486818647</v>
      </c>
      <c r="L140" s="303">
        <f t="shared" si="67"/>
        <v>22856.280191963258</v>
      </c>
      <c r="M140" s="303">
        <f t="shared" si="67"/>
        <v>22856.280191963258</v>
      </c>
      <c r="N140" s="303">
        <f t="shared" si="67"/>
        <v>10167.375663931942</v>
      </c>
      <c r="O140" s="360">
        <f t="shared" si="67"/>
        <v>245463.76131041069</v>
      </c>
    </row>
    <row r="141" spans="2:17" s="3" customFormat="1" ht="16" x14ac:dyDescent="0.2">
      <c r="B141" s="354"/>
      <c r="C141" s="367"/>
      <c r="D141" s="368"/>
      <c r="E141" s="368"/>
      <c r="F141" s="368"/>
      <c r="G141" s="368"/>
      <c r="H141" s="368"/>
      <c r="I141" s="368"/>
      <c r="J141" s="368"/>
      <c r="K141" s="368"/>
      <c r="L141" s="368"/>
      <c r="M141" s="368"/>
      <c r="N141" s="368"/>
      <c r="O141" s="359"/>
    </row>
    <row r="142" spans="2:17" ht="16" x14ac:dyDescent="0.2">
      <c r="B142" s="355" t="s">
        <v>576</v>
      </c>
      <c r="C142" s="367">
        <f t="shared" ref="C142:N142" si="68">C112+C117+C127+C132+C137+C122</f>
        <v>297967.19273404276</v>
      </c>
      <c r="D142" s="367">
        <f t="shared" si="68"/>
        <v>334063.48551152146</v>
      </c>
      <c r="E142" s="367">
        <f t="shared" si="68"/>
        <v>382838.75336347544</v>
      </c>
      <c r="F142" s="367">
        <f t="shared" si="68"/>
        <v>349548.42698404274</v>
      </c>
      <c r="G142" s="367">
        <f t="shared" si="68"/>
        <v>349548.42698404274</v>
      </c>
      <c r="H142" s="367">
        <f t="shared" si="68"/>
        <v>366193.59017375903</v>
      </c>
      <c r="I142" s="367">
        <f t="shared" si="68"/>
        <v>321944.57038209238</v>
      </c>
      <c r="J142" s="367">
        <f t="shared" si="68"/>
        <v>199741.95827659586</v>
      </c>
      <c r="K142" s="367">
        <f t="shared" si="68"/>
        <v>366193.59017375903</v>
      </c>
      <c r="L142" s="367">
        <f t="shared" si="68"/>
        <v>349548.42698404274</v>
      </c>
      <c r="M142" s="367">
        <f t="shared" si="68"/>
        <v>349548.42698404274</v>
      </c>
      <c r="N142" s="367">
        <f t="shared" si="68"/>
        <v>155492.93848492921</v>
      </c>
      <c r="O142" s="359">
        <f>SUM(C142:N142)</f>
        <v>3822629.7870363463</v>
      </c>
      <c r="Q142" s="3"/>
    </row>
    <row r="143" spans="2:17" ht="16" x14ac:dyDescent="0.2">
      <c r="B143" s="355" t="s">
        <v>39</v>
      </c>
      <c r="C143" s="367">
        <f t="shared" ref="C143:N143" si="69">C113+C118+C128+C133+C138+C123</f>
        <v>70945.988589975488</v>
      </c>
      <c r="D143" s="367">
        <f t="shared" si="69"/>
        <v>79540.515900293161</v>
      </c>
      <c r="E143" s="367">
        <f t="shared" si="69"/>
        <v>91153.907175843371</v>
      </c>
      <c r="F143" s="367">
        <f t="shared" si="69"/>
        <v>83227.480464900465</v>
      </c>
      <c r="G143" s="367">
        <f t="shared" si="69"/>
        <v>83227.480464900465</v>
      </c>
      <c r="H143" s="367">
        <f t="shared" si="69"/>
        <v>87190.693820371933</v>
      </c>
      <c r="I143" s="367">
        <f t="shared" si="69"/>
        <v>76655.002207976097</v>
      </c>
      <c r="J143" s="367">
        <f t="shared" si="69"/>
        <v>47558.560265657412</v>
      </c>
      <c r="K143" s="367">
        <f t="shared" si="69"/>
        <v>87190.693820371933</v>
      </c>
      <c r="L143" s="367">
        <f t="shared" si="69"/>
        <v>83227.480464900465</v>
      </c>
      <c r="M143" s="367">
        <f t="shared" si="69"/>
        <v>83227.480464900465</v>
      </c>
      <c r="N143" s="367">
        <f t="shared" si="69"/>
        <v>37022.86865326159</v>
      </c>
      <c r="O143" s="359">
        <f t="shared" ref="O143:O144" si="70">SUM(C143:N143)</f>
        <v>910168.15229335288</v>
      </c>
      <c r="Q143" s="3"/>
    </row>
    <row r="144" spans="2:17" ht="17" thickBot="1" x14ac:dyDescent="0.25">
      <c r="B144" s="355" t="s">
        <v>47</v>
      </c>
      <c r="C144" s="367">
        <f t="shared" ref="C144:N144" si="71">C114+C119+C129+C134+C139+C124</f>
        <v>18918.551919621783</v>
      </c>
      <c r="D144" s="367">
        <f t="shared" si="71"/>
        <v>21210.38003247758</v>
      </c>
      <c r="E144" s="367">
        <f t="shared" si="71"/>
        <v>24307.222435776246</v>
      </c>
      <c r="F144" s="367">
        <f t="shared" si="71"/>
        <v>22193.55091962179</v>
      </c>
      <c r="G144" s="367">
        <f t="shared" si="71"/>
        <v>22193.55091962179</v>
      </c>
      <c r="H144" s="367">
        <f t="shared" si="71"/>
        <v>23250.386677699018</v>
      </c>
      <c r="I144" s="367">
        <f t="shared" si="71"/>
        <v>20440.925103624937</v>
      </c>
      <c r="J144" s="367">
        <f t="shared" si="71"/>
        <v>12682.029096926735</v>
      </c>
      <c r="K144" s="367">
        <f t="shared" si="71"/>
        <v>23250.386677699018</v>
      </c>
      <c r="L144" s="367">
        <f t="shared" si="71"/>
        <v>22193.55091962179</v>
      </c>
      <c r="M144" s="367">
        <f t="shared" si="71"/>
        <v>22193.55091962179</v>
      </c>
      <c r="N144" s="367">
        <f t="shared" si="71"/>
        <v>9872.5675228526561</v>
      </c>
      <c r="O144" s="359">
        <f t="shared" si="70"/>
        <v>242706.6531451651</v>
      </c>
      <c r="Q144" s="3"/>
    </row>
    <row r="145" spans="2:17" ht="17" thickBot="1" x14ac:dyDescent="0.25">
      <c r="B145" s="356" t="s">
        <v>572</v>
      </c>
      <c r="C145" s="312">
        <f t="shared" ref="C145:O145" si="72">SUM(C142:C144)</f>
        <v>387831.73324364005</v>
      </c>
      <c r="D145" s="312">
        <f t="shared" si="72"/>
        <v>434814.38144429214</v>
      </c>
      <c r="E145" s="312">
        <f t="shared" si="72"/>
        <v>498299.88297509507</v>
      </c>
      <c r="F145" s="312">
        <f t="shared" si="72"/>
        <v>454969.45836856501</v>
      </c>
      <c r="G145" s="312">
        <f t="shared" si="72"/>
        <v>454969.45836856501</v>
      </c>
      <c r="H145" s="312">
        <f t="shared" si="72"/>
        <v>476634.67067182995</v>
      </c>
      <c r="I145" s="312">
        <f t="shared" si="72"/>
        <v>419040.49769369338</v>
      </c>
      <c r="J145" s="312">
        <f t="shared" si="72"/>
        <v>259982.54763918</v>
      </c>
      <c r="K145" s="312">
        <f t="shared" si="72"/>
        <v>476634.67067182995</v>
      </c>
      <c r="L145" s="312">
        <f t="shared" si="72"/>
        <v>454969.45836856501</v>
      </c>
      <c r="M145" s="312">
        <f t="shared" si="72"/>
        <v>454969.45836856501</v>
      </c>
      <c r="N145" s="312">
        <f t="shared" si="72"/>
        <v>202388.37466104346</v>
      </c>
      <c r="O145" s="360">
        <f t="shared" si="72"/>
        <v>4975504.5924748639</v>
      </c>
      <c r="Q145" s="3"/>
    </row>
    <row r="146" spans="2:17" ht="16" x14ac:dyDescent="0.2">
      <c r="Q146" s="3"/>
    </row>
    <row r="147" spans="2:17" ht="16" x14ac:dyDescent="0.2">
      <c r="N147" s="331" t="s">
        <v>41</v>
      </c>
      <c r="O147" s="357">
        <f>O98-'Tab. 13'!K38-'Tab. 13'!L45/O10*SUM(E10:N10)-O89</f>
        <v>-1.0682015272323042E-9</v>
      </c>
      <c r="Q147" s="3"/>
    </row>
    <row r="148" spans="2:17" ht="16" x14ac:dyDescent="0.2">
      <c r="Q148" s="3"/>
    </row>
    <row r="149" spans="2:17" ht="16" x14ac:dyDescent="0.2">
      <c r="Q149" s="3"/>
    </row>
    <row r="150" spans="2:17" ht="16" x14ac:dyDescent="0.2">
      <c r="Q150" s="3"/>
    </row>
    <row r="151" spans="2:17" ht="16" x14ac:dyDescent="0.2">
      <c r="Q151" s="3"/>
    </row>
    <row r="152" spans="2:17" ht="16" x14ac:dyDescent="0.2">
      <c r="Q152" s="3"/>
    </row>
    <row r="153" spans="2:17" ht="16" x14ac:dyDescent="0.2">
      <c r="Q153" s="3"/>
    </row>
    <row r="154" spans="2:17" ht="16" x14ac:dyDescent="0.2">
      <c r="Q154" s="3"/>
    </row>
    <row r="155" spans="2:17" ht="16" x14ac:dyDescent="0.2">
      <c r="Q155" s="3"/>
    </row>
    <row r="156" spans="2:17" ht="16" x14ac:dyDescent="0.2">
      <c r="Q156" s="3"/>
    </row>
    <row r="157" spans="2:17" ht="16" x14ac:dyDescent="0.2">
      <c r="Q157" s="3"/>
    </row>
    <row r="158" spans="2:17" ht="16" x14ac:dyDescent="0.2">
      <c r="Q158" s="3"/>
    </row>
    <row r="159" spans="2:17" ht="16" x14ac:dyDescent="0.2">
      <c r="Q159" s="3"/>
    </row>
    <row r="160" spans="2:17" ht="16" x14ac:dyDescent="0.2">
      <c r="Q160" s="3"/>
    </row>
    <row r="161" spans="17:17" ht="16" x14ac:dyDescent="0.2">
      <c r="Q161" s="3"/>
    </row>
    <row r="162" spans="17:17" ht="16" x14ac:dyDescent="0.2">
      <c r="Q162" s="3"/>
    </row>
    <row r="163" spans="17:17" ht="16" x14ac:dyDescent="0.2">
      <c r="Q163" s="3"/>
    </row>
  </sheetData>
  <mergeCells count="2">
    <mergeCell ref="C4:O4"/>
    <mergeCell ref="C103:O10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35009-1686-CF4B-BA51-5629507A82D7}">
  <dimension ref="B3:L23"/>
  <sheetViews>
    <sheetView showGridLines="0" zoomScale="200" zoomScaleNormal="200" workbookViewId="0">
      <selection activeCell="C9" sqref="C9"/>
    </sheetView>
  </sheetViews>
  <sheetFormatPr baseColWidth="10" defaultRowHeight="14" x14ac:dyDescent="0.2"/>
  <cols>
    <col min="1" max="1" width="10.83203125" style="2"/>
    <col min="2" max="2" width="26" style="2" customWidth="1"/>
    <col min="3" max="5" width="12.1640625" style="2" customWidth="1"/>
    <col min="6" max="16384" width="10.83203125" style="2"/>
  </cols>
  <sheetData>
    <row r="3" spans="2:7" x14ac:dyDescent="0.2">
      <c r="B3" s="2" t="s">
        <v>823</v>
      </c>
    </row>
    <row r="5" spans="2:7" ht="15" thickBot="1" x14ac:dyDescent="0.25">
      <c r="D5" s="515"/>
    </row>
    <row r="6" spans="2:7" ht="15" thickBot="1" x14ac:dyDescent="0.25">
      <c r="B6" s="480" t="s">
        <v>700</v>
      </c>
      <c r="C6" s="481"/>
      <c r="D6" s="481"/>
      <c r="E6" s="482"/>
    </row>
    <row r="7" spans="2:7" x14ac:dyDescent="0.2">
      <c r="B7" s="483"/>
      <c r="C7" s="484" t="s">
        <v>664</v>
      </c>
      <c r="D7" s="484" t="s">
        <v>665</v>
      </c>
      <c r="E7" s="485" t="s">
        <v>81</v>
      </c>
    </row>
    <row r="8" spans="2:7" x14ac:dyDescent="0.2">
      <c r="B8" s="372" t="s">
        <v>694</v>
      </c>
      <c r="C8" s="470">
        <f>+'Tab. 5'!O17</f>
        <v>169344.00000000003</v>
      </c>
      <c r="D8" s="470">
        <f>+'Tab. 5'!O49</f>
        <v>19008</v>
      </c>
      <c r="E8" s="471">
        <f>SUM(C8:D8)</f>
        <v>188352.00000000003</v>
      </c>
    </row>
    <row r="9" spans="2:7" x14ac:dyDescent="0.2">
      <c r="B9" s="372" t="s">
        <v>701</v>
      </c>
      <c r="C9" s="378">
        <f>SUMIF(Tabella2[linea],'Tab. 15'!C$7,Tabella2[Costo totale])</f>
        <v>2327867.9765589996</v>
      </c>
      <c r="D9" s="378">
        <f>SUMIF(Tabella2[linea],'Tab. 15'!D$7,Tabella2[Costo totale])</f>
        <v>249539.0459073518</v>
      </c>
      <c r="E9" s="373">
        <f>SUM(C9:D9)</f>
        <v>2577407.0224663513</v>
      </c>
      <c r="F9" s="515"/>
      <c r="G9" s="393"/>
    </row>
    <row r="10" spans="2:7" x14ac:dyDescent="0.2">
      <c r="B10" s="372" t="s">
        <v>707</v>
      </c>
      <c r="C10" s="477">
        <f>C9/C8</f>
        <v>13.746385915999381</v>
      </c>
      <c r="D10" s="477">
        <f t="shared" ref="D10" si="0">D9/D8</f>
        <v>13.128106371388457</v>
      </c>
      <c r="E10" s="478"/>
    </row>
    <row r="11" spans="2:7" ht="15" thickBot="1" x14ac:dyDescent="0.25">
      <c r="B11" s="473" t="s">
        <v>708</v>
      </c>
      <c r="C11" s="474">
        <f>C9/(C8*60)</f>
        <v>0.22910643193332303</v>
      </c>
      <c r="D11" s="474">
        <f t="shared" ref="D11" si="1">D9/(D8*60)</f>
        <v>0.21880177285647429</v>
      </c>
      <c r="E11" s="600"/>
    </row>
    <row r="12" spans="2:7" x14ac:dyDescent="0.2">
      <c r="B12" s="372"/>
      <c r="E12" s="400"/>
    </row>
    <row r="13" spans="2:7" x14ac:dyDescent="0.2">
      <c r="B13" s="372" t="s">
        <v>702</v>
      </c>
      <c r="C13" s="470">
        <f>'Tab. 5'!O9</f>
        <v>666082.12060847704</v>
      </c>
      <c r="D13" s="470">
        <f>'Tab. 5'!O54</f>
        <v>42358.371125483347</v>
      </c>
      <c r="E13" s="471">
        <f t="shared" ref="E13:E14" si="2">SUM(C13:D13)</f>
        <v>708440.49173396034</v>
      </c>
      <c r="F13" s="320"/>
      <c r="G13" s="476"/>
    </row>
    <row r="14" spans="2:7" x14ac:dyDescent="0.2">
      <c r="B14" s="372" t="s">
        <v>745</v>
      </c>
      <c r="C14" s="470">
        <f>'Tab. 5'!O23</f>
        <v>166520.53015211926</v>
      </c>
      <c r="D14" s="470">
        <f>'Tab. 5'!O55</f>
        <v>16943.348450193342</v>
      </c>
      <c r="E14" s="471">
        <f t="shared" si="2"/>
        <v>183463.87860231259</v>
      </c>
      <c r="G14" s="515"/>
    </row>
    <row r="15" spans="2:7" x14ac:dyDescent="0.2">
      <c r="B15" s="372" t="s">
        <v>746</v>
      </c>
      <c r="C15" s="470">
        <f>+'Tab. 5'!O26</f>
        <v>283.00044968732618</v>
      </c>
      <c r="D15" s="470">
        <f>+'Tab. 5'!O58</f>
        <v>0</v>
      </c>
      <c r="E15" s="471"/>
      <c r="G15" s="515"/>
    </row>
    <row r="16" spans="2:7" x14ac:dyDescent="0.2">
      <c r="B16" s="372"/>
      <c r="E16" s="400"/>
      <c r="F16" s="476"/>
    </row>
    <row r="17" spans="2:12" x14ac:dyDescent="0.2">
      <c r="B17" s="372" t="s">
        <v>784</v>
      </c>
      <c r="C17" s="378">
        <f>C15*C10</f>
        <v>3890.2333958033523</v>
      </c>
      <c r="D17" s="378">
        <f>D15*D10</f>
        <v>0</v>
      </c>
      <c r="E17" s="373">
        <f t="shared" ref="E17:E19" si="3">SUM(C17:D17)</f>
        <v>3890.2333958033523</v>
      </c>
      <c r="F17" s="476"/>
    </row>
    <row r="18" spans="2:12" ht="15" thickBot="1" x14ac:dyDescent="0.25">
      <c r="B18" s="372" t="s">
        <v>703</v>
      </c>
      <c r="C18" s="378">
        <f>C10*(C14-C15)</f>
        <v>2285165.2370120389</v>
      </c>
      <c r="D18" s="378">
        <f>D10*(D14-D15)</f>
        <v>222434.08074163794</v>
      </c>
      <c r="E18" s="373">
        <f t="shared" si="3"/>
        <v>2507599.3177536768</v>
      </c>
      <c r="F18" s="393"/>
      <c r="G18" s="393"/>
      <c r="H18" s="393"/>
      <c r="I18" s="393"/>
      <c r="K18" s="393"/>
      <c r="L18" s="393"/>
    </row>
    <row r="19" spans="2:12" ht="15" thickBot="1" x14ac:dyDescent="0.25">
      <c r="B19" s="473" t="s">
        <v>704</v>
      </c>
      <c r="C19" s="404">
        <f>C10*(C8-C14+C15)</f>
        <v>42702.739546960474</v>
      </c>
      <c r="D19" s="404">
        <f>D10*(D8-D14+D15)</f>
        <v>27104.965165713842</v>
      </c>
      <c r="E19" s="407">
        <f t="shared" si="3"/>
        <v>69807.704712674313</v>
      </c>
      <c r="F19" s="546">
        <f>SUM(E17:E19)</f>
        <v>2581297.2558621545</v>
      </c>
      <c r="G19" s="393"/>
      <c r="H19" s="393">
        <f>+F19-'Tab. 13'!Z14</f>
        <v>0</v>
      </c>
      <c r="I19" s="393"/>
    </row>
    <row r="22" spans="2:12" x14ac:dyDescent="0.2">
      <c r="E22" s="516"/>
    </row>
    <row r="23" spans="2:12" x14ac:dyDescent="0.2">
      <c r="E23" s="5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0AA91-6D35-A844-86C4-AFF4B80D1D80}">
  <sheetPr codeName="Foglio19">
    <tabColor theme="0" tint="-0.499984740745262"/>
  </sheetPr>
  <dimension ref="B2:E47"/>
  <sheetViews>
    <sheetView showGridLines="0" topLeftCell="A3" zoomScale="170" zoomScaleNormal="17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1.6640625" style="2" bestFit="1" customWidth="1"/>
    <col min="3" max="3" width="13.33203125" style="369" bestFit="1" customWidth="1"/>
    <col min="4" max="16384" width="10.83203125" style="2"/>
  </cols>
  <sheetData>
    <row r="2" spans="2:5" x14ac:dyDescent="0.2">
      <c r="B2" s="2" t="s">
        <v>824</v>
      </c>
    </row>
    <row r="3" spans="2:5" ht="15" thickBot="1" x14ac:dyDescent="0.25"/>
    <row r="4" spans="2:5" x14ac:dyDescent="0.2">
      <c r="B4" s="370"/>
      <c r="C4" s="371" t="s">
        <v>98</v>
      </c>
    </row>
    <row r="5" spans="2:5" x14ac:dyDescent="0.2">
      <c r="B5" s="372" t="s">
        <v>584</v>
      </c>
      <c r="C5" s="373">
        <v>125000</v>
      </c>
    </row>
    <row r="6" spans="2:5" x14ac:dyDescent="0.2">
      <c r="B6" s="372" t="s">
        <v>585</v>
      </c>
      <c r="C6" s="373">
        <v>150000</v>
      </c>
    </row>
    <row r="7" spans="2:5" x14ac:dyDescent="0.2">
      <c r="B7" s="372" t="s">
        <v>586</v>
      </c>
      <c r="C7" s="373">
        <v>860000</v>
      </c>
    </row>
    <row r="8" spans="2:5" x14ac:dyDescent="0.2">
      <c r="B8" s="372" t="s">
        <v>587</v>
      </c>
      <c r="C8" s="373">
        <v>1151250</v>
      </c>
      <c r="E8" s="393"/>
    </row>
    <row r="9" spans="2:5" x14ac:dyDescent="0.2">
      <c r="B9" s="372" t="s">
        <v>588</v>
      </c>
      <c r="C9" s="373">
        <v>72500</v>
      </c>
    </row>
    <row r="10" spans="2:5" x14ac:dyDescent="0.2">
      <c r="B10" s="372" t="s">
        <v>589</v>
      </c>
      <c r="C10" s="373">
        <v>484830</v>
      </c>
      <c r="E10" s="393"/>
    </row>
    <row r="11" spans="2:5" x14ac:dyDescent="0.2">
      <c r="B11" s="372" t="s">
        <v>590</v>
      </c>
      <c r="C11" s="373"/>
    </row>
    <row r="12" spans="2:5" ht="15" thickBot="1" x14ac:dyDescent="0.25">
      <c r="B12" s="372" t="s">
        <v>591</v>
      </c>
      <c r="C12" s="373">
        <v>48000</v>
      </c>
    </row>
    <row r="13" spans="2:5" ht="15" thickBot="1" x14ac:dyDescent="0.25">
      <c r="B13" s="374" t="s">
        <v>592</v>
      </c>
      <c r="C13" s="375">
        <f>SUM(C5:C12)</f>
        <v>2891580</v>
      </c>
      <c r="D13" s="326"/>
    </row>
    <row r="14" spans="2:5" x14ac:dyDescent="0.2">
      <c r="B14" s="370"/>
      <c r="C14" s="376"/>
    </row>
    <row r="15" spans="2:5" x14ac:dyDescent="0.2">
      <c r="B15" s="377" t="s">
        <v>593</v>
      </c>
      <c r="C15" s="373"/>
    </row>
    <row r="16" spans="2:5" x14ac:dyDescent="0.2">
      <c r="B16" s="377"/>
      <c r="C16" s="373"/>
    </row>
    <row r="17" spans="2:5" x14ac:dyDescent="0.2">
      <c r="B17" s="372" t="s">
        <v>594</v>
      </c>
      <c r="C17" s="373"/>
    </row>
    <row r="18" spans="2:5" x14ac:dyDescent="0.2">
      <c r="B18" s="372" t="s">
        <v>585</v>
      </c>
      <c r="C18" s="373"/>
    </row>
    <row r="19" spans="2:5" x14ac:dyDescent="0.2">
      <c r="B19" s="372" t="s">
        <v>595</v>
      </c>
      <c r="C19" s="373"/>
    </row>
    <row r="20" spans="2:5" x14ac:dyDescent="0.2">
      <c r="B20" s="372" t="s">
        <v>596</v>
      </c>
      <c r="C20" s="373">
        <v>525100</v>
      </c>
    </row>
    <row r="21" spans="2:5" x14ac:dyDescent="0.2">
      <c r="B21" s="372" t="s">
        <v>597</v>
      </c>
      <c r="C21" s="373">
        <v>55000</v>
      </c>
    </row>
    <row r="22" spans="2:5" x14ac:dyDescent="0.2">
      <c r="B22" s="372" t="s">
        <v>800</v>
      </c>
      <c r="C22" s="373">
        <v>80000</v>
      </c>
    </row>
    <row r="23" spans="2:5" x14ac:dyDescent="0.2">
      <c r="B23" s="372" t="s">
        <v>599</v>
      </c>
      <c r="C23" s="373">
        <v>90000</v>
      </c>
    </row>
    <row r="24" spans="2:5" x14ac:dyDescent="0.2">
      <c r="B24" s="372" t="s">
        <v>600</v>
      </c>
      <c r="C24" s="373">
        <v>540000</v>
      </c>
    </row>
    <row r="25" spans="2:5" x14ac:dyDescent="0.2">
      <c r="B25" s="372" t="s">
        <v>601</v>
      </c>
      <c r="C25" s="373">
        <v>152000</v>
      </c>
      <c r="E25" s="393"/>
    </row>
    <row r="26" spans="2:5" x14ac:dyDescent="0.2">
      <c r="B26" s="372" t="s">
        <v>602</v>
      </c>
      <c r="C26" s="373">
        <v>46000</v>
      </c>
    </row>
    <row r="27" spans="2:5" x14ac:dyDescent="0.2">
      <c r="B27" s="372" t="s">
        <v>603</v>
      </c>
      <c r="C27" s="373">
        <v>58000</v>
      </c>
      <c r="E27" s="393"/>
    </row>
    <row r="28" spans="2:5" ht="15" thickBot="1" x14ac:dyDescent="0.25">
      <c r="B28" s="372" t="s">
        <v>604</v>
      </c>
      <c r="C28" s="373">
        <v>35000</v>
      </c>
    </row>
    <row r="29" spans="2:5" ht="15" thickBot="1" x14ac:dyDescent="0.25">
      <c r="B29" s="374" t="s">
        <v>605</v>
      </c>
      <c r="C29" s="375">
        <f>SUM(C17:C28)</f>
        <v>1581100</v>
      </c>
    </row>
    <row r="30" spans="2:5" x14ac:dyDescent="0.2">
      <c r="C30" s="378"/>
    </row>
    <row r="31" spans="2:5" x14ac:dyDescent="0.2">
      <c r="B31" s="379" t="s">
        <v>606</v>
      </c>
      <c r="C31" s="378"/>
    </row>
    <row r="32" spans="2:5" x14ac:dyDescent="0.2">
      <c r="C32" s="378"/>
    </row>
    <row r="33" spans="2:4" x14ac:dyDescent="0.2">
      <c r="B33" s="2" t="s">
        <v>51</v>
      </c>
      <c r="C33" s="378">
        <v>369600</v>
      </c>
      <c r="D33" s="2" t="s">
        <v>717</v>
      </c>
    </row>
    <row r="34" spans="2:4" x14ac:dyDescent="0.2">
      <c r="B34" s="2" t="s">
        <v>806</v>
      </c>
      <c r="C34" s="378">
        <v>35000</v>
      </c>
      <c r="D34" s="2" t="s">
        <v>724</v>
      </c>
    </row>
    <row r="35" spans="2:4" x14ac:dyDescent="0.2">
      <c r="B35" s="2" t="s">
        <v>607</v>
      </c>
      <c r="C35" s="378">
        <v>55500</v>
      </c>
      <c r="D35" s="2" t="s">
        <v>724</v>
      </c>
    </row>
    <row r="36" spans="2:4" x14ac:dyDescent="0.2">
      <c r="B36" s="2" t="s">
        <v>608</v>
      </c>
      <c r="C36" s="378">
        <v>65000</v>
      </c>
      <c r="D36" s="2" t="s">
        <v>724</v>
      </c>
    </row>
    <row r="37" spans="2:4" x14ac:dyDescent="0.2">
      <c r="B37" s="326" t="s">
        <v>609</v>
      </c>
      <c r="C37" s="380">
        <f>SUM(C33:C36)</f>
        <v>525100</v>
      </c>
    </row>
    <row r="38" spans="2:4" x14ac:dyDescent="0.2">
      <c r="C38" s="378"/>
    </row>
    <row r="39" spans="2:4" x14ac:dyDescent="0.2">
      <c r="C39" s="378"/>
    </row>
    <row r="40" spans="2:4" x14ac:dyDescent="0.2">
      <c r="B40" s="2" t="s">
        <v>610</v>
      </c>
      <c r="C40" s="378">
        <v>5000</v>
      </c>
      <c r="D40" s="2" t="s">
        <v>615</v>
      </c>
    </row>
    <row r="41" spans="2:4" x14ac:dyDescent="0.2">
      <c r="B41" s="2" t="s">
        <v>611</v>
      </c>
      <c r="C41" s="378">
        <v>120000</v>
      </c>
      <c r="D41" s="2" t="s">
        <v>615</v>
      </c>
    </row>
    <row r="42" spans="2:4" x14ac:dyDescent="0.2">
      <c r="B42" s="2" t="s">
        <v>612</v>
      </c>
      <c r="C42" s="378">
        <v>359830</v>
      </c>
      <c r="D42" s="2" t="s">
        <v>717</v>
      </c>
    </row>
    <row r="43" spans="2:4" x14ac:dyDescent="0.2">
      <c r="B43" s="2" t="s">
        <v>716</v>
      </c>
      <c r="C43" s="378">
        <v>37000</v>
      </c>
      <c r="D43" s="2" t="s">
        <v>113</v>
      </c>
    </row>
    <row r="44" spans="2:4" x14ac:dyDescent="0.2">
      <c r="B44" s="2" t="s">
        <v>613</v>
      </c>
      <c r="C44" s="378">
        <v>9000</v>
      </c>
      <c r="D44" s="2" t="s">
        <v>113</v>
      </c>
    </row>
    <row r="45" spans="2:4" x14ac:dyDescent="0.2">
      <c r="B45" s="326" t="s">
        <v>614</v>
      </c>
      <c r="C45" s="380">
        <f>SUM(C40:C44)</f>
        <v>530830</v>
      </c>
    </row>
    <row r="47" spans="2:4" x14ac:dyDescent="0.2">
      <c r="D47" s="39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A120C-AA0B-E84F-BA5A-9B6219C35D27}">
  <sheetPr codeName="Foglio20">
    <tabColor theme="0" tint="-0.499984740745262"/>
  </sheetPr>
  <dimension ref="B2:O41"/>
  <sheetViews>
    <sheetView showGridLines="0" topLeftCell="A18" zoomScale="190" zoomScaleNormal="190" workbookViewId="0">
      <selection activeCell="B26" sqref="B26:B27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369" bestFit="1" customWidth="1"/>
    <col min="4" max="11" width="10.83203125" style="2"/>
    <col min="12" max="12" width="4.6640625" style="2" customWidth="1"/>
    <col min="13" max="16384" width="10.83203125" style="2"/>
  </cols>
  <sheetData>
    <row r="2" spans="2:14" x14ac:dyDescent="0.2">
      <c r="B2" s="2" t="s">
        <v>825</v>
      </c>
    </row>
    <row r="3" spans="2:14" ht="15" thickBot="1" x14ac:dyDescent="0.25"/>
    <row r="4" spans="2:14" x14ac:dyDescent="0.2">
      <c r="B4" s="699" t="s">
        <v>641</v>
      </c>
      <c r="C4" s="715" t="s">
        <v>640</v>
      </c>
      <c r="D4" s="716"/>
      <c r="E4" s="716"/>
      <c r="F4" s="716"/>
      <c r="G4" s="716"/>
      <c r="H4" s="716"/>
      <c r="I4" s="716"/>
      <c r="J4" s="716"/>
      <c r="K4" s="717"/>
      <c r="M4" s="718" t="s">
        <v>642</v>
      </c>
      <c r="N4" s="719"/>
    </row>
    <row r="5" spans="2:14" s="381" customFormat="1" x14ac:dyDescent="0.2">
      <c r="B5" s="700"/>
      <c r="C5" s="382" t="s">
        <v>616</v>
      </c>
      <c r="D5" s="383" t="s">
        <v>617</v>
      </c>
      <c r="E5" s="383" t="s">
        <v>618</v>
      </c>
      <c r="F5" s="384" t="s">
        <v>619</v>
      </c>
      <c r="G5" s="389" t="s">
        <v>639</v>
      </c>
      <c r="H5" s="392" t="s">
        <v>620</v>
      </c>
      <c r="I5" s="383" t="s">
        <v>621</v>
      </c>
      <c r="J5" s="383" t="s">
        <v>618</v>
      </c>
      <c r="K5" s="394" t="s">
        <v>622</v>
      </c>
      <c r="M5" s="392" t="s">
        <v>623</v>
      </c>
      <c r="N5" s="384" t="s">
        <v>624</v>
      </c>
    </row>
    <row r="6" spans="2:14" x14ac:dyDescent="0.2">
      <c r="B6" s="395" t="s">
        <v>625</v>
      </c>
      <c r="C6" s="385">
        <v>150000</v>
      </c>
      <c r="D6" s="378"/>
      <c r="E6" s="378"/>
      <c r="F6" s="388">
        <f>+C6+D6-E6</f>
        <v>150000</v>
      </c>
      <c r="G6" s="390">
        <v>0.15</v>
      </c>
      <c r="H6" s="385">
        <v>50000</v>
      </c>
      <c r="I6" s="393">
        <v>22500</v>
      </c>
      <c r="K6" s="396">
        <f>+H6+I6-J6</f>
        <v>72500</v>
      </c>
      <c r="M6" s="412">
        <f>+I6</f>
        <v>22500</v>
      </c>
      <c r="N6" s="387"/>
    </row>
    <row r="7" spans="2:14" x14ac:dyDescent="0.2">
      <c r="B7" s="397" t="s">
        <v>626</v>
      </c>
      <c r="C7" s="385">
        <v>1500000</v>
      </c>
      <c r="D7" s="378"/>
      <c r="E7" s="378"/>
      <c r="F7" s="388">
        <f t="shared" ref="F7:F16" si="0">+C7+D7-E7</f>
        <v>1500000</v>
      </c>
      <c r="G7" s="390">
        <v>0.2</v>
      </c>
      <c r="H7" s="385">
        <v>450000</v>
      </c>
      <c r="I7" s="393">
        <v>300000</v>
      </c>
      <c r="K7" s="396">
        <f t="shared" ref="K7:K16" si="1">+H7+I7-J7</f>
        <v>750000</v>
      </c>
      <c r="M7" s="412">
        <f t="shared" ref="M7:M8" si="2">+I7</f>
        <v>300000</v>
      </c>
      <c r="N7" s="387"/>
    </row>
    <row r="8" spans="2:14" x14ac:dyDescent="0.2">
      <c r="B8" s="397" t="s">
        <v>627</v>
      </c>
      <c r="C8" s="385">
        <v>5600000</v>
      </c>
      <c r="D8" s="378">
        <v>75000</v>
      </c>
      <c r="E8" s="378"/>
      <c r="F8" s="388">
        <f t="shared" si="0"/>
        <v>5675000</v>
      </c>
      <c r="G8" s="390">
        <v>0.15</v>
      </c>
      <c r="H8" s="385">
        <v>1200000</v>
      </c>
      <c r="I8" s="393">
        <v>845630</v>
      </c>
      <c r="K8" s="396">
        <f t="shared" si="1"/>
        <v>2045630</v>
      </c>
      <c r="M8" s="412">
        <f t="shared" si="2"/>
        <v>845630</v>
      </c>
      <c r="N8" s="387"/>
    </row>
    <row r="9" spans="2:14" x14ac:dyDescent="0.2">
      <c r="B9" s="397" t="s">
        <v>628</v>
      </c>
      <c r="C9" s="385">
        <v>400000</v>
      </c>
      <c r="D9" s="378">
        <v>26000</v>
      </c>
      <c r="E9" s="378"/>
      <c r="F9" s="388">
        <f t="shared" si="0"/>
        <v>426000</v>
      </c>
      <c r="G9" s="390">
        <v>0.15</v>
      </c>
      <c r="H9" s="385">
        <v>120000</v>
      </c>
      <c r="I9" s="393">
        <v>61950</v>
      </c>
      <c r="K9" s="396">
        <f t="shared" si="1"/>
        <v>181950</v>
      </c>
      <c r="M9" s="413"/>
      <c r="N9" s="386">
        <f>+I9</f>
        <v>61950</v>
      </c>
    </row>
    <row r="10" spans="2:14" x14ac:dyDescent="0.2">
      <c r="B10" s="397" t="s">
        <v>629</v>
      </c>
      <c r="C10" s="385">
        <v>110000</v>
      </c>
      <c r="D10" s="378">
        <v>10000</v>
      </c>
      <c r="E10" s="378"/>
      <c r="F10" s="388">
        <f t="shared" si="0"/>
        <v>120000</v>
      </c>
      <c r="G10" s="390">
        <v>0.2</v>
      </c>
      <c r="H10" s="385">
        <v>42560</v>
      </c>
      <c r="I10" s="393">
        <v>23000</v>
      </c>
      <c r="K10" s="396">
        <f t="shared" si="1"/>
        <v>65560</v>
      </c>
      <c r="M10" s="413"/>
      <c r="N10" s="386">
        <f>+I10</f>
        <v>23000</v>
      </c>
    </row>
    <row r="11" spans="2:14" x14ac:dyDescent="0.2">
      <c r="B11" s="397" t="s">
        <v>630</v>
      </c>
      <c r="C11" s="385">
        <v>250000</v>
      </c>
      <c r="D11" s="378"/>
      <c r="E11" s="378"/>
      <c r="F11" s="388">
        <f t="shared" si="0"/>
        <v>250000</v>
      </c>
      <c r="G11" s="390">
        <v>0.2</v>
      </c>
      <c r="H11" s="385">
        <v>75000</v>
      </c>
      <c r="I11" s="393">
        <v>50000</v>
      </c>
      <c r="K11" s="396">
        <f t="shared" si="1"/>
        <v>125000</v>
      </c>
      <c r="M11" s="412">
        <f>+I11</f>
        <v>50000</v>
      </c>
      <c r="N11" s="387"/>
    </row>
    <row r="12" spans="2:14" x14ac:dyDescent="0.2">
      <c r="B12" s="397" t="s">
        <v>631</v>
      </c>
      <c r="C12" s="385">
        <v>67000</v>
      </c>
      <c r="D12" s="378"/>
      <c r="E12" s="378"/>
      <c r="F12" s="388">
        <f t="shared" si="0"/>
        <v>67000</v>
      </c>
      <c r="G12" s="390">
        <v>1</v>
      </c>
      <c r="H12" s="385">
        <v>67000</v>
      </c>
      <c r="I12" s="393">
        <v>0</v>
      </c>
      <c r="K12" s="396">
        <f t="shared" si="1"/>
        <v>67000</v>
      </c>
      <c r="M12" s="413"/>
      <c r="N12" s="386">
        <f>+I12</f>
        <v>0</v>
      </c>
    </row>
    <row r="13" spans="2:14" x14ac:dyDescent="0.2">
      <c r="B13" s="397" t="s">
        <v>632</v>
      </c>
      <c r="C13" s="385">
        <v>550000</v>
      </c>
      <c r="D13" s="378"/>
      <c r="E13" s="378"/>
      <c r="F13" s="388">
        <f t="shared" si="0"/>
        <v>550000</v>
      </c>
      <c r="G13" s="390">
        <v>0.2</v>
      </c>
      <c r="H13" s="385">
        <v>164980</v>
      </c>
      <c r="I13" s="393">
        <v>110000</v>
      </c>
      <c r="K13" s="396">
        <f t="shared" si="1"/>
        <v>274980</v>
      </c>
      <c r="M13" s="413"/>
      <c r="N13" s="386">
        <f t="shared" ref="N13:N16" si="3">+I13</f>
        <v>110000</v>
      </c>
    </row>
    <row r="14" spans="2:14" x14ac:dyDescent="0.2">
      <c r="B14" s="397" t="s">
        <v>633</v>
      </c>
      <c r="C14" s="385">
        <v>3500000</v>
      </c>
      <c r="D14" s="378">
        <v>500000</v>
      </c>
      <c r="E14" s="378"/>
      <c r="F14" s="388">
        <f t="shared" si="0"/>
        <v>4000000</v>
      </c>
      <c r="G14" s="390">
        <v>0.1</v>
      </c>
      <c r="H14" s="385">
        <v>13950</v>
      </c>
      <c r="I14" s="393">
        <v>400000</v>
      </c>
      <c r="K14" s="396">
        <f t="shared" si="1"/>
        <v>413950</v>
      </c>
      <c r="M14" s="413"/>
      <c r="N14" s="386">
        <f t="shared" si="3"/>
        <v>400000</v>
      </c>
    </row>
    <row r="15" spans="2:14" x14ac:dyDescent="0.2">
      <c r="B15" s="397" t="s">
        <v>634</v>
      </c>
      <c r="C15" s="385">
        <v>4000000</v>
      </c>
      <c r="D15" s="378"/>
      <c r="E15" s="378"/>
      <c r="F15" s="388">
        <f t="shared" si="0"/>
        <v>4000000</v>
      </c>
      <c r="G15" s="390">
        <v>0.2</v>
      </c>
      <c r="H15" s="385">
        <v>145770</v>
      </c>
      <c r="I15" s="393">
        <v>800000</v>
      </c>
      <c r="K15" s="396">
        <f t="shared" si="1"/>
        <v>945770</v>
      </c>
      <c r="M15" s="413"/>
      <c r="N15" s="386">
        <f t="shared" si="3"/>
        <v>800000</v>
      </c>
    </row>
    <row r="16" spans="2:14" ht="15" thickBot="1" x14ac:dyDescent="0.25">
      <c r="B16" s="397" t="s">
        <v>635</v>
      </c>
      <c r="C16" s="385">
        <v>330000</v>
      </c>
      <c r="D16" s="378"/>
      <c r="E16" s="378"/>
      <c r="F16" s="388">
        <f t="shared" si="0"/>
        <v>330000</v>
      </c>
      <c r="G16" s="390">
        <v>0.2</v>
      </c>
      <c r="H16" s="385">
        <v>26550</v>
      </c>
      <c r="I16" s="393">
        <v>66000</v>
      </c>
      <c r="K16" s="396">
        <f t="shared" si="1"/>
        <v>92550</v>
      </c>
      <c r="M16" s="413"/>
      <c r="N16" s="386">
        <f t="shared" si="3"/>
        <v>66000</v>
      </c>
    </row>
    <row r="17" spans="2:15" s="326" customFormat="1" ht="15" thickBot="1" x14ac:dyDescent="0.25">
      <c r="B17" s="408" t="s">
        <v>3</v>
      </c>
      <c r="C17" s="409">
        <f>SUM(C6:C16)</f>
        <v>16457000</v>
      </c>
      <c r="D17" s="410">
        <f t="shared" ref="D17:H17" si="4">SUM(D6:D16)</f>
        <v>611000</v>
      </c>
      <c r="E17" s="410">
        <f t="shared" si="4"/>
        <v>0</v>
      </c>
      <c r="F17" s="375">
        <f t="shared" si="4"/>
        <v>17068000</v>
      </c>
      <c r="H17" s="411">
        <f t="shared" si="4"/>
        <v>2355810</v>
      </c>
      <c r="I17" s="410">
        <f t="shared" ref="I17" si="5">SUM(I6:I16)</f>
        <v>2679080</v>
      </c>
      <c r="J17" s="410">
        <f t="shared" ref="J17" si="6">SUM(J6:J16)</f>
        <v>0</v>
      </c>
      <c r="K17" s="375">
        <f t="shared" ref="K17" si="7">SUM(K6:K16)</f>
        <v>5034890</v>
      </c>
      <c r="M17" s="414">
        <f t="shared" ref="M17" si="8">SUM(M6:M16)</f>
        <v>1218130</v>
      </c>
      <c r="N17" s="415">
        <f t="shared" ref="N17" si="9">SUM(N6:N16)</f>
        <v>1460950</v>
      </c>
    </row>
    <row r="18" spans="2:15" x14ac:dyDescent="0.2">
      <c r="B18" s="399" t="s">
        <v>636</v>
      </c>
      <c r="C18" s="385"/>
      <c r="F18" s="387"/>
      <c r="G18" s="391"/>
      <c r="H18" s="385"/>
      <c r="K18" s="400"/>
    </row>
    <row r="19" spans="2:15" x14ac:dyDescent="0.2">
      <c r="B19" s="401" t="s">
        <v>637</v>
      </c>
      <c r="C19" s="385">
        <f>SUM(C6:C12)</f>
        <v>8077000</v>
      </c>
      <c r="D19" s="378">
        <f t="shared" ref="D19:F19" si="10">SUM(D6:D12)</f>
        <v>111000</v>
      </c>
      <c r="E19" s="378">
        <f t="shared" si="10"/>
        <v>0</v>
      </c>
      <c r="F19" s="388">
        <f t="shared" si="10"/>
        <v>8188000</v>
      </c>
      <c r="G19" s="391"/>
      <c r="H19" s="385">
        <f>SUM(H6:H12)</f>
        <v>2004560</v>
      </c>
      <c r="I19" s="378">
        <f t="shared" ref="I19:K19" si="11">SUM(I6:I12)</f>
        <v>1303080</v>
      </c>
      <c r="J19" s="378">
        <f t="shared" si="11"/>
        <v>0</v>
      </c>
      <c r="K19" s="373">
        <f t="shared" si="11"/>
        <v>3307640</v>
      </c>
    </row>
    <row r="20" spans="2:15" ht="15" thickBot="1" x14ac:dyDescent="0.25">
      <c r="B20" s="402" t="s">
        <v>638</v>
      </c>
      <c r="C20" s="403">
        <f>SUM(C13:C16)</f>
        <v>8380000</v>
      </c>
      <c r="D20" s="404">
        <f t="shared" ref="D20:F20" si="12">SUM(D13:D16)</f>
        <v>500000</v>
      </c>
      <c r="E20" s="404">
        <f t="shared" si="12"/>
        <v>0</v>
      </c>
      <c r="F20" s="405">
        <f t="shared" si="12"/>
        <v>8880000</v>
      </c>
      <c r="G20" s="406"/>
      <c r="H20" s="403">
        <f>SUM(H13:H16)</f>
        <v>351250</v>
      </c>
      <c r="I20" s="404">
        <f t="shared" ref="I20:K20" si="13">SUM(I13:I16)</f>
        <v>1376000</v>
      </c>
      <c r="J20" s="404">
        <f t="shared" si="13"/>
        <v>0</v>
      </c>
      <c r="K20" s="407">
        <f t="shared" si="13"/>
        <v>1727250</v>
      </c>
    </row>
    <row r="22" spans="2:15" ht="15" thickBot="1" x14ac:dyDescent="0.25"/>
    <row r="23" spans="2:15" x14ac:dyDescent="0.2">
      <c r="B23" s="699" t="s">
        <v>641</v>
      </c>
      <c r="C23" s="720" t="s">
        <v>98</v>
      </c>
      <c r="D23" s="721"/>
      <c r="E23" s="721"/>
      <c r="F23" s="721"/>
      <c r="G23" s="721"/>
      <c r="H23" s="721"/>
      <c r="I23" s="721"/>
      <c r="J23" s="721"/>
      <c r="K23" s="722"/>
      <c r="M23" s="718" t="s">
        <v>642</v>
      </c>
      <c r="N23" s="719"/>
    </row>
    <row r="24" spans="2:15" x14ac:dyDescent="0.2">
      <c r="B24" s="700"/>
      <c r="C24" s="382" t="s">
        <v>643</v>
      </c>
      <c r="D24" s="383" t="s">
        <v>644</v>
      </c>
      <c r="E24" s="383" t="s">
        <v>645</v>
      </c>
      <c r="F24" s="384" t="s">
        <v>646</v>
      </c>
      <c r="G24" s="389" t="s">
        <v>639</v>
      </c>
      <c r="H24" s="392" t="s">
        <v>622</v>
      </c>
      <c r="I24" s="383" t="s">
        <v>647</v>
      </c>
      <c r="J24" s="383" t="s">
        <v>645</v>
      </c>
      <c r="K24" s="394" t="s">
        <v>648</v>
      </c>
      <c r="L24" s="381"/>
      <c r="M24" s="392" t="s">
        <v>623</v>
      </c>
      <c r="N24" s="384" t="s">
        <v>624</v>
      </c>
    </row>
    <row r="25" spans="2:15" x14ac:dyDescent="0.2">
      <c r="B25" s="395" t="s">
        <v>625</v>
      </c>
      <c r="C25" s="385">
        <f>+F6</f>
        <v>150000</v>
      </c>
      <c r="D25" s="378"/>
      <c r="E25" s="378"/>
      <c r="F25" s="388">
        <f>+C25+D25-E25</f>
        <v>150000</v>
      </c>
      <c r="G25" s="390">
        <v>0.15</v>
      </c>
      <c r="H25" s="385">
        <f>+K6</f>
        <v>72500</v>
      </c>
      <c r="I25" s="393">
        <v>22500</v>
      </c>
      <c r="K25" s="396">
        <f>+H25+I25-J25</f>
        <v>95000</v>
      </c>
      <c r="M25" s="412">
        <f>+I25</f>
        <v>22500</v>
      </c>
      <c r="N25" s="387"/>
    </row>
    <row r="26" spans="2:15" x14ac:dyDescent="0.2">
      <c r="B26" s="397" t="s">
        <v>626</v>
      </c>
      <c r="C26" s="385">
        <f t="shared" ref="C26:C35" si="14">+F7</f>
        <v>1500000</v>
      </c>
      <c r="D26" s="378"/>
      <c r="E26" s="378"/>
      <c r="F26" s="388">
        <f t="shared" ref="F26:F35" si="15">+C26+D26-E26</f>
        <v>1500000</v>
      </c>
      <c r="G26" s="390">
        <v>0.2</v>
      </c>
      <c r="H26" s="385">
        <f t="shared" ref="H26:H35" si="16">+K7</f>
        <v>750000</v>
      </c>
      <c r="I26" s="393">
        <v>300000</v>
      </c>
      <c r="K26" s="396">
        <f t="shared" ref="K26:K35" si="17">+H26+I26-J26</f>
        <v>1050000</v>
      </c>
      <c r="M26" s="412">
        <f t="shared" ref="M26:M27" si="18">+I26</f>
        <v>300000</v>
      </c>
      <c r="N26" s="387"/>
    </row>
    <row r="27" spans="2:15" x14ac:dyDescent="0.2">
      <c r="B27" s="397" t="s">
        <v>627</v>
      </c>
      <c r="C27" s="385">
        <f t="shared" si="14"/>
        <v>5675000</v>
      </c>
      <c r="D27" s="378"/>
      <c r="E27" s="378"/>
      <c r="F27" s="388">
        <f t="shared" si="15"/>
        <v>5675000</v>
      </c>
      <c r="G27" s="390">
        <v>0.15</v>
      </c>
      <c r="H27" s="385">
        <f t="shared" si="16"/>
        <v>2045630</v>
      </c>
      <c r="I27" s="393">
        <v>851250</v>
      </c>
      <c r="K27" s="396">
        <f t="shared" si="17"/>
        <v>2896880</v>
      </c>
      <c r="M27" s="412">
        <f t="shared" si="18"/>
        <v>851250</v>
      </c>
      <c r="N27" s="387"/>
    </row>
    <row r="28" spans="2:15" x14ac:dyDescent="0.2">
      <c r="B28" s="397" t="s">
        <v>628</v>
      </c>
      <c r="C28" s="385">
        <f t="shared" si="14"/>
        <v>426000</v>
      </c>
      <c r="D28" s="378"/>
      <c r="E28" s="378"/>
      <c r="F28" s="388">
        <f t="shared" si="15"/>
        <v>426000</v>
      </c>
      <c r="G28" s="390">
        <v>0.15</v>
      </c>
      <c r="H28" s="385">
        <f t="shared" si="16"/>
        <v>181950</v>
      </c>
      <c r="I28" s="393">
        <v>63900</v>
      </c>
      <c r="K28" s="396">
        <f t="shared" si="17"/>
        <v>245850</v>
      </c>
      <c r="M28" s="413"/>
      <c r="N28" s="386">
        <f>+I28</f>
        <v>63900</v>
      </c>
      <c r="O28" s="2" t="s">
        <v>803</v>
      </c>
    </row>
    <row r="29" spans="2:15" x14ac:dyDescent="0.2">
      <c r="B29" s="397" t="s">
        <v>629</v>
      </c>
      <c r="C29" s="385">
        <f t="shared" si="14"/>
        <v>120000</v>
      </c>
      <c r="D29" s="378"/>
      <c r="E29" s="378"/>
      <c r="F29" s="388">
        <f t="shared" si="15"/>
        <v>120000</v>
      </c>
      <c r="G29" s="390">
        <v>0.2</v>
      </c>
      <c r="H29" s="385">
        <f t="shared" si="16"/>
        <v>65560</v>
      </c>
      <c r="I29" s="393">
        <v>24000</v>
      </c>
      <c r="K29" s="396">
        <f t="shared" si="17"/>
        <v>89560</v>
      </c>
      <c r="M29" s="413"/>
      <c r="N29" s="386">
        <f>+I29</f>
        <v>24000</v>
      </c>
      <c r="O29" s="2" t="s">
        <v>803</v>
      </c>
    </row>
    <row r="30" spans="2:15" x14ac:dyDescent="0.2">
      <c r="B30" s="397" t="s">
        <v>630</v>
      </c>
      <c r="C30" s="385">
        <f t="shared" si="14"/>
        <v>250000</v>
      </c>
      <c r="D30" s="378"/>
      <c r="E30" s="378"/>
      <c r="F30" s="388">
        <f t="shared" si="15"/>
        <v>250000</v>
      </c>
      <c r="G30" s="390">
        <v>0.2</v>
      </c>
      <c r="H30" s="385">
        <f t="shared" si="16"/>
        <v>125000</v>
      </c>
      <c r="I30" s="393">
        <v>50000</v>
      </c>
      <c r="K30" s="396">
        <f t="shared" si="17"/>
        <v>175000</v>
      </c>
      <c r="M30" s="412">
        <f>+I30</f>
        <v>50000</v>
      </c>
      <c r="N30" s="387"/>
    </row>
    <row r="31" spans="2:15" x14ac:dyDescent="0.2">
      <c r="B31" s="397" t="s">
        <v>631</v>
      </c>
      <c r="C31" s="385">
        <f t="shared" si="14"/>
        <v>67000</v>
      </c>
      <c r="D31" s="378"/>
      <c r="E31" s="378"/>
      <c r="F31" s="388">
        <f t="shared" si="15"/>
        <v>67000</v>
      </c>
      <c r="G31" s="390">
        <v>1</v>
      </c>
      <c r="H31" s="385">
        <f t="shared" si="16"/>
        <v>67000</v>
      </c>
      <c r="I31" s="393">
        <v>0</v>
      </c>
      <c r="K31" s="396">
        <f t="shared" si="17"/>
        <v>67000</v>
      </c>
      <c r="M31" s="413"/>
      <c r="N31" s="386">
        <f>+I31</f>
        <v>0</v>
      </c>
    </row>
    <row r="32" spans="2:15" x14ac:dyDescent="0.2">
      <c r="B32" s="397" t="s">
        <v>632</v>
      </c>
      <c r="C32" s="385">
        <f t="shared" si="14"/>
        <v>550000</v>
      </c>
      <c r="D32" s="416">
        <v>30000</v>
      </c>
      <c r="E32" s="378"/>
      <c r="F32" s="388">
        <f t="shared" si="15"/>
        <v>580000</v>
      </c>
      <c r="G32" s="390">
        <v>0.2</v>
      </c>
      <c r="H32" s="385">
        <f t="shared" si="16"/>
        <v>274980</v>
      </c>
      <c r="I32" s="393">
        <v>116000</v>
      </c>
      <c r="K32" s="396">
        <f t="shared" si="17"/>
        <v>390980</v>
      </c>
      <c r="M32" s="413"/>
      <c r="N32" s="386">
        <f t="shared" ref="N32:N35" si="19">+I32</f>
        <v>116000</v>
      </c>
      <c r="O32" s="2" t="s">
        <v>803</v>
      </c>
    </row>
    <row r="33" spans="2:15" x14ac:dyDescent="0.2">
      <c r="B33" s="397" t="s">
        <v>633</v>
      </c>
      <c r="C33" s="385">
        <f t="shared" si="14"/>
        <v>4000000</v>
      </c>
      <c r="D33" s="378"/>
      <c r="E33" s="378"/>
      <c r="F33" s="388">
        <f t="shared" si="15"/>
        <v>4000000</v>
      </c>
      <c r="G33" s="390">
        <v>0.1</v>
      </c>
      <c r="H33" s="385">
        <f t="shared" si="16"/>
        <v>413950</v>
      </c>
      <c r="I33" s="393">
        <v>400000</v>
      </c>
      <c r="K33" s="396">
        <f t="shared" si="17"/>
        <v>813950</v>
      </c>
      <c r="M33" s="413"/>
      <c r="N33" s="386">
        <f t="shared" si="19"/>
        <v>400000</v>
      </c>
      <c r="O33" s="2" t="s">
        <v>804</v>
      </c>
    </row>
    <row r="34" spans="2:15" x14ac:dyDescent="0.2">
      <c r="B34" s="397" t="s">
        <v>634</v>
      </c>
      <c r="C34" s="385">
        <f t="shared" si="14"/>
        <v>4000000</v>
      </c>
      <c r="D34" s="378"/>
      <c r="E34" s="378"/>
      <c r="F34" s="388">
        <f t="shared" si="15"/>
        <v>4000000</v>
      </c>
      <c r="G34" s="390">
        <v>0.2</v>
      </c>
      <c r="H34" s="385">
        <f t="shared" si="16"/>
        <v>945770</v>
      </c>
      <c r="I34" s="393">
        <v>800000</v>
      </c>
      <c r="K34" s="396">
        <f t="shared" si="17"/>
        <v>1745770</v>
      </c>
      <c r="M34" s="413"/>
      <c r="N34" s="386">
        <f t="shared" si="19"/>
        <v>800000</v>
      </c>
      <c r="O34" s="2" t="s">
        <v>805</v>
      </c>
    </row>
    <row r="35" spans="2:15" ht="15" thickBot="1" x14ac:dyDescent="0.25">
      <c r="B35" s="397" t="s">
        <v>635</v>
      </c>
      <c r="C35" s="385">
        <f t="shared" si="14"/>
        <v>330000</v>
      </c>
      <c r="D35" s="378"/>
      <c r="E35" s="378"/>
      <c r="F35" s="388">
        <f t="shared" si="15"/>
        <v>330000</v>
      </c>
      <c r="G35" s="390">
        <v>0.2</v>
      </c>
      <c r="H35" s="385">
        <f t="shared" si="16"/>
        <v>92550</v>
      </c>
      <c r="I35" s="393">
        <v>66000</v>
      </c>
      <c r="K35" s="396">
        <f t="shared" si="17"/>
        <v>158550</v>
      </c>
      <c r="M35" s="413"/>
      <c r="N35" s="386">
        <f t="shared" si="19"/>
        <v>66000</v>
      </c>
      <c r="O35" s="2" t="s">
        <v>805</v>
      </c>
    </row>
    <row r="36" spans="2:15" ht="15" thickBot="1" x14ac:dyDescent="0.25">
      <c r="B36" s="408" t="s">
        <v>3</v>
      </c>
      <c r="C36" s="409">
        <f>SUM(C25:C35)</f>
        <v>17068000</v>
      </c>
      <c r="D36" s="410">
        <f t="shared" ref="D36" si="20">SUM(D25:D35)</f>
        <v>30000</v>
      </c>
      <c r="E36" s="410">
        <f t="shared" ref="E36" si="21">SUM(E25:E35)</f>
        <v>0</v>
      </c>
      <c r="F36" s="375">
        <f t="shared" ref="F36" si="22">SUM(F25:F35)</f>
        <v>17098000</v>
      </c>
      <c r="G36" s="326"/>
      <c r="H36" s="411">
        <f t="shared" ref="H36" si="23">SUM(H25:H35)</f>
        <v>5034890</v>
      </c>
      <c r="I36" s="410">
        <f t="shared" ref="I36" si="24">SUM(I25:I35)</f>
        <v>2693650</v>
      </c>
      <c r="J36" s="410">
        <f t="shared" ref="J36" si="25">SUM(J25:J35)</f>
        <v>0</v>
      </c>
      <c r="K36" s="375">
        <f t="shared" ref="K36" si="26">SUM(K25:K35)</f>
        <v>7728540</v>
      </c>
      <c r="L36" s="326"/>
      <c r="M36" s="414">
        <f t="shared" ref="M36" si="27">SUM(M25:M35)</f>
        <v>1223750</v>
      </c>
      <c r="N36" s="415">
        <f t="shared" ref="N36" si="28">SUM(N25:N35)</f>
        <v>1469900</v>
      </c>
    </row>
    <row r="37" spans="2:15" x14ac:dyDescent="0.2">
      <c r="B37" s="399" t="s">
        <v>636</v>
      </c>
      <c r="C37" s="385"/>
      <c r="F37" s="387"/>
      <c r="G37" s="391"/>
      <c r="H37" s="385"/>
      <c r="K37" s="400"/>
    </row>
    <row r="38" spans="2:15" x14ac:dyDescent="0.2">
      <c r="B38" s="401" t="s">
        <v>637</v>
      </c>
      <c r="C38" s="385">
        <f>SUM(C25:C31)</f>
        <v>8188000</v>
      </c>
      <c r="D38" s="378">
        <f t="shared" ref="D38:F38" si="29">SUM(D25:D31)</f>
        <v>0</v>
      </c>
      <c r="E38" s="378">
        <f t="shared" si="29"/>
        <v>0</v>
      </c>
      <c r="F38" s="388">
        <f t="shared" si="29"/>
        <v>8188000</v>
      </c>
      <c r="G38" s="391"/>
      <c r="H38" s="385">
        <f>SUM(H25:H31)</f>
        <v>3307640</v>
      </c>
      <c r="I38" s="378">
        <f t="shared" ref="I38:K38" si="30">SUM(I25:I31)</f>
        <v>1311650</v>
      </c>
      <c r="J38" s="378">
        <f t="shared" si="30"/>
        <v>0</v>
      </c>
      <c r="K38" s="373">
        <f t="shared" si="30"/>
        <v>4619290</v>
      </c>
    </row>
    <row r="39" spans="2:15" ht="15" thickBot="1" x14ac:dyDescent="0.25">
      <c r="B39" s="402" t="s">
        <v>638</v>
      </c>
      <c r="C39" s="403">
        <f>SUM(C32:C35)</f>
        <v>8880000</v>
      </c>
      <c r="D39" s="404">
        <f t="shared" ref="D39:F39" si="31">SUM(D32:D35)</f>
        <v>30000</v>
      </c>
      <c r="E39" s="404">
        <f t="shared" si="31"/>
        <v>0</v>
      </c>
      <c r="F39" s="405">
        <f t="shared" si="31"/>
        <v>8910000</v>
      </c>
      <c r="G39" s="406"/>
      <c r="H39" s="403">
        <f>SUM(H32:H35)</f>
        <v>1727250</v>
      </c>
      <c r="I39" s="404">
        <f t="shared" ref="I39:K39" si="32">SUM(I32:I35)</f>
        <v>1382000</v>
      </c>
      <c r="J39" s="404">
        <f t="shared" si="32"/>
        <v>0</v>
      </c>
      <c r="K39" s="407">
        <f t="shared" si="32"/>
        <v>3109250</v>
      </c>
    </row>
    <row r="41" spans="2:15" x14ac:dyDescent="0.2">
      <c r="I41" s="393">
        <f>G32*C32</f>
        <v>110000</v>
      </c>
      <c r="J41" s="393">
        <f>+G32*D32</f>
        <v>6000</v>
      </c>
    </row>
  </sheetData>
  <mergeCells count="6">
    <mergeCell ref="C4:K4"/>
    <mergeCell ref="B4:B5"/>
    <mergeCell ref="M4:N4"/>
    <mergeCell ref="B23:B24"/>
    <mergeCell ref="C23:K23"/>
    <mergeCell ref="M23:N2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56182-8D37-1A47-87E1-0C538722D10D}">
  <dimension ref="B3:G36"/>
  <sheetViews>
    <sheetView showGridLines="0" topLeftCell="A4" zoomScale="154" zoomScaleNormal="170" workbookViewId="0">
      <selection activeCell="E13" sqref="E13:F21"/>
    </sheetView>
  </sheetViews>
  <sheetFormatPr baseColWidth="10" defaultRowHeight="14" x14ac:dyDescent="0.15"/>
  <cols>
    <col min="1" max="1" width="10.83203125" style="486"/>
    <col min="2" max="2" width="26" style="486" customWidth="1"/>
    <col min="3" max="3" width="12.1640625" style="486" customWidth="1"/>
    <col min="4" max="4" width="10.5" style="486" customWidth="1"/>
    <col min="5" max="5" width="12.1640625" style="486" customWidth="1"/>
    <col min="6" max="6" width="13" style="486" customWidth="1"/>
    <col min="7" max="7" width="10.83203125" style="486"/>
    <col min="8" max="8" width="1.5" style="486" customWidth="1"/>
    <col min="9" max="16384" width="10.83203125" style="486"/>
  </cols>
  <sheetData>
    <row r="3" spans="2:7" x14ac:dyDescent="0.15">
      <c r="B3" s="486" t="s">
        <v>826</v>
      </c>
    </row>
    <row r="5" spans="2:7" ht="15" thickBot="1" x14ac:dyDescent="0.2"/>
    <row r="6" spans="2:7" ht="30" x14ac:dyDescent="0.15">
      <c r="B6" s="493"/>
      <c r="C6" s="501" t="s">
        <v>98</v>
      </c>
      <c r="D6" s="494" t="s">
        <v>789</v>
      </c>
      <c r="E6" s="495" t="s">
        <v>714</v>
      </c>
      <c r="F6" s="496" t="s">
        <v>715</v>
      </c>
      <c r="G6" s="603" t="s">
        <v>794</v>
      </c>
    </row>
    <row r="7" spans="2:7" x14ac:dyDescent="0.15">
      <c r="B7" s="497"/>
      <c r="C7" s="487"/>
      <c r="D7" s="487"/>
      <c r="E7" s="490"/>
      <c r="G7" s="604"/>
    </row>
    <row r="8" spans="2:7" x14ac:dyDescent="0.15">
      <c r="B8" s="497" t="s">
        <v>790</v>
      </c>
      <c r="C8" s="488">
        <f>'Tab. 14'!O125</f>
        <v>2581297.2558621578</v>
      </c>
      <c r="D8" s="489" t="s">
        <v>791</v>
      </c>
      <c r="E8" s="491">
        <f>'Tab. 15'!C17+'Tab. 15'!C18+'Tab. 15'!C19</f>
        <v>2331758.2099548029</v>
      </c>
      <c r="F8" s="492">
        <f>'Tab. 15'!D17+'Tab. 15'!D18+'Tab. 15'!D19</f>
        <v>249539.04590735177</v>
      </c>
      <c r="G8" s="605">
        <f>+C8-E8-F8</f>
        <v>3.14321368932724E-9</v>
      </c>
    </row>
    <row r="9" spans="2:7" x14ac:dyDescent="0.15">
      <c r="B9" s="497" t="s">
        <v>792</v>
      </c>
      <c r="C9" s="601">
        <f>'Tab. 14'!O145-C8</f>
        <v>2394207.3366127061</v>
      </c>
      <c r="D9" s="489" t="s">
        <v>793</v>
      </c>
      <c r="E9" s="491"/>
      <c r="F9" s="492"/>
      <c r="G9" s="605">
        <f>+C9-E9-F9</f>
        <v>2394207.3366127061</v>
      </c>
    </row>
    <row r="10" spans="2:7" x14ac:dyDescent="0.15">
      <c r="B10" s="497" t="s">
        <v>584</v>
      </c>
      <c r="C10" s="488">
        <f>+'All. 9'!C5</f>
        <v>125000</v>
      </c>
      <c r="D10" s="489" t="s">
        <v>793</v>
      </c>
      <c r="E10" s="490"/>
      <c r="G10" s="605">
        <f t="shared" ref="G10:G32" si="0">+C10-E10-F10</f>
        <v>125000</v>
      </c>
    </row>
    <row r="11" spans="2:7" x14ac:dyDescent="0.15">
      <c r="B11" s="497" t="s">
        <v>585</v>
      </c>
      <c r="C11" s="488">
        <f>+'All. 9'!C6</f>
        <v>150000</v>
      </c>
      <c r="D11" s="489" t="s">
        <v>793</v>
      </c>
      <c r="E11" s="490"/>
      <c r="G11" s="605">
        <f t="shared" si="0"/>
        <v>150000</v>
      </c>
    </row>
    <row r="12" spans="2:7" x14ac:dyDescent="0.15">
      <c r="B12" s="497" t="s">
        <v>586</v>
      </c>
      <c r="C12" s="488">
        <f>+'All. 9'!C7</f>
        <v>860000</v>
      </c>
      <c r="D12" s="489" t="s">
        <v>793</v>
      </c>
      <c r="E12" s="490"/>
      <c r="G12" s="605">
        <f t="shared" si="0"/>
        <v>860000</v>
      </c>
    </row>
    <row r="13" spans="2:7" x14ac:dyDescent="0.15">
      <c r="B13" s="497" t="s">
        <v>587</v>
      </c>
      <c r="C13" s="488">
        <f>+'All. 9'!C8</f>
        <v>1151250</v>
      </c>
      <c r="D13" s="489" t="s">
        <v>791</v>
      </c>
      <c r="E13" s="491">
        <f>'All. 10'!I27</f>
        <v>851250</v>
      </c>
      <c r="F13" s="492">
        <f>+'All. 10'!I26</f>
        <v>300000</v>
      </c>
      <c r="G13" s="605">
        <f t="shared" si="0"/>
        <v>0</v>
      </c>
    </row>
    <row r="14" spans="2:7" x14ac:dyDescent="0.15">
      <c r="B14" s="497" t="s">
        <v>588</v>
      </c>
      <c r="C14" s="488">
        <f>+'All. 9'!C9</f>
        <v>72500</v>
      </c>
      <c r="D14" s="489" t="s">
        <v>793</v>
      </c>
      <c r="E14" s="490"/>
      <c r="G14" s="605">
        <f t="shared" si="0"/>
        <v>72500</v>
      </c>
    </row>
    <row r="15" spans="2:7" x14ac:dyDescent="0.15">
      <c r="B15" s="497" t="s">
        <v>799</v>
      </c>
      <c r="C15" s="488">
        <f>'All. 10'!I36-C13-C14</f>
        <v>1469900</v>
      </c>
      <c r="D15" s="489" t="s">
        <v>793</v>
      </c>
      <c r="E15" s="490"/>
      <c r="G15" s="605">
        <f t="shared" si="0"/>
        <v>1469900</v>
      </c>
    </row>
    <row r="16" spans="2:7" x14ac:dyDescent="0.15">
      <c r="B16" s="497" t="s">
        <v>795</v>
      </c>
      <c r="C16" s="488">
        <f>+'All. 9'!C40</f>
        <v>5000</v>
      </c>
      <c r="D16" s="489" t="s">
        <v>793</v>
      </c>
      <c r="E16" s="491"/>
      <c r="F16" s="492"/>
      <c r="G16" s="605">
        <f t="shared" si="0"/>
        <v>5000</v>
      </c>
    </row>
    <row r="17" spans="2:7" x14ac:dyDescent="0.15">
      <c r="B17" s="497" t="s">
        <v>796</v>
      </c>
      <c r="C17" s="488">
        <f>+'All. 9'!C41</f>
        <v>120000</v>
      </c>
      <c r="D17" s="489" t="s">
        <v>791</v>
      </c>
      <c r="E17" s="491">
        <f>C17/SUM($E$36:$F$36)*E36</f>
        <v>90000</v>
      </c>
      <c r="F17" s="492">
        <f>C17/SUM($E$36:$F$36)*F36</f>
        <v>30000</v>
      </c>
      <c r="G17" s="605">
        <f t="shared" si="0"/>
        <v>0</v>
      </c>
    </row>
    <row r="18" spans="2:7" x14ac:dyDescent="0.15">
      <c r="B18" s="497" t="s">
        <v>797</v>
      </c>
      <c r="C18" s="488">
        <f>'All. 9'!C42</f>
        <v>359830</v>
      </c>
      <c r="D18" s="489" t="s">
        <v>793</v>
      </c>
      <c r="E18" s="491"/>
      <c r="F18" s="492"/>
      <c r="G18" s="605">
        <f t="shared" si="0"/>
        <v>359830</v>
      </c>
    </row>
    <row r="19" spans="2:7" x14ac:dyDescent="0.15">
      <c r="B19" s="497" t="s">
        <v>807</v>
      </c>
      <c r="C19" s="488">
        <f>'All. 9'!C43</f>
        <v>37000</v>
      </c>
      <c r="D19" s="489" t="s">
        <v>793</v>
      </c>
      <c r="E19" s="491"/>
      <c r="F19" s="492"/>
      <c r="G19" s="605">
        <f t="shared" si="0"/>
        <v>37000</v>
      </c>
    </row>
    <row r="20" spans="2:7" x14ac:dyDescent="0.15">
      <c r="B20" s="497" t="s">
        <v>798</v>
      </c>
      <c r="C20" s="488">
        <f>'All. 9'!C44</f>
        <v>9000</v>
      </c>
      <c r="D20" s="489" t="s">
        <v>793</v>
      </c>
      <c r="E20" s="491"/>
      <c r="F20" s="492"/>
      <c r="G20" s="605">
        <f t="shared" si="0"/>
        <v>9000</v>
      </c>
    </row>
    <row r="21" spans="2:7" x14ac:dyDescent="0.15">
      <c r="B21" s="497" t="s">
        <v>591</v>
      </c>
      <c r="C21" s="488">
        <f>+'All. 9'!C12</f>
        <v>48000</v>
      </c>
      <c r="D21" s="489" t="s">
        <v>791</v>
      </c>
      <c r="E21" s="491">
        <f>C21/SUM($E$36:$F$36)*E36</f>
        <v>36000</v>
      </c>
      <c r="F21" s="492">
        <f>C21/SUM($E$36:$F$36)*F36</f>
        <v>12000</v>
      </c>
      <c r="G21" s="605">
        <f t="shared" si="0"/>
        <v>0</v>
      </c>
    </row>
    <row r="22" spans="2:7" x14ac:dyDescent="0.15">
      <c r="B22" s="497" t="s">
        <v>51</v>
      </c>
      <c r="C22" s="488">
        <f>'All. 9'!C33</f>
        <v>369600</v>
      </c>
      <c r="D22" s="489" t="s">
        <v>793</v>
      </c>
      <c r="E22" s="491"/>
      <c r="F22" s="492"/>
      <c r="G22" s="605">
        <f t="shared" si="0"/>
        <v>369600</v>
      </c>
    </row>
    <row r="23" spans="2:7" x14ac:dyDescent="0.15">
      <c r="B23" s="497" t="s">
        <v>806</v>
      </c>
      <c r="C23" s="488">
        <f>'All. 9'!C34</f>
        <v>35000</v>
      </c>
      <c r="D23" s="489" t="s">
        <v>793</v>
      </c>
      <c r="E23" s="491"/>
      <c r="F23" s="492"/>
      <c r="G23" s="605">
        <f t="shared" si="0"/>
        <v>35000</v>
      </c>
    </row>
    <row r="24" spans="2:7" x14ac:dyDescent="0.15">
      <c r="B24" s="497" t="s">
        <v>607</v>
      </c>
      <c r="C24" s="488">
        <f>'All. 9'!C35</f>
        <v>55500</v>
      </c>
      <c r="D24" s="489" t="s">
        <v>793</v>
      </c>
      <c r="E24" s="491"/>
      <c r="F24" s="492"/>
      <c r="G24" s="605">
        <f t="shared" si="0"/>
        <v>55500</v>
      </c>
    </row>
    <row r="25" spans="2:7" x14ac:dyDescent="0.15">
      <c r="B25" s="497" t="s">
        <v>608</v>
      </c>
      <c r="C25" s="488">
        <f>'All. 9'!C36</f>
        <v>65000</v>
      </c>
      <c r="D25" s="489" t="s">
        <v>793</v>
      </c>
      <c r="E25" s="491"/>
      <c r="F25" s="492"/>
      <c r="G25" s="605">
        <f t="shared" si="0"/>
        <v>65000</v>
      </c>
    </row>
    <row r="26" spans="2:7" x14ac:dyDescent="0.15">
      <c r="B26" s="497" t="s">
        <v>597</v>
      </c>
      <c r="C26" s="488">
        <f>'All. 9'!C21</f>
        <v>55000</v>
      </c>
      <c r="D26" s="489" t="s">
        <v>793</v>
      </c>
      <c r="E26" s="491"/>
      <c r="F26" s="492"/>
      <c r="G26" s="605">
        <f t="shared" si="0"/>
        <v>55000</v>
      </c>
    </row>
    <row r="27" spans="2:7" x14ac:dyDescent="0.15">
      <c r="B27" s="497" t="s">
        <v>598</v>
      </c>
      <c r="C27" s="488">
        <f>'All. 9'!C22</f>
        <v>80000</v>
      </c>
      <c r="D27" s="489" t="s">
        <v>793</v>
      </c>
      <c r="E27" s="491"/>
      <c r="F27" s="492"/>
      <c r="G27" s="605">
        <f t="shared" si="0"/>
        <v>80000</v>
      </c>
    </row>
    <row r="28" spans="2:7" x14ac:dyDescent="0.15">
      <c r="B28" s="497" t="s">
        <v>599</v>
      </c>
      <c r="C28" s="488">
        <f>'All. 9'!C23</f>
        <v>90000</v>
      </c>
      <c r="D28" s="489" t="s">
        <v>793</v>
      </c>
      <c r="E28" s="491"/>
      <c r="F28" s="492"/>
      <c r="G28" s="605">
        <f t="shared" si="0"/>
        <v>90000</v>
      </c>
    </row>
    <row r="29" spans="2:7" x14ac:dyDescent="0.15">
      <c r="B29" s="497" t="s">
        <v>600</v>
      </c>
      <c r="C29" s="488">
        <f>'All. 9'!C24</f>
        <v>540000</v>
      </c>
      <c r="D29" s="489" t="s">
        <v>793</v>
      </c>
      <c r="E29" s="491"/>
      <c r="F29" s="492"/>
      <c r="G29" s="605">
        <f t="shared" si="0"/>
        <v>540000</v>
      </c>
    </row>
    <row r="30" spans="2:7" x14ac:dyDescent="0.15">
      <c r="B30" s="497" t="s">
        <v>601</v>
      </c>
      <c r="C30" s="488">
        <f>'All. 9'!C25</f>
        <v>152000</v>
      </c>
      <c r="D30" s="489" t="s">
        <v>793</v>
      </c>
      <c r="E30" s="491"/>
      <c r="F30" s="492"/>
      <c r="G30" s="605">
        <f t="shared" si="0"/>
        <v>152000</v>
      </c>
    </row>
    <row r="31" spans="2:7" x14ac:dyDescent="0.15">
      <c r="B31" s="497" t="s">
        <v>603</v>
      </c>
      <c r="C31" s="488">
        <f>'All. 9'!C27</f>
        <v>58000</v>
      </c>
      <c r="D31" s="489" t="s">
        <v>793</v>
      </c>
      <c r="E31" s="491"/>
      <c r="F31" s="492"/>
      <c r="G31" s="605">
        <f t="shared" si="0"/>
        <v>58000</v>
      </c>
    </row>
    <row r="32" spans="2:7" x14ac:dyDescent="0.15">
      <c r="B32" s="497" t="s">
        <v>604</v>
      </c>
      <c r="C32" s="488">
        <f>'All. 9'!C28</f>
        <v>35000</v>
      </c>
      <c r="D32" s="607" t="s">
        <v>793</v>
      </c>
      <c r="E32" s="491"/>
      <c r="F32" s="492"/>
      <c r="G32" s="605">
        <f t="shared" si="0"/>
        <v>35000</v>
      </c>
    </row>
    <row r="33" spans="2:7" ht="15" thickBot="1" x14ac:dyDescent="0.2">
      <c r="B33" s="498" t="s">
        <v>3</v>
      </c>
      <c r="C33" s="499">
        <f>SUM(C8:C32)</f>
        <v>10918084.592474863</v>
      </c>
      <c r="D33" s="500"/>
      <c r="E33" s="502">
        <f t="shared" ref="E33:F33" si="1">SUM(E8:E32)</f>
        <v>3309008.2099548029</v>
      </c>
      <c r="F33" s="602">
        <f t="shared" si="1"/>
        <v>591539.04590735177</v>
      </c>
      <c r="G33" s="606">
        <f>SUM(G8:G32)</f>
        <v>7017537.3366127089</v>
      </c>
    </row>
    <row r="36" spans="2:7" x14ac:dyDescent="0.15">
      <c r="D36" s="486" t="s">
        <v>713</v>
      </c>
      <c r="E36" s="486">
        <v>3</v>
      </c>
      <c r="F36" s="486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83A5-FE9F-DC4A-ACCF-9449521E30C6}">
  <sheetPr codeName="Foglio3">
    <pageSetUpPr fitToPage="1"/>
  </sheetPr>
  <dimension ref="B1:S34"/>
  <sheetViews>
    <sheetView showGridLines="0" topLeftCell="A17" zoomScale="189" zoomScaleNormal="180" workbookViewId="0">
      <selection activeCell="C15" sqref="C15"/>
    </sheetView>
  </sheetViews>
  <sheetFormatPr baseColWidth="10" defaultRowHeight="16" x14ac:dyDescent="0.2"/>
  <cols>
    <col min="1" max="1" width="2" style="3" customWidth="1"/>
    <col min="2" max="2" width="18.83203125" style="3" customWidth="1"/>
    <col min="3" max="3" width="8.1640625" style="3" customWidth="1"/>
    <col min="4" max="4" width="7.5" style="3" customWidth="1"/>
    <col min="5" max="5" width="13.5" style="3" customWidth="1"/>
    <col min="6" max="6" width="7.83203125" style="3" bestFit="1" customWidth="1"/>
    <col min="7" max="7" width="7.5" style="3" customWidth="1"/>
    <col min="8" max="8" width="13.6640625" style="3" customWidth="1"/>
    <col min="9" max="10" width="7.5" style="3" customWidth="1"/>
    <col min="11" max="11" width="13.83203125" style="3" customWidth="1"/>
    <col min="12" max="12" width="11.33203125" style="3" customWidth="1"/>
    <col min="13" max="13" width="7.5" style="3" customWidth="1"/>
    <col min="14" max="14" width="14.5" style="3" customWidth="1"/>
    <col min="15" max="15" width="5" style="3" customWidth="1"/>
    <col min="16" max="19" width="8.1640625" style="3" customWidth="1"/>
    <col min="20" max="16384" width="10.83203125" style="3"/>
  </cols>
  <sheetData>
    <row r="1" spans="2:19" x14ac:dyDescent="0.2">
      <c r="B1" s="77" t="s">
        <v>126</v>
      </c>
    </row>
    <row r="2" spans="2:19" ht="17" thickBot="1" x14ac:dyDescent="0.25"/>
    <row r="3" spans="2:19" x14ac:dyDescent="0.2">
      <c r="B3" s="672"/>
      <c r="C3" s="676" t="s">
        <v>72</v>
      </c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1"/>
      <c r="P3" s="669" t="s">
        <v>97</v>
      </c>
      <c r="Q3" s="670"/>
      <c r="R3" s="670"/>
      <c r="S3" s="671"/>
    </row>
    <row r="4" spans="2:19" x14ac:dyDescent="0.2">
      <c r="B4" s="673"/>
      <c r="C4" s="665" t="s">
        <v>94</v>
      </c>
      <c r="D4" s="666"/>
      <c r="E4" s="667"/>
      <c r="F4" s="665" t="s">
        <v>95</v>
      </c>
      <c r="G4" s="666"/>
      <c r="H4" s="667"/>
      <c r="I4" s="665" t="s">
        <v>96</v>
      </c>
      <c r="J4" s="666"/>
      <c r="K4" s="667"/>
      <c r="L4" s="665" t="s">
        <v>3</v>
      </c>
      <c r="M4" s="666"/>
      <c r="N4" s="668"/>
      <c r="P4" s="85" t="s">
        <v>89</v>
      </c>
      <c r="Q4" s="86" t="s">
        <v>90</v>
      </c>
      <c r="R4" s="86" t="s">
        <v>70</v>
      </c>
      <c r="S4" s="204" t="s">
        <v>81</v>
      </c>
    </row>
    <row r="5" spans="2:19" x14ac:dyDescent="0.2">
      <c r="B5" s="674"/>
      <c r="C5" s="189" t="s">
        <v>93</v>
      </c>
      <c r="D5" s="190" t="s">
        <v>9</v>
      </c>
      <c r="E5" s="191" t="s">
        <v>37</v>
      </c>
      <c r="F5" s="189" t="s">
        <v>93</v>
      </c>
      <c r="G5" s="190" t="s">
        <v>9</v>
      </c>
      <c r="H5" s="191" t="s">
        <v>37</v>
      </c>
      <c r="I5" s="189" t="s">
        <v>93</v>
      </c>
      <c r="J5" s="190" t="s">
        <v>9</v>
      </c>
      <c r="K5" s="191" t="s">
        <v>37</v>
      </c>
      <c r="L5" s="189" t="s">
        <v>93</v>
      </c>
      <c r="M5" s="190" t="s">
        <v>9</v>
      </c>
      <c r="N5" s="195" t="s">
        <v>37</v>
      </c>
      <c r="P5" s="85" t="s">
        <v>37</v>
      </c>
      <c r="Q5" s="86" t="s">
        <v>37</v>
      </c>
      <c r="R5" s="86" t="s">
        <v>37</v>
      </c>
      <c r="S5" s="204" t="s">
        <v>37</v>
      </c>
    </row>
    <row r="6" spans="2:19" x14ac:dyDescent="0.2">
      <c r="B6" s="196" t="s">
        <v>91</v>
      </c>
      <c r="C6" s="192">
        <f>+E6/D6</f>
        <v>151632.33333333334</v>
      </c>
      <c r="D6" s="193">
        <f>+'Tab 0'!$B33</f>
        <v>180</v>
      </c>
      <c r="E6" s="194">
        <f>+E$8*P6</f>
        <v>27293820</v>
      </c>
      <c r="F6" s="192">
        <f>+H6/G6</f>
        <v>441371.11111111112</v>
      </c>
      <c r="G6" s="193">
        <f>+'Tab 0'!$B33</f>
        <v>180</v>
      </c>
      <c r="H6" s="194">
        <f>+H$8*Q6</f>
        <v>79446800</v>
      </c>
      <c r="I6" s="192">
        <f>+K6/J6</f>
        <v>5125.6000000000004</v>
      </c>
      <c r="J6" s="193">
        <f>+'Tab 0'!$B33</f>
        <v>180</v>
      </c>
      <c r="K6" s="194">
        <f>+K$8*R6</f>
        <v>922608</v>
      </c>
      <c r="L6" s="192">
        <f t="shared" ref="L6:N7" si="0">+C6+F6+I6</f>
        <v>598129.04444444447</v>
      </c>
      <c r="M6" s="193">
        <f>+N6/L6</f>
        <v>180</v>
      </c>
      <c r="N6" s="197">
        <f t="shared" si="0"/>
        <v>107663228</v>
      </c>
      <c r="P6" s="211">
        <f>+'Tab 0'!B37</f>
        <v>0.71</v>
      </c>
      <c r="Q6" s="208">
        <f>+'Tab 0'!C37</f>
        <v>1</v>
      </c>
      <c r="R6" s="208">
        <f>+'Tab 0'!D37</f>
        <v>0.09</v>
      </c>
      <c r="S6" s="205">
        <f>N6/N$8</f>
        <v>0.84019999999999995</v>
      </c>
    </row>
    <row r="7" spans="2:19" x14ac:dyDescent="0.2">
      <c r="B7" s="79" t="s">
        <v>92</v>
      </c>
      <c r="C7" s="34">
        <f>+E7/D7</f>
        <v>22296.360000000004</v>
      </c>
      <c r="D7" s="81">
        <f>+'Tab 0'!$B34</f>
        <v>500</v>
      </c>
      <c r="E7" s="62">
        <f>+E$8*P7</f>
        <v>11148180.000000002</v>
      </c>
      <c r="F7" s="34">
        <f>+H7/G7</f>
        <v>0</v>
      </c>
      <c r="G7" s="81">
        <f>+'Tab 0'!$B34</f>
        <v>500</v>
      </c>
      <c r="H7" s="62">
        <f>+H$8*Q7</f>
        <v>0</v>
      </c>
      <c r="I7" s="34">
        <f>+K7/J7</f>
        <v>18657.184000000001</v>
      </c>
      <c r="J7" s="81">
        <f>+'Tab 0'!$B34</f>
        <v>500</v>
      </c>
      <c r="K7" s="62">
        <f>+K$8*R7</f>
        <v>9328592</v>
      </c>
      <c r="L7" s="34">
        <f t="shared" si="0"/>
        <v>40953.544000000009</v>
      </c>
      <c r="M7" s="81">
        <f>+N7/L7</f>
        <v>499.99999999999989</v>
      </c>
      <c r="N7" s="198">
        <f t="shared" si="0"/>
        <v>20476772</v>
      </c>
      <c r="P7" s="211">
        <f>+'Tab 0'!B38</f>
        <v>0.29000000000000004</v>
      </c>
      <c r="Q7" s="208">
        <f>+'Tab 0'!C38</f>
        <v>0</v>
      </c>
      <c r="R7" s="208">
        <f>+'Tab 0'!D38</f>
        <v>0.91</v>
      </c>
      <c r="S7" s="205">
        <f>N7/N$8</f>
        <v>0.1598</v>
      </c>
    </row>
    <row r="8" spans="2:19" ht="17" thickBot="1" x14ac:dyDescent="0.25">
      <c r="B8" s="199" t="s">
        <v>3</v>
      </c>
      <c r="C8" s="200"/>
      <c r="D8" s="201"/>
      <c r="E8" s="202">
        <f>+'Tab 1'!C11</f>
        <v>38442000</v>
      </c>
      <c r="F8" s="200"/>
      <c r="G8" s="201"/>
      <c r="H8" s="202">
        <f>+'Tab 1'!D11</f>
        <v>79446800</v>
      </c>
      <c r="I8" s="200"/>
      <c r="J8" s="201"/>
      <c r="K8" s="202">
        <f>+'Tab 1'!E11</f>
        <v>10251200</v>
      </c>
      <c r="L8" s="200"/>
      <c r="M8" s="201"/>
      <c r="N8" s="203">
        <f>+E8+H8+K8</f>
        <v>128140000</v>
      </c>
      <c r="P8" s="210"/>
      <c r="Q8" s="206"/>
      <c r="R8" s="206"/>
      <c r="S8" s="207"/>
    </row>
    <row r="10" spans="2:19" ht="17" thickBot="1" x14ac:dyDescent="0.25"/>
    <row r="11" spans="2:19" x14ac:dyDescent="0.2">
      <c r="B11" s="672"/>
      <c r="C11" s="675" t="s">
        <v>98</v>
      </c>
      <c r="D11" s="663"/>
      <c r="E11" s="663"/>
      <c r="F11" s="663"/>
      <c r="G11" s="663"/>
      <c r="H11" s="663"/>
      <c r="I11" s="663"/>
      <c r="J11" s="663"/>
      <c r="K11" s="663"/>
      <c r="L11" s="663"/>
      <c r="M11" s="663"/>
      <c r="N11" s="664"/>
      <c r="P11" s="662" t="s">
        <v>97</v>
      </c>
      <c r="Q11" s="663"/>
      <c r="R11" s="663"/>
      <c r="S11" s="664"/>
    </row>
    <row r="12" spans="2:19" x14ac:dyDescent="0.2">
      <c r="B12" s="673"/>
      <c r="C12" s="665" t="s">
        <v>94</v>
      </c>
      <c r="D12" s="666"/>
      <c r="E12" s="667"/>
      <c r="F12" s="665" t="s">
        <v>95</v>
      </c>
      <c r="G12" s="666"/>
      <c r="H12" s="667"/>
      <c r="I12" s="665" t="s">
        <v>96</v>
      </c>
      <c r="J12" s="666"/>
      <c r="K12" s="667"/>
      <c r="L12" s="665" t="s">
        <v>3</v>
      </c>
      <c r="M12" s="666"/>
      <c r="N12" s="668"/>
      <c r="P12" s="85" t="s">
        <v>89</v>
      </c>
      <c r="Q12" s="86" t="s">
        <v>90</v>
      </c>
      <c r="R12" s="86" t="s">
        <v>70</v>
      </c>
      <c r="S12" s="204" t="s">
        <v>81</v>
      </c>
    </row>
    <row r="13" spans="2:19" x14ac:dyDescent="0.2">
      <c r="B13" s="674"/>
      <c r="C13" s="189" t="s">
        <v>93</v>
      </c>
      <c r="D13" s="190" t="s">
        <v>9</v>
      </c>
      <c r="E13" s="191" t="s">
        <v>37</v>
      </c>
      <c r="F13" s="189" t="s">
        <v>93</v>
      </c>
      <c r="G13" s="190" t="s">
        <v>9</v>
      </c>
      <c r="H13" s="191" t="s">
        <v>37</v>
      </c>
      <c r="I13" s="189" t="s">
        <v>93</v>
      </c>
      <c r="J13" s="190" t="s">
        <v>9</v>
      </c>
      <c r="K13" s="191" t="s">
        <v>37</v>
      </c>
      <c r="L13" s="189" t="s">
        <v>93</v>
      </c>
      <c r="M13" s="190" t="s">
        <v>9</v>
      </c>
      <c r="N13" s="195" t="s">
        <v>37</v>
      </c>
      <c r="P13" s="85" t="s">
        <v>37</v>
      </c>
      <c r="Q13" s="86" t="s">
        <v>37</v>
      </c>
      <c r="R13" s="86" t="s">
        <v>37</v>
      </c>
      <c r="S13" s="204" t="s">
        <v>37</v>
      </c>
    </row>
    <row r="14" spans="2:19" x14ac:dyDescent="0.2">
      <c r="B14" s="196" t="s">
        <v>91</v>
      </c>
      <c r="C14" s="192">
        <f>+E14/D14</f>
        <v>246271.12927419352</v>
      </c>
      <c r="D14" s="193">
        <f>+D6</f>
        <v>180</v>
      </c>
      <c r="E14" s="194">
        <f>+E$16*P14</f>
        <v>44328803.269354835</v>
      </c>
      <c r="F14" s="192">
        <f>+H14/G14</f>
        <v>432543.68888888886</v>
      </c>
      <c r="G14" s="193">
        <f>+G6</f>
        <v>180</v>
      </c>
      <c r="H14" s="194">
        <f>+H$16*Q14</f>
        <v>77857864</v>
      </c>
      <c r="I14" s="192">
        <f>+K14/J14</f>
        <v>3833.3333333333367</v>
      </c>
      <c r="J14" s="193">
        <f>+J6</f>
        <v>180</v>
      </c>
      <c r="K14" s="194">
        <f>+K$16*R14</f>
        <v>690000.00000000058</v>
      </c>
      <c r="L14" s="192">
        <f t="shared" ref="L14:L15" si="1">+C14+F14+I14</f>
        <v>682648.15149641572</v>
      </c>
      <c r="M14" s="193">
        <f>+N14/L14</f>
        <v>180</v>
      </c>
      <c r="N14" s="197">
        <f t="shared" ref="N14:N15" si="2">+E14+H14+K14</f>
        <v>122876667.26935484</v>
      </c>
      <c r="P14" s="212">
        <v>0.85</v>
      </c>
      <c r="Q14" s="208">
        <f>+Q6</f>
        <v>1</v>
      </c>
      <c r="R14" s="208">
        <f>1-R15</f>
        <v>5.0000000000000044E-2</v>
      </c>
      <c r="S14" s="205">
        <f>N14/N$8</f>
        <v>0.95892513867141282</v>
      </c>
    </row>
    <row r="15" spans="2:19" x14ac:dyDescent="0.2">
      <c r="B15" s="79" t="s">
        <v>92</v>
      </c>
      <c r="C15" s="34">
        <f>+E15/D15</f>
        <v>15645.459977419358</v>
      </c>
      <c r="D15" s="81">
        <f>+D7</f>
        <v>500</v>
      </c>
      <c r="E15" s="62">
        <f>+E$16*P15</f>
        <v>7822729.9887096789</v>
      </c>
      <c r="F15" s="34">
        <f>+H15/G15</f>
        <v>0</v>
      </c>
      <c r="G15" s="81">
        <f>+G7</f>
        <v>500</v>
      </c>
      <c r="H15" s="62">
        <f>+H$16*Q15</f>
        <v>0</v>
      </c>
      <c r="I15" s="34">
        <f>+K15/J15</f>
        <v>26220</v>
      </c>
      <c r="J15" s="81">
        <f>+J7</f>
        <v>500</v>
      </c>
      <c r="K15" s="62">
        <f>+K$16*R15</f>
        <v>13110000</v>
      </c>
      <c r="L15" s="34">
        <f t="shared" si="1"/>
        <v>41865.459977419356</v>
      </c>
      <c r="M15" s="81">
        <f>+N15/L15</f>
        <v>500.00000000000006</v>
      </c>
      <c r="N15" s="198">
        <f t="shared" si="2"/>
        <v>20932729.988709681</v>
      </c>
      <c r="P15" s="211">
        <f>1-P14</f>
        <v>0.15000000000000002</v>
      </c>
      <c r="Q15" s="208">
        <f>+Q7</f>
        <v>0</v>
      </c>
      <c r="R15" s="209">
        <v>0.95</v>
      </c>
      <c r="S15" s="205">
        <f>N15/N$8</f>
        <v>0.16335827991813393</v>
      </c>
    </row>
    <row r="16" spans="2:19" ht="17" thickBot="1" x14ac:dyDescent="0.25">
      <c r="B16" s="199" t="s">
        <v>3</v>
      </c>
      <c r="C16" s="200"/>
      <c r="D16" s="201"/>
      <c r="E16" s="202">
        <f>+'Tab 1'!G11</f>
        <v>52151533.258064516</v>
      </c>
      <c r="F16" s="200"/>
      <c r="G16" s="201"/>
      <c r="H16" s="202">
        <f>+'Tab 1'!H11</f>
        <v>77857864</v>
      </c>
      <c r="I16" s="200"/>
      <c r="J16" s="201"/>
      <c r="K16" s="202">
        <f>+'Tab 1'!I11</f>
        <v>13800000</v>
      </c>
      <c r="L16" s="200"/>
      <c r="M16" s="201"/>
      <c r="N16" s="203">
        <f>+E16+H16+K16</f>
        <v>143809397.25806451</v>
      </c>
      <c r="P16" s="210"/>
      <c r="Q16" s="206"/>
      <c r="R16" s="206"/>
      <c r="S16" s="207"/>
    </row>
    <row r="18" spans="2:19" x14ac:dyDescent="0.2">
      <c r="B18" s="3" t="s">
        <v>91</v>
      </c>
    </row>
    <row r="19" spans="2:19" x14ac:dyDescent="0.2">
      <c r="B19" s="3" t="s">
        <v>720</v>
      </c>
      <c r="E19" s="73" t="e">
        <f>+E14-E20</f>
        <v>#REF!</v>
      </c>
    </row>
    <row r="20" spans="2:19" x14ac:dyDescent="0.2">
      <c r="B20" s="3" t="s">
        <v>721</v>
      </c>
      <c r="E20" s="54" t="e">
        <f>#REF!</f>
        <v>#REF!</v>
      </c>
    </row>
    <row r="21" spans="2:19" x14ac:dyDescent="0.2">
      <c r="B21" s="3" t="s">
        <v>722</v>
      </c>
      <c r="E21" s="83">
        <f>IFERROR((E19-E6)/E6,0)</f>
        <v>0</v>
      </c>
      <c r="H21" s="83">
        <f>IFERROR((H14-H6)/H6,0)</f>
        <v>-0.02</v>
      </c>
      <c r="K21" s="83">
        <f>IFERROR((K14-K6)/K6,0)</f>
        <v>-0.25212007699911493</v>
      </c>
      <c r="N21" s="83">
        <f>IFERROR((N14-N6)/N6,0)</f>
        <v>0.14130580655964389</v>
      </c>
    </row>
    <row r="22" spans="2:19" x14ac:dyDescent="0.2">
      <c r="E22" s="83"/>
      <c r="H22" s="83"/>
      <c r="K22" s="83"/>
      <c r="N22" s="83"/>
    </row>
    <row r="23" spans="2:19" x14ac:dyDescent="0.2">
      <c r="B23" s="3" t="s">
        <v>92</v>
      </c>
      <c r="E23" s="83"/>
      <c r="H23" s="83"/>
      <c r="K23" s="83"/>
      <c r="N23" s="83"/>
    </row>
    <row r="24" spans="2:19" x14ac:dyDescent="0.2">
      <c r="B24" s="3" t="s">
        <v>720</v>
      </c>
      <c r="E24" s="73" t="e">
        <f>+E15-E25</f>
        <v>#REF!</v>
      </c>
      <c r="H24" s="83"/>
      <c r="K24" s="83"/>
      <c r="N24" s="83"/>
    </row>
    <row r="25" spans="2:19" x14ac:dyDescent="0.2">
      <c r="B25" s="3" t="s">
        <v>721</v>
      </c>
      <c r="E25" s="54" t="e">
        <f>+#REF!</f>
        <v>#REF!</v>
      </c>
      <c r="H25" s="83"/>
      <c r="K25" s="83"/>
      <c r="N25" s="83"/>
    </row>
    <row r="26" spans="2:19" x14ac:dyDescent="0.2">
      <c r="B26" s="3" t="s">
        <v>723</v>
      </c>
      <c r="E26" s="83">
        <f>IFERROR((E24-E7)/E7,0)</f>
        <v>0</v>
      </c>
      <c r="H26" s="83">
        <f>IFERROR((H15-H7)/H7,0)</f>
        <v>0</v>
      </c>
      <c r="K26" s="83">
        <f>IFERROR((K15-K7)/K7,0)</f>
        <v>0.40535677838627737</v>
      </c>
      <c r="N26" s="83">
        <f>IFERROR((N15-N7)/N7,0)</f>
        <v>2.2267083342515155E-2</v>
      </c>
    </row>
    <row r="27" spans="2:19" s="12" customFormat="1" x14ac:dyDescent="0.2">
      <c r="B27" s="12" t="s">
        <v>719</v>
      </c>
      <c r="E27" s="508">
        <f>IFERROR((E16-E8)/E8,0)</f>
        <v>0.35662903225806453</v>
      </c>
      <c r="H27" s="508">
        <f>IFERROR((H16-H8)/H8,0)</f>
        <v>-0.02</v>
      </c>
      <c r="K27" s="508">
        <f>IFERROR((K16-K8)/K8,0)</f>
        <v>0.34618386140159202</v>
      </c>
      <c r="N27" s="508">
        <f>IFERROR((N16-N8)/N8,0)</f>
        <v>0.12228341858954665</v>
      </c>
    </row>
    <row r="28" spans="2:19" ht="17" thickBot="1" x14ac:dyDescent="0.25"/>
    <row r="29" spans="2:19" x14ac:dyDescent="0.2">
      <c r="B29" s="672"/>
      <c r="C29" s="675" t="s">
        <v>139</v>
      </c>
      <c r="D29" s="663"/>
      <c r="E29" s="663"/>
      <c r="F29" s="663"/>
      <c r="G29" s="663"/>
      <c r="H29" s="663"/>
      <c r="I29" s="663"/>
      <c r="J29" s="663"/>
      <c r="K29" s="663"/>
      <c r="L29" s="663"/>
      <c r="M29" s="663"/>
      <c r="N29" s="664"/>
      <c r="P29" s="662" t="s">
        <v>97</v>
      </c>
      <c r="Q29" s="663"/>
      <c r="R29" s="663"/>
      <c r="S29" s="664"/>
    </row>
    <row r="30" spans="2:19" x14ac:dyDescent="0.2">
      <c r="B30" s="673"/>
      <c r="C30" s="665" t="s">
        <v>94</v>
      </c>
      <c r="D30" s="666"/>
      <c r="E30" s="667"/>
      <c r="F30" s="665" t="s">
        <v>95</v>
      </c>
      <c r="G30" s="666"/>
      <c r="H30" s="667"/>
      <c r="I30" s="665" t="s">
        <v>96</v>
      </c>
      <c r="J30" s="666"/>
      <c r="K30" s="667"/>
      <c r="L30" s="665" t="s">
        <v>3</v>
      </c>
      <c r="M30" s="666"/>
      <c r="N30" s="668"/>
      <c r="P30" s="85" t="s">
        <v>89</v>
      </c>
      <c r="Q30" s="86" t="s">
        <v>90</v>
      </c>
      <c r="R30" s="86" t="s">
        <v>70</v>
      </c>
      <c r="S30" s="204" t="s">
        <v>81</v>
      </c>
    </row>
    <row r="31" spans="2:19" x14ac:dyDescent="0.2">
      <c r="B31" s="674"/>
      <c r="C31" s="189" t="s">
        <v>93</v>
      </c>
      <c r="D31" s="190" t="s">
        <v>9</v>
      </c>
      <c r="E31" s="191" t="s">
        <v>37</v>
      </c>
      <c r="F31" s="189" t="s">
        <v>93</v>
      </c>
      <c r="G31" s="190" t="s">
        <v>9</v>
      </c>
      <c r="H31" s="191" t="s">
        <v>37</v>
      </c>
      <c r="I31" s="189" t="s">
        <v>93</v>
      </c>
      <c r="J31" s="190" t="s">
        <v>9</v>
      </c>
      <c r="K31" s="191" t="s">
        <v>37</v>
      </c>
      <c r="L31" s="189" t="s">
        <v>93</v>
      </c>
      <c r="M31" s="190" t="s">
        <v>9</v>
      </c>
      <c r="N31" s="195" t="s">
        <v>37</v>
      </c>
      <c r="P31" s="85" t="s">
        <v>37</v>
      </c>
      <c r="Q31" s="86" t="s">
        <v>37</v>
      </c>
      <c r="R31" s="86" t="s">
        <v>37</v>
      </c>
      <c r="S31" s="204" t="s">
        <v>37</v>
      </c>
    </row>
    <row r="32" spans="2:19" x14ac:dyDescent="0.2">
      <c r="B32" s="196" t="s">
        <v>91</v>
      </c>
      <c r="C32" s="192">
        <f>+E32/D32</f>
        <v>251196.55185967742</v>
      </c>
      <c r="D32" s="193">
        <f>+D14</f>
        <v>180</v>
      </c>
      <c r="E32" s="194">
        <f>+E$34*P32</f>
        <v>45215379.334741935</v>
      </c>
      <c r="F32" s="192">
        <f>+H32/G32</f>
        <v>415241.94133333332</v>
      </c>
      <c r="G32" s="193">
        <f>+G14</f>
        <v>180</v>
      </c>
      <c r="H32" s="194">
        <f>+H$34*Q32</f>
        <v>74743549.439999998</v>
      </c>
      <c r="I32" s="192">
        <f>+K32/J32</f>
        <v>4140.0000000000036</v>
      </c>
      <c r="J32" s="193">
        <f>+J14</f>
        <v>180</v>
      </c>
      <c r="K32" s="194">
        <f>+K$34*R32</f>
        <v>745200.0000000007</v>
      </c>
      <c r="L32" s="192">
        <f t="shared" ref="L32:L33" si="3">+C32+F32+I32</f>
        <v>670578.4931930108</v>
      </c>
      <c r="M32" s="193">
        <f>+N32/L32</f>
        <v>179.99999999999997</v>
      </c>
      <c r="N32" s="197">
        <f t="shared" ref="N32:N33" si="4">+E32+H32+K32</f>
        <v>120704128.77474193</v>
      </c>
      <c r="P32" s="211">
        <f t="shared" ref="P32:R33" si="5">+P14</f>
        <v>0.85</v>
      </c>
      <c r="Q32" s="208">
        <f t="shared" si="5"/>
        <v>1</v>
      </c>
      <c r="R32" s="208">
        <f t="shared" si="5"/>
        <v>5.0000000000000044E-2</v>
      </c>
      <c r="S32" s="205">
        <f>N32/N$8</f>
        <v>0.94197072557157746</v>
      </c>
    </row>
    <row r="33" spans="2:19" x14ac:dyDescent="0.2">
      <c r="B33" s="79" t="s">
        <v>92</v>
      </c>
      <c r="C33" s="34">
        <f>+E33/D33</f>
        <v>15958.369176967744</v>
      </c>
      <c r="D33" s="81">
        <f>+D15</f>
        <v>500</v>
      </c>
      <c r="E33" s="62">
        <f>+E$34*P33</f>
        <v>7979184.5884838719</v>
      </c>
      <c r="F33" s="34">
        <f>+H33/G33</f>
        <v>0</v>
      </c>
      <c r="G33" s="81">
        <f>+G15</f>
        <v>500</v>
      </c>
      <c r="H33" s="62">
        <f>+H$34*Q33</f>
        <v>0</v>
      </c>
      <c r="I33" s="34">
        <f>+K33/J33</f>
        <v>28317.599999999999</v>
      </c>
      <c r="J33" s="81">
        <f>+J15</f>
        <v>500</v>
      </c>
      <c r="K33" s="62">
        <f>+K$34*R33</f>
        <v>14158800</v>
      </c>
      <c r="L33" s="34">
        <f t="shared" si="3"/>
        <v>44275.969176967745</v>
      </c>
      <c r="M33" s="81">
        <f>+N33/L33</f>
        <v>499.99999999999994</v>
      </c>
      <c r="N33" s="198">
        <f t="shared" si="4"/>
        <v>22137984.58848387</v>
      </c>
      <c r="P33" s="211">
        <f t="shared" si="5"/>
        <v>0.15000000000000002</v>
      </c>
      <c r="Q33" s="208">
        <f t="shared" si="5"/>
        <v>0</v>
      </c>
      <c r="R33" s="208">
        <f t="shared" si="5"/>
        <v>0.95</v>
      </c>
      <c r="S33" s="205">
        <f>N33/N$8</f>
        <v>0.17276404392448783</v>
      </c>
    </row>
    <row r="34" spans="2:19" ht="17" thickBot="1" x14ac:dyDescent="0.25">
      <c r="B34" s="199" t="s">
        <v>3</v>
      </c>
      <c r="C34" s="200"/>
      <c r="D34" s="201"/>
      <c r="E34" s="202">
        <f>+'Tab 1'!Q11</f>
        <v>53194563.923225805</v>
      </c>
      <c r="F34" s="200"/>
      <c r="G34" s="201"/>
      <c r="H34" s="202">
        <f>+'Tab 1'!R11</f>
        <v>74743549.439999998</v>
      </c>
      <c r="I34" s="200"/>
      <c r="J34" s="201"/>
      <c r="K34" s="202">
        <f>+'Tab 1'!S11</f>
        <v>14904000</v>
      </c>
      <c r="L34" s="200"/>
      <c r="M34" s="201"/>
      <c r="N34" s="203">
        <f>+E34+H34+K34</f>
        <v>142842113.36322582</v>
      </c>
      <c r="P34" s="210"/>
      <c r="Q34" s="206"/>
      <c r="R34" s="206"/>
      <c r="S34" s="207"/>
    </row>
  </sheetData>
  <mergeCells count="21">
    <mergeCell ref="B29:B31"/>
    <mergeCell ref="C29:N29"/>
    <mergeCell ref="P29:S29"/>
    <mergeCell ref="C30:E30"/>
    <mergeCell ref="F30:H30"/>
    <mergeCell ref="I30:K30"/>
    <mergeCell ref="L30:N30"/>
    <mergeCell ref="P11:S11"/>
    <mergeCell ref="I12:K12"/>
    <mergeCell ref="L12:N12"/>
    <mergeCell ref="P3:S3"/>
    <mergeCell ref="B3:B5"/>
    <mergeCell ref="B11:B13"/>
    <mergeCell ref="C11:N11"/>
    <mergeCell ref="C12:E12"/>
    <mergeCell ref="F12:H12"/>
    <mergeCell ref="C4:E4"/>
    <mergeCell ref="F4:H4"/>
    <mergeCell ref="I4:K4"/>
    <mergeCell ref="L4:N4"/>
    <mergeCell ref="C3:N3"/>
  </mergeCells>
  <pageMargins left="0.7" right="0.7" top="0.75" bottom="0.75" header="0.3" footer="0.3"/>
  <pageSetup paperSize="9" scale="76" orientation="landscape" horizontalDpi="0" verticalDpi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8E6B-0574-6243-9BBE-308EECCDE9B1}">
  <sheetPr codeName="Foglio29"/>
  <dimension ref="B3:L49"/>
  <sheetViews>
    <sheetView showGridLines="0" tabSelected="1" topLeftCell="A4" zoomScale="200" zoomScaleNormal="200" workbookViewId="0">
      <selection activeCell="G10" sqref="G10"/>
    </sheetView>
  </sheetViews>
  <sheetFormatPr baseColWidth="10" defaultRowHeight="14" x14ac:dyDescent="0.2"/>
  <cols>
    <col min="1" max="1" width="10.83203125" style="2"/>
    <col min="2" max="2" width="26" style="2" customWidth="1"/>
    <col min="3" max="5" width="12.1640625" style="2" customWidth="1"/>
    <col min="6" max="16384" width="10.83203125" style="2"/>
  </cols>
  <sheetData>
    <row r="3" spans="2:7" x14ac:dyDescent="0.2">
      <c r="B3" s="2" t="s">
        <v>827</v>
      </c>
    </row>
    <row r="5" spans="2:7" x14ac:dyDescent="0.2">
      <c r="B5" s="464"/>
      <c r="C5" s="466" t="s">
        <v>98</v>
      </c>
    </row>
    <row r="6" spans="2:7" x14ac:dyDescent="0.2">
      <c r="B6" s="413"/>
      <c r="C6" s="389" t="s">
        <v>692</v>
      </c>
    </row>
    <row r="7" spans="2:7" x14ac:dyDescent="0.2">
      <c r="B7" s="465" t="s">
        <v>91</v>
      </c>
      <c r="C7" s="391"/>
    </row>
    <row r="8" spans="2:7" x14ac:dyDescent="0.2">
      <c r="B8" s="413" t="s">
        <v>801</v>
      </c>
      <c r="C8" s="467">
        <f>'Distinta base agg'!F8</f>
        <v>108.74965</v>
      </c>
    </row>
    <row r="9" spans="2:7" x14ac:dyDescent="0.2">
      <c r="B9" s="413" t="s">
        <v>802</v>
      </c>
      <c r="C9" s="467">
        <f>'All. 1'!C10*'Tab. 17'!C23+'All. 1'!D10*'Tab. 17'!C38</f>
        <v>4.7855866675829244</v>
      </c>
      <c r="E9" s="515">
        <f>C23*'All. 1'!C10</f>
        <v>3.4365964789998453</v>
      </c>
      <c r="F9" s="515">
        <f>C38*'All. 1'!D10</f>
        <v>1.3489901885830786</v>
      </c>
      <c r="G9" s="515">
        <f>E9+F9</f>
        <v>4.7855866675829244</v>
      </c>
    </row>
    <row r="10" spans="2:7" x14ac:dyDescent="0.2">
      <c r="B10" s="468" t="s">
        <v>3</v>
      </c>
      <c r="C10" s="469">
        <f>SUM(C8:C9)</f>
        <v>113.53523666758292</v>
      </c>
    </row>
    <row r="11" spans="2:7" x14ac:dyDescent="0.2">
      <c r="B11" s="465" t="s">
        <v>92</v>
      </c>
      <c r="C11" s="391"/>
    </row>
    <row r="12" spans="2:7" x14ac:dyDescent="0.2">
      <c r="B12" s="413" t="s">
        <v>801</v>
      </c>
      <c r="C12" s="467">
        <f>'Distinta base agg'!F17</f>
        <v>189</v>
      </c>
    </row>
    <row r="13" spans="2:7" x14ac:dyDescent="0.2">
      <c r="B13" s="413" t="s">
        <v>802</v>
      </c>
      <c r="C13" s="467">
        <f>'All. 1'!C17*'Tab. 17'!D23+'All. 1'!D17*'Tab. 17'!D38</f>
        <v>8.8464260347939145</v>
      </c>
      <c r="E13" s="515"/>
      <c r="F13" s="515"/>
    </row>
    <row r="14" spans="2:7" x14ac:dyDescent="0.2">
      <c r="B14" s="468" t="s">
        <v>3</v>
      </c>
      <c r="C14" s="469">
        <f>SUM(C12:C13)</f>
        <v>197.84642603479392</v>
      </c>
    </row>
    <row r="16" spans="2:7" x14ac:dyDescent="0.2">
      <c r="C16" s="582">
        <f>+C20+C27</f>
        <v>169627.00044968736</v>
      </c>
    </row>
    <row r="17" spans="2:12" ht="15" thickBot="1" x14ac:dyDescent="0.25">
      <c r="D17" s="515"/>
    </row>
    <row r="18" spans="2:12" ht="15" thickBot="1" x14ac:dyDescent="0.25">
      <c r="B18" s="480" t="s">
        <v>700</v>
      </c>
      <c r="C18" s="481"/>
      <c r="D18" s="481"/>
      <c r="E18" s="482"/>
    </row>
    <row r="19" spans="2:12" x14ac:dyDescent="0.2">
      <c r="B19" s="483"/>
      <c r="C19" s="484" t="s">
        <v>664</v>
      </c>
      <c r="D19" s="484" t="s">
        <v>665</v>
      </c>
      <c r="E19" s="485" t="s">
        <v>81</v>
      </c>
    </row>
    <row r="20" spans="2:12" x14ac:dyDescent="0.2">
      <c r="B20" s="372" t="s">
        <v>694</v>
      </c>
      <c r="C20" s="470">
        <f>'Tab. 5'!O25</f>
        <v>169344.00000000003</v>
      </c>
      <c r="D20" s="470">
        <f>+'Tab. 5'!O49</f>
        <v>19008</v>
      </c>
      <c r="E20" s="471">
        <f>SUM(C20:D20)</f>
        <v>188352.00000000003</v>
      </c>
    </row>
    <row r="21" spans="2:12" x14ac:dyDescent="0.2">
      <c r="B21" s="372" t="s">
        <v>701</v>
      </c>
      <c r="C21" s="378">
        <f>SUMIF(Tabella2[linea],'Tab. 17'!C$19,Tabella2[Costo totale])</f>
        <v>2327867.9765589996</v>
      </c>
      <c r="D21" s="378">
        <f>SUMIF(Tabella2[linea],'Tab. 17'!D$19,Tabella2[Costo totale])</f>
        <v>249539.0459073518</v>
      </c>
      <c r="E21" s="373">
        <f>SUM(C21:D21)</f>
        <v>2577407.0224663513</v>
      </c>
      <c r="F21" s="515"/>
      <c r="G21" s="393"/>
    </row>
    <row r="22" spans="2:12" x14ac:dyDescent="0.2">
      <c r="B22" s="372" t="s">
        <v>707</v>
      </c>
      <c r="C22" s="477">
        <f>C21/C20</f>
        <v>13.746385915999381</v>
      </c>
      <c r="D22" s="477">
        <f t="shared" ref="D22" si="0">D21/D20</f>
        <v>13.128106371388457</v>
      </c>
      <c r="E22" s="478"/>
    </row>
    <row r="23" spans="2:12" x14ac:dyDescent="0.2">
      <c r="B23" s="372" t="s">
        <v>708</v>
      </c>
      <c r="C23" s="476">
        <f>C21/(C20*60)</f>
        <v>0.22910643193332303</v>
      </c>
      <c r="D23" s="476">
        <f t="shared" ref="D23" si="1">D21/(D20*60)</f>
        <v>0.21880177285647429</v>
      </c>
      <c r="E23" s="479"/>
    </row>
    <row r="24" spans="2:12" x14ac:dyDescent="0.2">
      <c r="B24" s="372"/>
      <c r="E24" s="400"/>
    </row>
    <row r="25" spans="2:12" x14ac:dyDescent="0.2">
      <c r="B25" s="372" t="s">
        <v>702</v>
      </c>
      <c r="C25" s="470">
        <f>'Tab. 5'!O9</f>
        <v>666082.12060847704</v>
      </c>
      <c r="D25" s="470">
        <f>'Tab. 5'!O54</f>
        <v>42358.371125483347</v>
      </c>
      <c r="E25" s="471">
        <f t="shared" ref="E25:E26" si="2">SUM(C25:D25)</f>
        <v>708440.49173396034</v>
      </c>
      <c r="F25" s="320"/>
      <c r="G25" s="476"/>
    </row>
    <row r="26" spans="2:12" x14ac:dyDescent="0.2">
      <c r="B26" s="372" t="s">
        <v>745</v>
      </c>
      <c r="C26" s="470">
        <f>'Tab. 5'!O23</f>
        <v>166520.53015211926</v>
      </c>
      <c r="D26" s="470">
        <f>'Tab. 5'!O55</f>
        <v>16943.348450193342</v>
      </c>
      <c r="E26" s="471">
        <f t="shared" si="2"/>
        <v>183463.87860231259</v>
      </c>
      <c r="G26" s="515"/>
    </row>
    <row r="27" spans="2:12" x14ac:dyDescent="0.2">
      <c r="B27" s="372" t="s">
        <v>746</v>
      </c>
      <c r="C27" s="470">
        <f>+'Tab. 5'!O26</f>
        <v>283.00044968732618</v>
      </c>
      <c r="D27" s="470">
        <f>+'Tab. 5'!O58</f>
        <v>0</v>
      </c>
      <c r="E27" s="471"/>
      <c r="G27" s="515"/>
    </row>
    <row r="28" spans="2:12" x14ac:dyDescent="0.2">
      <c r="B28" s="372"/>
      <c r="E28" s="400"/>
      <c r="F28" s="476"/>
    </row>
    <row r="29" spans="2:12" x14ac:dyDescent="0.2">
      <c r="B29" s="372" t="s">
        <v>784</v>
      </c>
      <c r="C29" s="378">
        <f>C27*C22</f>
        <v>3890.2333958033523</v>
      </c>
      <c r="D29" s="378">
        <f>D27*D22</f>
        <v>0</v>
      </c>
      <c r="E29" s="373">
        <f t="shared" ref="E29:E30" si="3">SUM(C29:D29)</f>
        <v>3890.2333958033523</v>
      </c>
      <c r="F29" s="476"/>
    </row>
    <row r="30" spans="2:12" ht="15" thickBot="1" x14ac:dyDescent="0.25">
      <c r="B30" s="372" t="s">
        <v>703</v>
      </c>
      <c r="C30" s="378">
        <f>C22*(C26-C27)</f>
        <v>2285165.2370120389</v>
      </c>
      <c r="D30" s="378">
        <f>D22*(D26-D27)</f>
        <v>222434.08074163794</v>
      </c>
      <c r="E30" s="373">
        <f t="shared" si="3"/>
        <v>2507599.3177536768</v>
      </c>
      <c r="F30" s="393"/>
      <c r="G30" s="393"/>
      <c r="H30" s="393"/>
      <c r="I30" s="393"/>
      <c r="K30" s="393"/>
      <c r="L30" s="393"/>
    </row>
    <row r="31" spans="2:12" ht="15" thickBot="1" x14ac:dyDescent="0.25">
      <c r="B31" s="473" t="s">
        <v>704</v>
      </c>
      <c r="C31" s="404">
        <f>C22*(C20-C26+C27)</f>
        <v>42702.739546960474</v>
      </c>
      <c r="D31" s="404">
        <f>D22*(D20-D26+D27)</f>
        <v>27104.965165713842</v>
      </c>
      <c r="E31" s="407">
        <f>SUM(C31:D31)</f>
        <v>69807.704712674313</v>
      </c>
      <c r="F31" s="546">
        <f>SUM(E29:E31)</f>
        <v>2581297.2558621545</v>
      </c>
      <c r="G31" s="393"/>
      <c r="H31" s="393">
        <f>+F31-'Tab. 13'!Z14</f>
        <v>0</v>
      </c>
      <c r="I31" s="393"/>
    </row>
    <row r="32" spans="2:12" ht="15" thickBot="1" x14ac:dyDescent="0.25">
      <c r="C32" s="393"/>
    </row>
    <row r="33" spans="2:9" ht="15" thickBot="1" x14ac:dyDescent="0.25">
      <c r="B33" s="480" t="s">
        <v>705</v>
      </c>
      <c r="C33" s="481"/>
      <c r="D33" s="481"/>
      <c r="E33" s="482"/>
    </row>
    <row r="34" spans="2:9" x14ac:dyDescent="0.2">
      <c r="B34" s="483"/>
      <c r="C34" s="484" t="s">
        <v>664</v>
      </c>
      <c r="D34" s="484" t="s">
        <v>665</v>
      </c>
      <c r="E34" s="485" t="s">
        <v>81</v>
      </c>
    </row>
    <row r="35" spans="2:9" x14ac:dyDescent="0.2">
      <c r="B35" s="372" t="s">
        <v>694</v>
      </c>
      <c r="C35" s="470">
        <f>'Tab. 6'!O26</f>
        <v>15696</v>
      </c>
      <c r="D35" s="470">
        <f>+'Tab. 6'!O48</f>
        <v>3488</v>
      </c>
      <c r="E35" s="471">
        <f>SUM(C35:D35)</f>
        <v>19184</v>
      </c>
    </row>
    <row r="36" spans="2:9" x14ac:dyDescent="0.2">
      <c r="B36" s="372" t="s">
        <v>706</v>
      </c>
      <c r="C36" s="504">
        <f>'Tab. 16'!E33-'Tab. 16'!E8</f>
        <v>977250</v>
      </c>
      <c r="D36" s="504">
        <f>'Tab. 16'!F33-'Tab. 16'!F8</f>
        <v>342000</v>
      </c>
      <c r="E36" s="503">
        <f>SUM(C36:D36)</f>
        <v>1319250</v>
      </c>
    </row>
    <row r="37" spans="2:9" x14ac:dyDescent="0.2">
      <c r="B37" s="372" t="s">
        <v>710</v>
      </c>
      <c r="C37" s="477">
        <f>C36/C35</f>
        <v>62.261085626911317</v>
      </c>
      <c r="D37" s="477">
        <f t="shared" ref="D37" si="4">D36/D35</f>
        <v>98.050458715596335</v>
      </c>
      <c r="E37" s="478"/>
    </row>
    <row r="38" spans="2:9" ht="15" thickBot="1" x14ac:dyDescent="0.25">
      <c r="B38" s="473" t="s">
        <v>709</v>
      </c>
      <c r="C38" s="474">
        <f>C36/(C35*60)</f>
        <v>1.037684760448522</v>
      </c>
      <c r="D38" s="474">
        <f t="shared" ref="D38" si="5">D36/(D35*60)</f>
        <v>1.6341743119266054</v>
      </c>
      <c r="E38" s="600"/>
    </row>
    <row r="39" spans="2:9" x14ac:dyDescent="0.2">
      <c r="B39" s="372"/>
      <c r="E39" s="400"/>
    </row>
    <row r="40" spans="2:9" x14ac:dyDescent="0.2">
      <c r="B40" s="372" t="s">
        <v>702</v>
      </c>
      <c r="C40" s="470">
        <f>+C25</f>
        <v>666082.12060847704</v>
      </c>
      <c r="D40" s="470">
        <f>+D25</f>
        <v>42358.371125483347</v>
      </c>
      <c r="E40" s="471">
        <f t="shared" ref="E40:E41" si="6">SUM(C40:D40)</f>
        <v>708440.49173396034</v>
      </c>
    </row>
    <row r="41" spans="2:9" x14ac:dyDescent="0.2">
      <c r="B41" s="372" t="s">
        <v>673</v>
      </c>
      <c r="C41" s="470">
        <f>+'Tab. 6'!O22</f>
        <v>14431.779279850338</v>
      </c>
      <c r="D41" s="470">
        <f>+'Tab. 6'!O44</f>
        <v>1553.1402746010565</v>
      </c>
      <c r="E41" s="471">
        <f t="shared" si="6"/>
        <v>15984.919554451395</v>
      </c>
    </row>
    <row r="42" spans="2:9" x14ac:dyDescent="0.2">
      <c r="B42" s="372"/>
      <c r="E42" s="400"/>
    </row>
    <row r="43" spans="2:9" ht="15" thickBot="1" x14ac:dyDescent="0.25">
      <c r="B43" s="372" t="s">
        <v>711</v>
      </c>
      <c r="C43" s="378">
        <f>C37*C41</f>
        <v>898538.24549144646</v>
      </c>
      <c r="D43" s="378">
        <f>D37*D41</f>
        <v>152286.11637430085</v>
      </c>
      <c r="E43" s="373">
        <f t="shared" ref="E43:E44" si="7">SUM(C43:D43)</f>
        <v>1050824.3618657473</v>
      </c>
      <c r="G43" s="393"/>
      <c r="H43" s="393"/>
      <c r="I43" s="393"/>
    </row>
    <row r="44" spans="2:9" ht="15" thickBot="1" x14ac:dyDescent="0.25">
      <c r="B44" s="473" t="s">
        <v>712</v>
      </c>
      <c r="C44" s="404">
        <f>C37*(C35-C41)</f>
        <v>78711.754508553611</v>
      </c>
      <c r="D44" s="404">
        <f>D37*(D35-D41)</f>
        <v>189713.88362569918</v>
      </c>
      <c r="E44" s="407">
        <f t="shared" si="7"/>
        <v>268425.6381342528</v>
      </c>
      <c r="F44" s="546">
        <f>SUM(E43:E44)</f>
        <v>1319250</v>
      </c>
      <c r="G44" s="393"/>
      <c r="H44" s="393">
        <f>F44-'Tab. 16'!E13-'Tab. 16'!F13-'Tab. 16'!E17-'Tab. 16'!F17-'Tab. 16'!E21-'Tab. 16'!F21</f>
        <v>0</v>
      </c>
      <c r="I44" s="393"/>
    </row>
    <row r="45" spans="2:9" ht="15" thickBot="1" x14ac:dyDescent="0.25"/>
    <row r="46" spans="2:9" ht="15" thickBot="1" x14ac:dyDescent="0.25">
      <c r="B46" s="505" t="s">
        <v>718</v>
      </c>
      <c r="C46" s="506">
        <f>+C31+C44</f>
        <v>121414.49405551408</v>
      </c>
      <c r="D46" s="506">
        <f t="shared" ref="D46:E46" si="8">+D31+D44</f>
        <v>216818.84879141301</v>
      </c>
      <c r="E46" s="507">
        <f t="shared" si="8"/>
        <v>338233.34284692712</v>
      </c>
    </row>
    <row r="48" spans="2:9" x14ac:dyDescent="0.2">
      <c r="E48" s="516"/>
    </row>
    <row r="49" spans="5:5" x14ac:dyDescent="0.2">
      <c r="E49" s="516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18849-CAEB-FA49-9241-9295A4E2F68F}">
  <sheetPr codeName="Foglio31">
    <tabColor rgb="FFFF0000"/>
  </sheetPr>
  <dimension ref="B2:Q54"/>
  <sheetViews>
    <sheetView showGridLines="0" topLeftCell="A18" zoomScale="131" zoomScaleNormal="170" workbookViewId="0">
      <selection activeCell="K57" sqref="K57"/>
    </sheetView>
  </sheetViews>
  <sheetFormatPr baseColWidth="10" defaultRowHeight="14" x14ac:dyDescent="0.2"/>
  <cols>
    <col min="1" max="1" width="10.83203125" style="2"/>
    <col min="2" max="2" width="32.1640625" style="2" customWidth="1"/>
    <col min="3" max="15" width="12" style="2" customWidth="1"/>
    <col min="16" max="16384" width="10.83203125" style="2"/>
  </cols>
  <sheetData>
    <row r="2" spans="2:17" ht="15" thickBot="1" x14ac:dyDescent="0.25"/>
    <row r="3" spans="2:17" ht="16" x14ac:dyDescent="0.2">
      <c r="B3" s="535"/>
      <c r="C3" s="653" t="s">
        <v>98</v>
      </c>
      <c r="D3" s="653"/>
      <c r="E3" s="653"/>
      <c r="F3" s="653"/>
      <c r="G3" s="653"/>
      <c r="H3" s="653"/>
      <c r="I3" s="653"/>
      <c r="J3" s="653"/>
      <c r="K3" s="653"/>
      <c r="L3" s="653"/>
      <c r="M3" s="653"/>
      <c r="N3" s="653"/>
      <c r="O3" s="713"/>
      <c r="P3" s="413"/>
    </row>
    <row r="4" spans="2:17" ht="16" x14ac:dyDescent="0.2">
      <c r="B4" s="141"/>
      <c r="C4" s="236" t="s">
        <v>113</v>
      </c>
      <c r="D4" s="236" t="s">
        <v>114</v>
      </c>
      <c r="E4" s="236" t="s">
        <v>115</v>
      </c>
      <c r="F4" s="236" t="s">
        <v>116</v>
      </c>
      <c r="G4" s="236" t="s">
        <v>117</v>
      </c>
      <c r="H4" s="560" t="s">
        <v>118</v>
      </c>
      <c r="I4" s="236" t="s">
        <v>119</v>
      </c>
      <c r="J4" s="236" t="s">
        <v>120</v>
      </c>
      <c r="K4" s="236" t="s">
        <v>121</v>
      </c>
      <c r="L4" s="236" t="s">
        <v>122</v>
      </c>
      <c r="M4" s="236" t="s">
        <v>123</v>
      </c>
      <c r="N4" s="236" t="s">
        <v>124</v>
      </c>
      <c r="O4" s="241" t="s">
        <v>81</v>
      </c>
    </row>
    <row r="5" spans="2:17" ht="16" x14ac:dyDescent="0.2">
      <c r="B5" s="196"/>
      <c r="C5" s="106"/>
      <c r="D5" s="106"/>
      <c r="E5" s="106"/>
      <c r="F5" s="106"/>
      <c r="G5" s="106"/>
      <c r="H5" s="561"/>
      <c r="I5" s="106"/>
      <c r="J5" s="106"/>
      <c r="K5" s="106"/>
      <c r="L5" s="106"/>
      <c r="M5" s="106"/>
      <c r="N5" s="106"/>
      <c r="O5" s="609"/>
    </row>
    <row r="6" spans="2:17" ht="16" x14ac:dyDescent="0.2">
      <c r="B6" s="536" t="s">
        <v>748</v>
      </c>
      <c r="C6" s="106"/>
      <c r="D6" s="106"/>
      <c r="E6" s="106"/>
      <c r="F6" s="106"/>
      <c r="G6" s="106"/>
      <c r="H6" s="561"/>
      <c r="I6" s="106"/>
      <c r="J6" s="106"/>
      <c r="K6" s="106"/>
      <c r="L6" s="106"/>
      <c r="M6" s="106"/>
      <c r="N6" s="106"/>
      <c r="O6" s="237"/>
    </row>
    <row r="7" spans="2:17" ht="16" x14ac:dyDescent="0.2">
      <c r="B7" s="337"/>
      <c r="C7" s="106"/>
      <c r="D7" s="106"/>
      <c r="E7" s="106"/>
      <c r="F7" s="106"/>
      <c r="G7" s="106"/>
      <c r="H7" s="561"/>
      <c r="I7" s="106"/>
      <c r="J7" s="106"/>
      <c r="K7" s="106"/>
      <c r="L7" s="106"/>
      <c r="M7" s="106"/>
      <c r="N7" s="106"/>
      <c r="O7" s="237"/>
    </row>
    <row r="8" spans="2:17" x14ac:dyDescent="0.2">
      <c r="B8" s="537" t="s">
        <v>91</v>
      </c>
      <c r="H8" s="387"/>
      <c r="O8" s="610"/>
    </row>
    <row r="9" spans="2:17" x14ac:dyDescent="0.2">
      <c r="B9" s="397"/>
      <c r="H9" s="387"/>
      <c r="O9" s="610"/>
    </row>
    <row r="10" spans="2:17" x14ac:dyDescent="0.2">
      <c r="B10" s="397" t="s">
        <v>727</v>
      </c>
      <c r="C10" s="470">
        <f>'Tab. 5'!C23-C11</f>
        <v>13271.285106382978</v>
      </c>
      <c r="D10" s="470">
        <f>'Tab. 5'!D23-D11</f>
        <v>14745.872340425531</v>
      </c>
      <c r="E10" s="470">
        <f>'Tab. 5'!E23-E11</f>
        <v>16851.798063372262</v>
      </c>
      <c r="F10" s="470">
        <f>'Tab. 5'!F23-F11</f>
        <v>15483.165957446809</v>
      </c>
      <c r="G10" s="470">
        <f>'Tab. 5'!G23-G11</f>
        <v>15483.165957446792</v>
      </c>
      <c r="H10" s="619">
        <f>'Tab. 5'!H23-H11</f>
        <v>16220.45957446807</v>
      </c>
      <c r="I10" s="470">
        <f>'Tab. 5'!I23-I11</f>
        <v>14260.459574468085</v>
      </c>
      <c r="J10" s="470">
        <f>'Tab. 5'!J23-J11</f>
        <v>8847.5234042553184</v>
      </c>
      <c r="K10" s="470">
        <f>'Tab. 5'!K23-K11</f>
        <v>15250.650193005036</v>
      </c>
      <c r="L10" s="470">
        <f>'Tab. 5'!L23-L11</f>
        <v>13452.460169458936</v>
      </c>
      <c r="M10" s="470">
        <f>'Tab. 5'!M23-M11</f>
        <v>15483.165957446807</v>
      </c>
      <c r="N10" s="470">
        <f>'Tab. 5'!N23-N11</f>
        <v>6887.5234042553193</v>
      </c>
      <c r="O10" s="618">
        <f t="shared" ref="O10:O12" si="0">SUM(C10:N10)</f>
        <v>166237.52970243196</v>
      </c>
    </row>
    <row r="11" spans="2:17" x14ac:dyDescent="0.2">
      <c r="B11" s="397" t="s">
        <v>728</v>
      </c>
      <c r="C11" s="470">
        <f>'Tab. 5'!C26</f>
        <v>0</v>
      </c>
      <c r="D11" s="470">
        <f>'Tab. 5'!D26</f>
        <v>283.00044968732618</v>
      </c>
      <c r="E11" s="470">
        <f>'Tab. 5'!E26</f>
        <v>0</v>
      </c>
      <c r="F11" s="470">
        <f>'Tab. 5'!F26</f>
        <v>0</v>
      </c>
      <c r="G11" s="470">
        <f>'Tab. 5'!G26</f>
        <v>0</v>
      </c>
      <c r="H11" s="619">
        <f>'Tab. 5'!H26</f>
        <v>0</v>
      </c>
      <c r="I11" s="470">
        <f>'Tab. 5'!I26</f>
        <v>0</v>
      </c>
      <c r="J11" s="470">
        <f>'Tab. 5'!J26</f>
        <v>0</v>
      </c>
      <c r="K11" s="470">
        <f>'Tab. 5'!K26</f>
        <v>0</v>
      </c>
      <c r="L11" s="470">
        <f>'Tab. 5'!L26</f>
        <v>0</v>
      </c>
      <c r="M11" s="470">
        <f>'Tab. 5'!M26</f>
        <v>0</v>
      </c>
      <c r="N11" s="470">
        <f>'Tab. 5'!N26</f>
        <v>0</v>
      </c>
      <c r="O11" s="618">
        <f t="shared" si="0"/>
        <v>283.00044968732618</v>
      </c>
    </row>
    <row r="12" spans="2:17" x14ac:dyDescent="0.2">
      <c r="B12" s="397" t="s">
        <v>729</v>
      </c>
      <c r="C12" s="470">
        <f>+'Tab. 5'!C28</f>
        <v>0</v>
      </c>
      <c r="D12" s="470">
        <f>+'Tab. 5'!D28</f>
        <v>0</v>
      </c>
      <c r="E12" s="470">
        <f>+'Tab. 5'!E28</f>
        <v>105.95512811710068</v>
      </c>
      <c r="F12" s="470">
        <f>+'Tab. 5'!F28</f>
        <v>0</v>
      </c>
      <c r="G12" s="470">
        <f>+'Tab. 5'!G28</f>
        <v>1.6370904631912708E-11</v>
      </c>
      <c r="H12" s="619">
        <f>+'Tab. 5'!H28</f>
        <v>1.4551915228366852E-11</v>
      </c>
      <c r="I12" s="470">
        <f>+'Tab. 5'!I28</f>
        <v>0</v>
      </c>
      <c r="J12" s="470">
        <f>+'Tab. 5'!J28</f>
        <v>0</v>
      </c>
      <c r="K12" s="470">
        <f>+'Tab. 5'!K28</f>
        <v>969.80938146304834</v>
      </c>
      <c r="L12" s="470">
        <f>+'Tab. 5'!L28</f>
        <v>2030.7057879878721</v>
      </c>
      <c r="M12" s="470">
        <f>+'Tab. 5'!M28</f>
        <v>0</v>
      </c>
      <c r="N12" s="470">
        <f>+'Tab. 5'!N28</f>
        <v>0</v>
      </c>
      <c r="O12" s="618">
        <f t="shared" si="0"/>
        <v>3106.470297568052</v>
      </c>
    </row>
    <row r="13" spans="2:17" s="326" customFormat="1" x14ac:dyDescent="0.2">
      <c r="B13" s="398"/>
      <c r="C13" s="534">
        <f>SUM(C10:C12)</f>
        <v>13271.285106382978</v>
      </c>
      <c r="D13" s="534">
        <f>SUM(D10:D12)</f>
        <v>15028.872790112857</v>
      </c>
      <c r="E13" s="534">
        <f t="shared" ref="E13:N13" si="1">SUM(E10:E12)</f>
        <v>16957.753191489363</v>
      </c>
      <c r="F13" s="534">
        <f t="shared" si="1"/>
        <v>15483.165957446809</v>
      </c>
      <c r="G13" s="534">
        <f t="shared" si="1"/>
        <v>15483.165957446809</v>
      </c>
      <c r="H13" s="534">
        <f t="shared" si="1"/>
        <v>16220.459574468085</v>
      </c>
      <c r="I13" s="534">
        <f t="shared" si="1"/>
        <v>14260.459574468085</v>
      </c>
      <c r="J13" s="534">
        <f t="shared" si="1"/>
        <v>8847.5234042553184</v>
      </c>
      <c r="K13" s="534">
        <f t="shared" si="1"/>
        <v>16220.459574468085</v>
      </c>
      <c r="L13" s="534">
        <f t="shared" si="1"/>
        <v>15483.165957446809</v>
      </c>
      <c r="M13" s="534">
        <f t="shared" si="1"/>
        <v>15483.165957446807</v>
      </c>
      <c r="N13" s="534">
        <f t="shared" si="1"/>
        <v>6887.5234042553193</v>
      </c>
      <c r="O13" s="611">
        <f>SUM(C13:N13)</f>
        <v>169627.00044968733</v>
      </c>
      <c r="P13" s="533"/>
    </row>
    <row r="14" spans="2:17" x14ac:dyDescent="0.2">
      <c r="B14" s="397"/>
      <c r="H14" s="387"/>
      <c r="O14" s="610"/>
    </row>
    <row r="15" spans="2:17" x14ac:dyDescent="0.2">
      <c r="B15" s="397" t="s">
        <v>732</v>
      </c>
      <c r="C15" s="378">
        <f>C10*'Tab. 17'!$C$22</f>
        <v>182432.20667359533</v>
      </c>
      <c r="D15" s="378">
        <f>D10*'Tab. 17'!$C$22</f>
        <v>202702.45185955035</v>
      </c>
      <c r="E15" s="378">
        <f>E10*'Tab. 17'!$C$22</f>
        <v>231651.3195576061</v>
      </c>
      <c r="F15" s="378">
        <f>F10*'Tab. 17'!$C$22</f>
        <v>212837.57445252789</v>
      </c>
      <c r="G15" s="378">
        <f>G10*'Tab. 17'!$C$22</f>
        <v>212837.57445252765</v>
      </c>
      <c r="H15" s="388">
        <f>H10*'Tab. 17'!$C$22</f>
        <v>222972.69704550519</v>
      </c>
      <c r="I15" s="378">
        <f>I10*'Tab. 17'!$C$22</f>
        <v>196029.7806501466</v>
      </c>
      <c r="J15" s="378">
        <f>J10*'Tab. 17'!$C$22</f>
        <v>121621.47111573021</v>
      </c>
      <c r="K15" s="378">
        <f>K10*'Tab. 17'!$C$22</f>
        <v>209641.32302295769</v>
      </c>
      <c r="L15" s="378">
        <f>L10*'Tab. 17'!$C$22</f>
        <v>184922.70900899297</v>
      </c>
      <c r="M15" s="378">
        <f>M10*'Tab. 17'!$C$22</f>
        <v>212837.57445252786</v>
      </c>
      <c r="N15" s="378">
        <f>N10*'Tab. 17'!$C$22</f>
        <v>94678.554720371438</v>
      </c>
      <c r="O15" s="612">
        <f t="shared" ref="O15:O16" si="2">SUM(C15:N15)</f>
        <v>2285165.2370120394</v>
      </c>
      <c r="P15" s="393"/>
      <c r="Q15" s="393"/>
    </row>
    <row r="16" spans="2:17" x14ac:dyDescent="0.2">
      <c r="B16" s="397" t="s">
        <v>733</v>
      </c>
      <c r="C16" s="378">
        <f>C11*'Tab. 17'!$C$22</f>
        <v>0</v>
      </c>
      <c r="D16" s="378">
        <f>D11*'Tab. 17'!$C$22</f>
        <v>3890.2333958033523</v>
      </c>
      <c r="E16" s="378">
        <f>E11*'Tab. 17'!$C$22</f>
        <v>0</v>
      </c>
      <c r="F16" s="378">
        <f>F11*'Tab. 17'!$C$22</f>
        <v>0</v>
      </c>
      <c r="G16" s="378">
        <f>G11*'Tab. 17'!$C$22</f>
        <v>0</v>
      </c>
      <c r="H16" s="388">
        <f>H11*'Tab. 17'!$C$22</f>
        <v>0</v>
      </c>
      <c r="I16" s="378">
        <f>I11*'Tab. 17'!$C$22</f>
        <v>0</v>
      </c>
      <c r="J16" s="378">
        <f>J11*'Tab. 17'!$C$22</f>
        <v>0</v>
      </c>
      <c r="K16" s="378">
        <f>K11*'Tab. 17'!$C$22</f>
        <v>0</v>
      </c>
      <c r="L16" s="378">
        <f>L11*'Tab. 17'!$C$22</f>
        <v>0</v>
      </c>
      <c r="M16" s="378">
        <f>M11*'Tab. 17'!$C$22</f>
        <v>0</v>
      </c>
      <c r="N16" s="378">
        <f>N11*'Tab. 17'!$C$22</f>
        <v>0</v>
      </c>
      <c r="O16" s="612">
        <f t="shared" si="2"/>
        <v>3890.2333958033523</v>
      </c>
    </row>
    <row r="17" spans="2:17" x14ac:dyDescent="0.2">
      <c r="B17" s="397" t="s">
        <v>734</v>
      </c>
      <c r="C17" s="378">
        <f>C12*'Tab. 17'!$C$22</f>
        <v>0</v>
      </c>
      <c r="D17" s="378">
        <f>D12*'Tab. 17'!$C$22</f>
        <v>0</v>
      </c>
      <c r="E17" s="378">
        <f>E12*'Tab. 17'!$C$22</f>
        <v>1456.5000808768229</v>
      </c>
      <c r="F17" s="378">
        <f>F12*'Tab. 17'!$C$22</f>
        <v>0</v>
      </c>
      <c r="G17" s="378">
        <f>G12*'Tab. 17'!$C$22</f>
        <v>2.2504077286429389E-10</v>
      </c>
      <c r="H17" s="388">
        <f>H12*'Tab. 17'!$C$22</f>
        <v>2.0003624254603901E-10</v>
      </c>
      <c r="I17" s="378">
        <f>I12*'Tab. 17'!$C$22</f>
        <v>0</v>
      </c>
      <c r="J17" s="378">
        <f>J12*'Tab. 17'!$C$22</f>
        <v>0</v>
      </c>
      <c r="K17" s="378">
        <f>K12*'Tab. 17'!$C$22</f>
        <v>13331.37402254772</v>
      </c>
      <c r="L17" s="378">
        <f>L12*'Tab. 17'!$C$22</f>
        <v>27914.865443534909</v>
      </c>
      <c r="M17" s="378">
        <f>M12*'Tab. 17'!$C$22</f>
        <v>0</v>
      </c>
      <c r="N17" s="378">
        <f>N12*'Tab. 17'!$C$22</f>
        <v>0</v>
      </c>
      <c r="O17" s="612">
        <f>SUM(C17:N17)</f>
        <v>42702.739546959878</v>
      </c>
    </row>
    <row r="18" spans="2:17" s="326" customFormat="1" x14ac:dyDescent="0.2">
      <c r="B18" s="398" t="s">
        <v>735</v>
      </c>
      <c r="C18" s="528">
        <f>SUM(C15:C17)</f>
        <v>182432.20667359533</v>
      </c>
      <c r="D18" s="528">
        <f>SUM(D15:D17)</f>
        <v>206592.68525535369</v>
      </c>
      <c r="E18" s="528">
        <f t="shared" ref="E18:O18" si="3">SUM(E15:E17)</f>
        <v>233107.81963848291</v>
      </c>
      <c r="F18" s="528">
        <f t="shared" si="3"/>
        <v>212837.57445252789</v>
      </c>
      <c r="G18" s="528">
        <f t="shared" si="3"/>
        <v>212837.57445252789</v>
      </c>
      <c r="H18" s="621">
        <f t="shared" si="3"/>
        <v>222972.6970455054</v>
      </c>
      <c r="I18" s="528">
        <f t="shared" si="3"/>
        <v>196029.7806501466</v>
      </c>
      <c r="J18" s="528">
        <f t="shared" si="3"/>
        <v>121621.47111573021</v>
      </c>
      <c r="K18" s="528">
        <f t="shared" si="3"/>
        <v>222972.6970455054</v>
      </c>
      <c r="L18" s="528">
        <f t="shared" si="3"/>
        <v>212837.57445252789</v>
      </c>
      <c r="M18" s="528">
        <f t="shared" si="3"/>
        <v>212837.57445252786</v>
      </c>
      <c r="N18" s="528">
        <f t="shared" si="3"/>
        <v>94678.554720371438</v>
      </c>
      <c r="O18" s="613">
        <f t="shared" si="3"/>
        <v>2331758.2099548024</v>
      </c>
    </row>
    <row r="19" spans="2:17" x14ac:dyDescent="0.2">
      <c r="B19" s="397"/>
      <c r="H19" s="387"/>
      <c r="O19" s="610"/>
    </row>
    <row r="20" spans="2:17" x14ac:dyDescent="0.2">
      <c r="B20" s="537" t="s">
        <v>92</v>
      </c>
      <c r="H20" s="387"/>
      <c r="O20" s="610"/>
    </row>
    <row r="21" spans="2:17" x14ac:dyDescent="0.2">
      <c r="B21" s="397"/>
      <c r="H21" s="387"/>
      <c r="O21" s="610"/>
    </row>
    <row r="22" spans="2:17" x14ac:dyDescent="0.2">
      <c r="B22" s="397" t="s">
        <v>736</v>
      </c>
      <c r="C22" s="470">
        <f>'Tab. 5'!C55-C23</f>
        <v>1443.3493074866187</v>
      </c>
      <c r="D22" s="470">
        <f>'Tab. 5'!D55-D23</f>
        <v>1496.4675055758487</v>
      </c>
      <c r="E22" s="470">
        <f>'Tab. 5'!E55-E23</f>
        <v>1567.7278629842185</v>
      </c>
      <c r="F22" s="470">
        <f>'Tab. 5'!F55-F23</f>
        <v>1567.7278629842128</v>
      </c>
      <c r="G22" s="470">
        <f>'Tab. 5'!G55-G23</f>
        <v>1001.3701417597827</v>
      </c>
      <c r="H22" s="619">
        <f>'Tab. 5'!H55-H23</f>
        <v>1820.6638297872328</v>
      </c>
      <c r="I22" s="470">
        <f>'Tab. 5'!I55-I23</f>
        <v>1600.6638297872339</v>
      </c>
      <c r="J22" s="470">
        <f>'Tab. 5'!J55-J23</f>
        <v>993.08936170212769</v>
      </c>
      <c r="K22" s="470">
        <f>'Tab. 5'!K55-K23</f>
        <v>1203.3866204664926</v>
      </c>
      <c r="L22" s="470">
        <f>'Tab. 5'!L55-L23</f>
        <v>1737.9063829787233</v>
      </c>
      <c r="M22" s="470">
        <f>'Tab. 5'!M55-M23</f>
        <v>1737.9063829787233</v>
      </c>
      <c r="N22" s="470">
        <f>'Tab. 5'!N55-N23</f>
        <v>773.08936170212769</v>
      </c>
      <c r="O22" s="618">
        <f t="shared" ref="O22:O24" si="4">SUM(C22:N22)</f>
        <v>16943.348450193342</v>
      </c>
    </row>
    <row r="23" spans="2:17" x14ac:dyDescent="0.2">
      <c r="B23" s="397" t="s">
        <v>740</v>
      </c>
      <c r="C23" s="470">
        <f>+'Tab. 5'!C58</f>
        <v>0</v>
      </c>
      <c r="D23" s="470">
        <f>+'Tab. 5'!D58</f>
        <v>0</v>
      </c>
      <c r="E23" s="470">
        <f>+'Tab. 5'!E58</f>
        <v>0</v>
      </c>
      <c r="F23" s="470">
        <f>+'Tab. 5'!F58</f>
        <v>0</v>
      </c>
      <c r="G23" s="470">
        <f>+'Tab. 5'!G58</f>
        <v>0</v>
      </c>
      <c r="H23" s="619">
        <f>+'Tab. 5'!H58</f>
        <v>0</v>
      </c>
      <c r="I23" s="470">
        <f>+'Tab. 5'!I58</f>
        <v>0</v>
      </c>
      <c r="J23" s="470">
        <f>+'Tab. 5'!J58</f>
        <v>0</v>
      </c>
      <c r="K23" s="470">
        <f>+'Tab. 5'!K58</f>
        <v>0</v>
      </c>
      <c r="L23" s="470">
        <f>+'Tab. 5'!L58</f>
        <v>0</v>
      </c>
      <c r="M23" s="470">
        <f>+'Tab. 5'!M58</f>
        <v>0</v>
      </c>
      <c r="N23" s="470">
        <f>+'Tab. 5'!N58</f>
        <v>0</v>
      </c>
      <c r="O23" s="618">
        <f t="shared" si="4"/>
        <v>0</v>
      </c>
    </row>
    <row r="24" spans="2:17" x14ac:dyDescent="0.2">
      <c r="B24" s="397" t="s">
        <v>737</v>
      </c>
      <c r="C24" s="470">
        <f>+'Tab. 5'!C60</f>
        <v>46.284735066572694</v>
      </c>
      <c r="D24" s="470">
        <f>+'Tab. 5'!D60</f>
        <v>158.68143059436397</v>
      </c>
      <c r="E24" s="470">
        <f>+'Tab. 5'!E60</f>
        <v>335.69341361152601</v>
      </c>
      <c r="F24" s="470">
        <f>+'Tab. 5'!F60</f>
        <v>170.17851999451045</v>
      </c>
      <c r="G24" s="470">
        <f>+'Tab. 5'!G60</f>
        <v>736.53624121894063</v>
      </c>
      <c r="H24" s="619">
        <f>+'Tab. 5'!H60</f>
        <v>0</v>
      </c>
      <c r="I24" s="470">
        <f>+'Tab. 5'!I60</f>
        <v>0</v>
      </c>
      <c r="J24" s="470">
        <f>+'Tab. 5'!J60</f>
        <v>0</v>
      </c>
      <c r="K24" s="470">
        <f>+'Tab. 5'!K60</f>
        <v>617.27720932074135</v>
      </c>
      <c r="L24" s="470">
        <f>+'Tab. 5'!L60</f>
        <v>0</v>
      </c>
      <c r="M24" s="470">
        <f>+'Tab. 5'!M60</f>
        <v>0</v>
      </c>
      <c r="N24" s="470">
        <f>+'Tab. 5'!N60</f>
        <v>0</v>
      </c>
      <c r="O24" s="618">
        <f t="shared" si="4"/>
        <v>2064.6515498066551</v>
      </c>
    </row>
    <row r="25" spans="2:17" s="326" customFormat="1" x14ac:dyDescent="0.2">
      <c r="B25" s="398"/>
      <c r="C25" s="534">
        <f>+C22+C24</f>
        <v>1489.6340425531914</v>
      </c>
      <c r="D25" s="534">
        <f t="shared" ref="D25" si="5">+D22+D24</f>
        <v>1655.1489361702127</v>
      </c>
      <c r="E25" s="534">
        <f t="shared" ref="E25" si="6">+E22+E24</f>
        <v>1903.4212765957445</v>
      </c>
      <c r="F25" s="534">
        <f t="shared" ref="F25" si="7">+F22+F24</f>
        <v>1737.9063829787233</v>
      </c>
      <c r="G25" s="534">
        <f t="shared" ref="G25" si="8">+G22+G24</f>
        <v>1737.9063829787233</v>
      </c>
      <c r="H25" s="620">
        <f t="shared" ref="H25" si="9">+H22+H24</f>
        <v>1820.6638297872328</v>
      </c>
      <c r="I25" s="534">
        <f t="shared" ref="I25" si="10">+I22+I24</f>
        <v>1600.6638297872339</v>
      </c>
      <c r="J25" s="534">
        <f t="shared" ref="J25" si="11">+J22+J24</f>
        <v>993.08936170212769</v>
      </c>
      <c r="K25" s="534">
        <f t="shared" ref="K25" si="12">+K22+K24</f>
        <v>1820.6638297872339</v>
      </c>
      <c r="L25" s="534">
        <f t="shared" ref="L25" si="13">+L22+L24</f>
        <v>1737.9063829787233</v>
      </c>
      <c r="M25" s="534">
        <f t="shared" ref="M25" si="14">+M22+M24</f>
        <v>1737.9063829787233</v>
      </c>
      <c r="N25" s="534">
        <f t="shared" ref="N25" si="15">+N22+N24</f>
        <v>773.08936170212769</v>
      </c>
      <c r="O25" s="611">
        <f>SUM(C25:N25)</f>
        <v>19008</v>
      </c>
      <c r="P25" s="533"/>
    </row>
    <row r="26" spans="2:17" x14ac:dyDescent="0.2">
      <c r="B26" s="397"/>
      <c r="H26" s="387"/>
      <c r="O26" s="610"/>
    </row>
    <row r="27" spans="2:17" x14ac:dyDescent="0.2">
      <c r="B27" s="397" t="s">
        <v>738</v>
      </c>
      <c r="C27" s="378">
        <f>C22*'Tab. 17'!$D$22</f>
        <v>18948.443239754197</v>
      </c>
      <c r="D27" s="378">
        <f>D22*'Tab. 17'!$D$22</f>
        <v>19645.784594526089</v>
      </c>
      <c r="E27" s="378">
        <f>E22*'Tab. 17'!$D$22</f>
        <v>20581.298146646328</v>
      </c>
      <c r="F27" s="378">
        <f>F22*'Tab. 17'!$D$22</f>
        <v>20581.298146646255</v>
      </c>
      <c r="G27" s="378">
        <f>G22*'Tab. 17'!$D$22</f>
        <v>13146.093738154765</v>
      </c>
      <c r="H27" s="388">
        <f>H22*'Tab. 17'!$D$22</f>
        <v>23901.868423986278</v>
      </c>
      <c r="I27" s="378">
        <f>I22*'Tab. 17'!$D$22</f>
        <v>21013.685022280835</v>
      </c>
      <c r="J27" s="378">
        <f>J22*'Tab. 17'!$D$22</f>
        <v>13037.382776719798</v>
      </c>
      <c r="K27" s="378">
        <f>K22*'Tab. 17'!$D$22</f>
        <v>15798.187559389784</v>
      </c>
      <c r="L27" s="378">
        <f>L22*'Tab. 17'!$D$22</f>
        <v>22815.419859259644</v>
      </c>
      <c r="M27" s="378">
        <f>M22*'Tab. 17'!$D$22</f>
        <v>22815.419859259644</v>
      </c>
      <c r="N27" s="378">
        <f>N22*'Tab. 17'!$D$22</f>
        <v>10149.199375014337</v>
      </c>
      <c r="O27" s="612">
        <f t="shared" ref="O27:O28" si="16">SUM(C27:N27)</f>
        <v>222434.08074163797</v>
      </c>
      <c r="P27" s="393"/>
      <c r="Q27" s="393"/>
    </row>
    <row r="28" spans="2:17" x14ac:dyDescent="0.2">
      <c r="B28" s="397" t="s">
        <v>742</v>
      </c>
      <c r="C28" s="378">
        <f>C23*'Tab. 17'!$D$22</f>
        <v>0</v>
      </c>
      <c r="D28" s="378">
        <f>D23*'Tab. 17'!$D$22</f>
        <v>0</v>
      </c>
      <c r="E28" s="378">
        <f>E23*'Tab. 17'!$D$22</f>
        <v>0</v>
      </c>
      <c r="F28" s="378">
        <f>F23*'Tab. 17'!$D$22</f>
        <v>0</v>
      </c>
      <c r="G28" s="378">
        <f>G23*'Tab. 17'!$D$22</f>
        <v>0</v>
      </c>
      <c r="H28" s="388">
        <f>H23*'Tab. 17'!$D$22</f>
        <v>0</v>
      </c>
      <c r="I28" s="378">
        <f>I23*'Tab. 17'!$D$22</f>
        <v>0</v>
      </c>
      <c r="J28" s="378">
        <f>J23*'Tab. 17'!$D$22</f>
        <v>0</v>
      </c>
      <c r="K28" s="378">
        <f>K23*'Tab. 17'!$D$22</f>
        <v>0</v>
      </c>
      <c r="L28" s="378">
        <f>L23*'Tab. 17'!$D$22</f>
        <v>0</v>
      </c>
      <c r="M28" s="378">
        <f>M23*'Tab. 17'!$D$22</f>
        <v>0</v>
      </c>
      <c r="N28" s="378">
        <f>N23*'Tab. 17'!$D$22</f>
        <v>0</v>
      </c>
      <c r="O28" s="612">
        <f t="shared" si="16"/>
        <v>0</v>
      </c>
    </row>
    <row r="29" spans="2:17" x14ac:dyDescent="0.2">
      <c r="B29" s="397" t="s">
        <v>739</v>
      </c>
      <c r="C29" s="378">
        <f>C24*'Tab. 17'!$D$22</f>
        <v>607.63092532549967</v>
      </c>
      <c r="D29" s="378">
        <f>D24*'Tab. 17'!$D$22</f>
        <v>2083.1867000069051</v>
      </c>
      <c r="E29" s="378">
        <f>E24*'Tab. 17'!$D$22</f>
        <v>4407.0188420666154</v>
      </c>
      <c r="F29" s="378">
        <f>F24*'Tab. 17'!$D$22</f>
        <v>2234.1217126133906</v>
      </c>
      <c r="G29" s="378">
        <f>G24*'Tab. 17'!$D$22</f>
        <v>9669.3261211048793</v>
      </c>
      <c r="H29" s="388">
        <f>H24*'Tab. 17'!$D$22</f>
        <v>0</v>
      </c>
      <c r="I29" s="378">
        <f>I24*'Tab. 17'!$D$22</f>
        <v>0</v>
      </c>
      <c r="J29" s="378">
        <f>J24*'Tab. 17'!$D$22</f>
        <v>0</v>
      </c>
      <c r="K29" s="378">
        <f>K24*'Tab. 17'!$D$22</f>
        <v>8103.6808645965102</v>
      </c>
      <c r="L29" s="378">
        <f>L24*'Tab. 17'!$D$22</f>
        <v>0</v>
      </c>
      <c r="M29" s="378">
        <f>M24*'Tab. 17'!$D$22</f>
        <v>0</v>
      </c>
      <c r="N29" s="378">
        <f>N24*'Tab. 17'!$D$22</f>
        <v>0</v>
      </c>
      <c r="O29" s="612">
        <f>SUM(C29:N29)</f>
        <v>27104.965165713798</v>
      </c>
    </row>
    <row r="30" spans="2:17" s="326" customFormat="1" x14ac:dyDescent="0.2">
      <c r="B30" s="398" t="s">
        <v>735</v>
      </c>
      <c r="C30" s="528">
        <f t="shared" ref="C30:N30" si="17">SUM(C27:C29)</f>
        <v>19556.074165079695</v>
      </c>
      <c r="D30" s="528">
        <f t="shared" si="17"/>
        <v>21728.971294532996</v>
      </c>
      <c r="E30" s="528">
        <f t="shared" si="17"/>
        <v>24988.316988712944</v>
      </c>
      <c r="F30" s="528">
        <f t="shared" si="17"/>
        <v>22815.419859259644</v>
      </c>
      <c r="G30" s="528">
        <f t="shared" si="17"/>
        <v>22815.419859259644</v>
      </c>
      <c r="H30" s="621">
        <f t="shared" si="17"/>
        <v>23901.868423986278</v>
      </c>
      <c r="I30" s="528">
        <f t="shared" si="17"/>
        <v>21013.685022280835</v>
      </c>
      <c r="J30" s="528">
        <f t="shared" si="17"/>
        <v>13037.382776719798</v>
      </c>
      <c r="K30" s="528">
        <f t="shared" si="17"/>
        <v>23901.868423986292</v>
      </c>
      <c r="L30" s="528">
        <f t="shared" si="17"/>
        <v>22815.419859259644</v>
      </c>
      <c r="M30" s="528">
        <f t="shared" si="17"/>
        <v>22815.419859259644</v>
      </c>
      <c r="N30" s="528">
        <f t="shared" si="17"/>
        <v>10149.199375014337</v>
      </c>
      <c r="O30" s="613">
        <f t="shared" ref="O30" si="18">SUM(O27:O29)</f>
        <v>249539.04590735177</v>
      </c>
    </row>
    <row r="31" spans="2:17" x14ac:dyDescent="0.2">
      <c r="B31" s="397"/>
      <c r="H31" s="387"/>
      <c r="O31" s="610"/>
    </row>
    <row r="32" spans="2:17" x14ac:dyDescent="0.2">
      <c r="B32" s="538" t="s">
        <v>3</v>
      </c>
      <c r="C32" s="539"/>
      <c r="D32" s="539"/>
      <c r="E32" s="539"/>
      <c r="F32" s="539"/>
      <c r="G32" s="539"/>
      <c r="H32" s="622"/>
      <c r="I32" s="539"/>
      <c r="J32" s="539"/>
      <c r="K32" s="539"/>
      <c r="L32" s="539"/>
      <c r="M32" s="539"/>
      <c r="N32" s="539"/>
      <c r="O32" s="614"/>
    </row>
    <row r="33" spans="2:17" x14ac:dyDescent="0.2">
      <c r="B33" s="397"/>
      <c r="H33" s="387"/>
      <c r="O33" s="610"/>
    </row>
    <row r="34" spans="2:17" x14ac:dyDescent="0.2">
      <c r="B34" s="397" t="s">
        <v>730</v>
      </c>
      <c r="C34" s="378">
        <f t="shared" ref="C34:N34" si="19">+C15+C27</f>
        <v>201380.64991334954</v>
      </c>
      <c r="D34" s="378">
        <f t="shared" si="19"/>
        <v>222348.23645407642</v>
      </c>
      <c r="E34" s="378">
        <f t="shared" si="19"/>
        <v>252232.61770425242</v>
      </c>
      <c r="F34" s="378">
        <f t="shared" si="19"/>
        <v>233418.87259917415</v>
      </c>
      <c r="G34" s="378">
        <f t="shared" si="19"/>
        <v>225983.66819068242</v>
      </c>
      <c r="H34" s="388">
        <f t="shared" si="19"/>
        <v>246874.56546949147</v>
      </c>
      <c r="I34" s="378">
        <f t="shared" si="19"/>
        <v>217043.46567242744</v>
      </c>
      <c r="J34" s="378">
        <f t="shared" si="19"/>
        <v>134658.85389245002</v>
      </c>
      <c r="K34" s="378">
        <f t="shared" si="19"/>
        <v>225439.51058234746</v>
      </c>
      <c r="L34" s="378">
        <f t="shared" si="19"/>
        <v>207738.12886825262</v>
      </c>
      <c r="M34" s="378">
        <f t="shared" si="19"/>
        <v>235652.99431178751</v>
      </c>
      <c r="N34" s="378">
        <f t="shared" si="19"/>
        <v>104827.75409538578</v>
      </c>
      <c r="O34" s="612">
        <f>SUM(C34:N34)</f>
        <v>2507599.3177536777</v>
      </c>
      <c r="Q34" s="393"/>
    </row>
    <row r="35" spans="2:17" x14ac:dyDescent="0.2">
      <c r="B35" s="397" t="s">
        <v>741</v>
      </c>
      <c r="C35" s="378">
        <f t="shared" ref="C35:N35" si="20">+C16+C28</f>
        <v>0</v>
      </c>
      <c r="D35" s="378">
        <f>+D16+D28</f>
        <v>3890.2333958033523</v>
      </c>
      <c r="E35" s="378">
        <f t="shared" si="20"/>
        <v>0</v>
      </c>
      <c r="F35" s="378">
        <f t="shared" si="20"/>
        <v>0</v>
      </c>
      <c r="G35" s="378">
        <f t="shared" si="20"/>
        <v>0</v>
      </c>
      <c r="H35" s="388">
        <f t="shared" si="20"/>
        <v>0</v>
      </c>
      <c r="I35" s="378">
        <f t="shared" si="20"/>
        <v>0</v>
      </c>
      <c r="J35" s="378">
        <f t="shared" si="20"/>
        <v>0</v>
      </c>
      <c r="K35" s="378">
        <f t="shared" si="20"/>
        <v>0</v>
      </c>
      <c r="L35" s="378">
        <f t="shared" si="20"/>
        <v>0</v>
      </c>
      <c r="M35" s="378">
        <f t="shared" si="20"/>
        <v>0</v>
      </c>
      <c r="N35" s="378">
        <f t="shared" si="20"/>
        <v>0</v>
      </c>
      <c r="O35" s="612">
        <f t="shared" ref="O35" si="21">SUM(C35:N35)</f>
        <v>3890.2333958033523</v>
      </c>
      <c r="Q35" s="393"/>
    </row>
    <row r="36" spans="2:17" x14ac:dyDescent="0.2">
      <c r="B36" s="397" t="s">
        <v>731</v>
      </c>
      <c r="C36" s="378">
        <f t="shared" ref="C36:N36" si="22">+C17+C29</f>
        <v>607.63092532549967</v>
      </c>
      <c r="D36" s="378">
        <f t="shared" si="22"/>
        <v>2083.1867000069051</v>
      </c>
      <c r="E36" s="378">
        <f t="shared" si="22"/>
        <v>5863.5189229434382</v>
      </c>
      <c r="F36" s="378">
        <f t="shared" si="22"/>
        <v>2234.1217126133906</v>
      </c>
      <c r="G36" s="378">
        <f t="shared" si="22"/>
        <v>9669.3261211051049</v>
      </c>
      <c r="H36" s="388">
        <f t="shared" si="22"/>
        <v>2.0003624254603901E-10</v>
      </c>
      <c r="I36" s="378">
        <f t="shared" si="22"/>
        <v>0</v>
      </c>
      <c r="J36" s="378">
        <f t="shared" si="22"/>
        <v>0</v>
      </c>
      <c r="K36" s="378">
        <f t="shared" si="22"/>
        <v>21435.05488714423</v>
      </c>
      <c r="L36" s="378">
        <f t="shared" si="22"/>
        <v>27914.865443534909</v>
      </c>
      <c r="M36" s="378">
        <f t="shared" si="22"/>
        <v>0</v>
      </c>
      <c r="N36" s="378">
        <f t="shared" si="22"/>
        <v>0</v>
      </c>
      <c r="O36" s="612">
        <f>SUM(C36:N36)</f>
        <v>69807.704712673672</v>
      </c>
    </row>
    <row r="37" spans="2:17" s="326" customFormat="1" ht="15" thickBot="1" x14ac:dyDescent="0.25">
      <c r="B37" s="540" t="s">
        <v>735</v>
      </c>
      <c r="C37" s="541">
        <f>SUM(C34:C36)</f>
        <v>201988.28083867504</v>
      </c>
      <c r="D37" s="541">
        <f t="shared" ref="D37:N37" si="23">SUM(D34:D36)</f>
        <v>228321.65654988668</v>
      </c>
      <c r="E37" s="541">
        <f t="shared" si="23"/>
        <v>258096.13662719587</v>
      </c>
      <c r="F37" s="541">
        <f t="shared" si="23"/>
        <v>235652.99431178754</v>
      </c>
      <c r="G37" s="541">
        <f t="shared" si="23"/>
        <v>235652.99431178754</v>
      </c>
      <c r="H37" s="623">
        <f t="shared" si="23"/>
        <v>246874.56546949167</v>
      </c>
      <c r="I37" s="541">
        <f t="shared" si="23"/>
        <v>217043.46567242744</v>
      </c>
      <c r="J37" s="541">
        <f t="shared" si="23"/>
        <v>134658.85389245002</v>
      </c>
      <c r="K37" s="541">
        <f t="shared" si="23"/>
        <v>246874.5654694917</v>
      </c>
      <c r="L37" s="541">
        <f t="shared" si="23"/>
        <v>235652.99431178754</v>
      </c>
      <c r="M37" s="541">
        <f t="shared" si="23"/>
        <v>235652.99431178751</v>
      </c>
      <c r="N37" s="541">
        <f t="shared" si="23"/>
        <v>104827.75409538578</v>
      </c>
      <c r="O37" s="615">
        <f>SUM(O34:O36)</f>
        <v>2581297.2558621545</v>
      </c>
      <c r="Q37" s="528">
        <f>+O37-'Tab. 17'!F31</f>
        <v>0</v>
      </c>
    </row>
    <row r="38" spans="2:17" s="326" customFormat="1" x14ac:dyDescent="0.2">
      <c r="B38" s="624" t="s">
        <v>749</v>
      </c>
      <c r="C38" s="542">
        <f>C34+C35</f>
        <v>201380.64991334954</v>
      </c>
      <c r="D38" s="542">
        <f t="shared" ref="D38:O38" si="24">D34+D35</f>
        <v>226238.46984987977</v>
      </c>
      <c r="E38" s="542">
        <f t="shared" si="24"/>
        <v>252232.61770425242</v>
      </c>
      <c r="F38" s="542">
        <f t="shared" si="24"/>
        <v>233418.87259917415</v>
      </c>
      <c r="G38" s="542">
        <f t="shared" si="24"/>
        <v>225983.66819068242</v>
      </c>
      <c r="H38" s="544">
        <f t="shared" si="24"/>
        <v>246874.56546949147</v>
      </c>
      <c r="I38" s="542">
        <f t="shared" si="24"/>
        <v>217043.46567242744</v>
      </c>
      <c r="J38" s="542">
        <f t="shared" si="24"/>
        <v>134658.85389245002</v>
      </c>
      <c r="K38" s="542">
        <f t="shared" si="24"/>
        <v>225439.51058234746</v>
      </c>
      <c r="L38" s="542">
        <f t="shared" si="24"/>
        <v>207738.12886825262</v>
      </c>
      <c r="M38" s="542">
        <f t="shared" si="24"/>
        <v>235652.99431178751</v>
      </c>
      <c r="N38" s="542">
        <f t="shared" si="24"/>
        <v>104827.75409538578</v>
      </c>
      <c r="O38" s="616">
        <f t="shared" si="24"/>
        <v>2511489.551149481</v>
      </c>
    </row>
    <row r="39" spans="2:17" s="326" customFormat="1" ht="15" thickBot="1" x14ac:dyDescent="0.25">
      <c r="B39" s="625" t="s">
        <v>750</v>
      </c>
      <c r="C39" s="543">
        <f>+C36</f>
        <v>607.63092532549967</v>
      </c>
      <c r="D39" s="543">
        <f t="shared" ref="D39:O39" si="25">+D36</f>
        <v>2083.1867000069051</v>
      </c>
      <c r="E39" s="543">
        <f t="shared" si="25"/>
        <v>5863.5189229434382</v>
      </c>
      <c r="F39" s="543">
        <f t="shared" si="25"/>
        <v>2234.1217126133906</v>
      </c>
      <c r="G39" s="543">
        <f t="shared" si="25"/>
        <v>9669.3261211051049</v>
      </c>
      <c r="H39" s="545">
        <f t="shared" si="25"/>
        <v>2.0003624254603901E-10</v>
      </c>
      <c r="I39" s="543">
        <f t="shared" si="25"/>
        <v>0</v>
      </c>
      <c r="J39" s="543">
        <f t="shared" si="25"/>
        <v>0</v>
      </c>
      <c r="K39" s="543">
        <f t="shared" si="25"/>
        <v>21435.05488714423</v>
      </c>
      <c r="L39" s="543">
        <f t="shared" si="25"/>
        <v>27914.865443534909</v>
      </c>
      <c r="M39" s="543">
        <f t="shared" si="25"/>
        <v>0</v>
      </c>
      <c r="N39" s="543">
        <f t="shared" si="25"/>
        <v>0</v>
      </c>
      <c r="O39" s="617">
        <f t="shared" si="25"/>
        <v>69807.704712673672</v>
      </c>
    </row>
    <row r="40" spans="2:17" s="635" customFormat="1" x14ac:dyDescent="0.2">
      <c r="C40" s="635">
        <f>+C37-C35-'Tab. 14'!C38</f>
        <v>-2.9103830456733704E-10</v>
      </c>
      <c r="D40" s="635">
        <f>+D37-D35-'Tab. 14'!D38</f>
        <v>-3.2014213502407074E-10</v>
      </c>
      <c r="E40" s="635">
        <f>+E37-E35-'Tab. 14'!E38</f>
        <v>-3.7834979593753815E-10</v>
      </c>
      <c r="F40" s="635">
        <f>+F37-F35-'Tab. 14'!F38</f>
        <v>-3.2014213502407074E-10</v>
      </c>
      <c r="G40" s="635">
        <f>+G37-G35-'Tab. 14'!G38</f>
        <v>-3.2014213502407074E-10</v>
      </c>
      <c r="H40" s="635">
        <f>+H37-H35-'Tab. 14'!H38</f>
        <v>-3.4924596548080444E-10</v>
      </c>
      <c r="I40" s="635">
        <f>+I37-I35-'Tab. 14'!I38</f>
        <v>-3.2014213502407074E-10</v>
      </c>
      <c r="J40" s="635">
        <f>+J37-J35-'Tab. 14'!J38</f>
        <v>0</v>
      </c>
      <c r="K40" s="635">
        <f>+K37-K35-'Tab. 14'!K38</f>
        <v>-3.2014213502407074E-10</v>
      </c>
      <c r="L40" s="635">
        <f>+L37-L35-'Tab. 14'!L38</f>
        <v>-3.2014213502407074E-10</v>
      </c>
      <c r="M40" s="635">
        <f>+M37-M35-'Tab. 14'!M38</f>
        <v>-3.4924596548080444E-10</v>
      </c>
      <c r="N40" s="635">
        <f>+N37-N35-'Tab. 14'!N38</f>
        <v>-1.3096723705530167E-10</v>
      </c>
      <c r="O40" s="635">
        <f>+O37-O35-'Tab. 14'!O38</f>
        <v>-3.7252902984619141E-9</v>
      </c>
    </row>
    <row r="42" spans="2:17" ht="15" thickBot="1" x14ac:dyDescent="0.25"/>
    <row r="43" spans="2:17" ht="16" x14ac:dyDescent="0.2">
      <c r="B43" s="631" t="s">
        <v>808</v>
      </c>
      <c r="C43" s="632"/>
      <c r="D43" s="632"/>
      <c r="E43" s="632"/>
      <c r="F43" s="632"/>
      <c r="G43" s="632"/>
      <c r="H43" s="633"/>
      <c r="I43" s="632"/>
      <c r="J43" s="632"/>
      <c r="K43" s="632"/>
      <c r="L43" s="632"/>
      <c r="M43" s="632"/>
      <c r="N43" s="632"/>
      <c r="O43" s="634"/>
    </row>
    <row r="44" spans="2:17" ht="16" x14ac:dyDescent="0.2">
      <c r="B44" s="536"/>
      <c r="C44" s="106"/>
      <c r="D44" s="106"/>
      <c r="E44" s="106"/>
      <c r="F44" s="106"/>
      <c r="G44" s="106"/>
      <c r="H44" s="561"/>
      <c r="I44" s="106"/>
      <c r="J44" s="106"/>
      <c r="K44" s="106"/>
      <c r="L44" s="106"/>
      <c r="M44" s="106"/>
      <c r="N44" s="106"/>
      <c r="O44" s="237"/>
    </row>
    <row r="45" spans="2:17" x14ac:dyDescent="0.2">
      <c r="B45" s="397" t="s">
        <v>751</v>
      </c>
      <c r="C45" s="470">
        <f>'Tab. 6'!C22</f>
        <v>1150.1780425531915</v>
      </c>
      <c r="D45" s="470">
        <f>'Tab. 6'!D22</f>
        <v>1302.5023084764475</v>
      </c>
      <c r="E45" s="470">
        <f>'Tab. 6'!E22</f>
        <v>1460.4891654922628</v>
      </c>
      <c r="F45" s="470">
        <f>'Tab. 6'!F22</f>
        <v>1341.8743829787234</v>
      </c>
      <c r="G45" s="470">
        <f>'Tab. 6'!G22</f>
        <v>1341.874382978722</v>
      </c>
      <c r="H45" s="619">
        <f>'Tab. 6'!H22</f>
        <v>1405.7731631205661</v>
      </c>
      <c r="I45" s="470">
        <f>'Tab. 6'!I22</f>
        <v>1235.9064964539007</v>
      </c>
      <c r="J45" s="470">
        <f>'Tab. 6'!J22</f>
        <v>766.7853617021276</v>
      </c>
      <c r="K45" s="470">
        <f>'Tab. 6'!K22</f>
        <v>1321.7230167271032</v>
      </c>
      <c r="L45" s="470">
        <f>'Tab. 6'!L22</f>
        <v>1165.879881353108</v>
      </c>
      <c r="M45" s="470">
        <f>'Tab. 6'!M22</f>
        <v>1341.8743829787234</v>
      </c>
      <c r="N45" s="470">
        <f>'Tab. 6'!N22</f>
        <v>596.91869503546104</v>
      </c>
      <c r="O45" s="610"/>
    </row>
    <row r="46" spans="2:17" x14ac:dyDescent="0.2">
      <c r="B46" s="397" t="s">
        <v>752</v>
      </c>
      <c r="C46" s="470">
        <f>'Tab. 6'!C27</f>
        <v>73.821957446808483</v>
      </c>
      <c r="D46" s="470">
        <f>'Tab. 6'!D27</f>
        <v>65.497691523552476</v>
      </c>
      <c r="E46" s="470">
        <f>'Tab. 6'!E27</f>
        <v>123.51083450773717</v>
      </c>
      <c r="F46" s="470">
        <f>'Tab. 6'!F27</f>
        <v>98.125617021276639</v>
      </c>
      <c r="G46" s="470">
        <f>'Tab. 6'!G27</f>
        <v>98.125617021278003</v>
      </c>
      <c r="H46" s="619">
        <f>'Tab. 6'!H27</f>
        <v>106.2268368794339</v>
      </c>
      <c r="I46" s="470">
        <f>'Tab. 6'!I27</f>
        <v>96.093503546099328</v>
      </c>
      <c r="J46" s="470">
        <f>'Tab. 6'!J27</f>
        <v>25.214638297872398</v>
      </c>
      <c r="K46" s="470">
        <f>'Tab. 6'!K27</f>
        <v>190.27698327289681</v>
      </c>
      <c r="L46" s="470">
        <f>'Tab. 6'!L27</f>
        <v>274.12011864689202</v>
      </c>
      <c r="M46" s="470">
        <f>'Tab. 6'!M27</f>
        <v>98.125617021276639</v>
      </c>
      <c r="N46" s="470">
        <f>'Tab. 6'!N27</f>
        <v>15.081304964538958</v>
      </c>
      <c r="O46" s="610"/>
    </row>
    <row r="47" spans="2:17" x14ac:dyDescent="0.2">
      <c r="B47" s="397"/>
      <c r="C47" s="534">
        <f>SUM(C45:C46)</f>
        <v>1224</v>
      </c>
      <c r="D47" s="534">
        <f t="shared" ref="D47:N47" si="26">SUM(D45:D46)</f>
        <v>1368</v>
      </c>
      <c r="E47" s="534">
        <f t="shared" si="26"/>
        <v>1584</v>
      </c>
      <c r="F47" s="534">
        <f t="shared" si="26"/>
        <v>1440</v>
      </c>
      <c r="G47" s="534">
        <f t="shared" si="26"/>
        <v>1440</v>
      </c>
      <c r="H47" s="620">
        <f t="shared" si="26"/>
        <v>1512</v>
      </c>
      <c r="I47" s="534">
        <f t="shared" si="26"/>
        <v>1332</v>
      </c>
      <c r="J47" s="534">
        <f t="shared" si="26"/>
        <v>792</v>
      </c>
      <c r="K47" s="534">
        <f t="shared" si="26"/>
        <v>1512</v>
      </c>
      <c r="L47" s="534">
        <f t="shared" si="26"/>
        <v>1440</v>
      </c>
      <c r="M47" s="534">
        <f t="shared" si="26"/>
        <v>1440</v>
      </c>
      <c r="N47" s="534">
        <f t="shared" si="26"/>
        <v>612</v>
      </c>
      <c r="O47" s="611">
        <f>SUM(C47:N47)</f>
        <v>15696</v>
      </c>
    </row>
    <row r="48" spans="2:17" x14ac:dyDescent="0.2">
      <c r="B48" s="397" t="s">
        <v>756</v>
      </c>
      <c r="C48" s="470">
        <f>'Tab. 6'!C44</f>
        <v>132.30701985294004</v>
      </c>
      <c r="D48" s="470">
        <f>'Tab. 6'!D44</f>
        <v>137.17618801111945</v>
      </c>
      <c r="E48" s="470">
        <f>'Tab. 6'!E44</f>
        <v>143.70838744022004</v>
      </c>
      <c r="F48" s="470">
        <f>'Tab. 6'!F44</f>
        <v>143.7083874402195</v>
      </c>
      <c r="G48" s="470">
        <f>'Tab. 6'!G44</f>
        <v>91.792262994646734</v>
      </c>
      <c r="H48" s="619">
        <f>'Tab. 6'!H44</f>
        <v>166.894184397163</v>
      </c>
      <c r="I48" s="470">
        <f>'Tab. 6'!I44</f>
        <v>146.72751773049643</v>
      </c>
      <c r="J48" s="470">
        <f>'Tab. 6'!J44</f>
        <v>91.033191489361698</v>
      </c>
      <c r="K48" s="470">
        <f>'Tab. 6'!K44</f>
        <v>110.31044020942849</v>
      </c>
      <c r="L48" s="470">
        <f>'Tab. 6'!L44</f>
        <v>159.30808510638295</v>
      </c>
      <c r="M48" s="470">
        <f>'Tab. 6'!M44</f>
        <v>159.30808510638295</v>
      </c>
      <c r="N48" s="470">
        <f>'Tab. 6'!N44</f>
        <v>70.866524822695041</v>
      </c>
      <c r="O48" s="630"/>
    </row>
    <row r="49" spans="2:17" x14ac:dyDescent="0.2">
      <c r="B49" s="397" t="s">
        <v>757</v>
      </c>
      <c r="C49" s="470">
        <f>'Tab. 6'!C49</f>
        <v>139.69298014705996</v>
      </c>
      <c r="D49" s="470">
        <f>'Tab. 6'!D49</f>
        <v>166.82381198888055</v>
      </c>
      <c r="E49" s="470">
        <f>'Tab. 6'!E49</f>
        <v>208.29161255977996</v>
      </c>
      <c r="F49" s="470">
        <f>'Tab. 6'!F49</f>
        <v>176.2916125597805</v>
      </c>
      <c r="G49" s="470">
        <f>'Tab. 6'!G49</f>
        <v>228.20773700535327</v>
      </c>
      <c r="H49" s="619">
        <f>'Tab. 6'!H49</f>
        <v>169.105815602837</v>
      </c>
      <c r="I49" s="470">
        <f>'Tab. 6'!I49</f>
        <v>149.27248226950357</v>
      </c>
      <c r="J49" s="470">
        <f>'Tab. 6'!J49</f>
        <v>84.966808510638302</v>
      </c>
      <c r="K49" s="470">
        <f>'Tab. 6'!K49</f>
        <v>225.68955979057151</v>
      </c>
      <c r="L49" s="470">
        <f>'Tab. 6'!L49</f>
        <v>160.69191489361705</v>
      </c>
      <c r="M49" s="470">
        <f>'Tab. 6'!M49</f>
        <v>160.69191489361705</v>
      </c>
      <c r="N49" s="470">
        <f>'Tab. 6'!N49</f>
        <v>65.133475177304959</v>
      </c>
      <c r="O49" s="630"/>
    </row>
    <row r="50" spans="2:17" x14ac:dyDescent="0.2">
      <c r="B50" s="397"/>
      <c r="C50" s="534">
        <f>SUM(C48:C49)</f>
        <v>272</v>
      </c>
      <c r="D50" s="534">
        <f t="shared" ref="D50" si="27">SUM(D48:D49)</f>
        <v>304</v>
      </c>
      <c r="E50" s="534">
        <f t="shared" ref="E50" si="28">SUM(E48:E49)</f>
        <v>352</v>
      </c>
      <c r="F50" s="534">
        <f t="shared" ref="F50" si="29">SUM(F48:F49)</f>
        <v>320</v>
      </c>
      <c r="G50" s="534">
        <f t="shared" ref="G50" si="30">SUM(G48:G49)</f>
        <v>320</v>
      </c>
      <c r="H50" s="620">
        <f t="shared" ref="H50" si="31">SUM(H48:H49)</f>
        <v>336</v>
      </c>
      <c r="I50" s="534">
        <f t="shared" ref="I50" si="32">SUM(I48:I49)</f>
        <v>296</v>
      </c>
      <c r="J50" s="534">
        <f t="shared" ref="J50" si="33">SUM(J48:J49)</f>
        <v>176</v>
      </c>
      <c r="K50" s="534">
        <f t="shared" ref="K50" si="34">SUM(K48:K49)</f>
        <v>336</v>
      </c>
      <c r="L50" s="534">
        <f t="shared" ref="L50" si="35">SUM(L48:L49)</f>
        <v>320</v>
      </c>
      <c r="M50" s="534">
        <f t="shared" ref="M50" si="36">SUM(M48:M49)</f>
        <v>320</v>
      </c>
      <c r="N50" s="534">
        <f t="shared" ref="N50" si="37">SUM(N48:N49)</f>
        <v>136</v>
      </c>
      <c r="O50" s="611">
        <f>SUM(C50:N50)</f>
        <v>3488</v>
      </c>
    </row>
    <row r="51" spans="2:17" x14ac:dyDescent="0.2">
      <c r="B51" s="397"/>
      <c r="C51" s="534"/>
      <c r="H51" s="387"/>
      <c r="O51" s="610"/>
    </row>
    <row r="52" spans="2:17" x14ac:dyDescent="0.2">
      <c r="B52" s="626" t="s">
        <v>753</v>
      </c>
      <c r="C52" s="547">
        <f>+C45*'Tab. 17'!$C$37+C48*'Tab. 17'!$D$37</f>
        <v>84584.097581471782</v>
      </c>
      <c r="D52" s="547">
        <f>+D45*'Tab. 17'!$C$37+D48*'Tab. 17'!$D$37</f>
        <v>94545.395916648908</v>
      </c>
      <c r="E52" s="547">
        <f>+E45*'Tab. 17'!$C$37+E48*'Tab. 17'!$D$37</f>
        <v>105022.31429968224</v>
      </c>
      <c r="F52" s="547">
        <f>+F45*'Tab. 17'!$C$37+F48*'Tab. 17'!$D$37</f>
        <v>97637.229168989259</v>
      </c>
      <c r="G52" s="547">
        <f>+G45*'Tab. 17'!$C$37+G48*'Tab. 17'!$D$37</f>
        <v>92546.829352364774</v>
      </c>
      <c r="H52" s="628">
        <f>+H45*'Tab. 17'!$C$37+H48*'Tab. 17'!$D$37</f>
        <v>103889.0146181707</v>
      </c>
      <c r="I52" s="547">
        <f>+I45*'Tab. 17'!$C$37+I48*'Tab. 17'!$D$37</f>
        <v>91335.58062224825</v>
      </c>
      <c r="J52" s="547">
        <f>+J45*'Tab. 17'!$C$37+J48*'Tab. 17'!$D$37</f>
        <v>56666.73524627497</v>
      </c>
      <c r="K52" s="547">
        <f>+K45*'Tab. 17'!$C$37+K48*'Tab. 17'!$D$37</f>
        <v>93107.899183159534</v>
      </c>
      <c r="L52" s="547">
        <f>+L45*'Tab. 17'!$C$37+L48*'Tab. 17'!$D$37</f>
        <v>88209.177945403164</v>
      </c>
      <c r="M52" s="547">
        <f>+M45*'Tab. 17'!$C$37+M48*'Tab. 17'!$D$37</f>
        <v>99166.786680981197</v>
      </c>
      <c r="N52" s="547">
        <f>+N45*'Tab. 17'!$C$37+N48*'Tab. 17'!$D$37</f>
        <v>44113.301250352451</v>
      </c>
      <c r="O52" s="612">
        <f t="shared" ref="O52" si="38">SUM(C52:N52)</f>
        <v>1050824.3618657473</v>
      </c>
    </row>
    <row r="53" spans="2:17" x14ac:dyDescent="0.2">
      <c r="B53" s="626" t="s">
        <v>754</v>
      </c>
      <c r="C53" s="547">
        <f>+C46*'Tab. 17'!$C$37+C49*'Tab. 17'!$D$37</f>
        <v>18293.195996509869</v>
      </c>
      <c r="D53" s="547">
        <f>+D46*'Tab. 17'!$C$37+D49*'Tab. 17'!$D$37</f>
        <v>20435.108670507063</v>
      </c>
      <c r="E53" s="547">
        <f>+E46*'Tab. 17'!$C$37+E49*'Tab. 17'!$D$37</f>
        <v>28113.006801235191</v>
      </c>
      <c r="F53" s="547">
        <f>+F46*'Tab. 17'!$C$37+F49*'Tab. 17'!$D$37</f>
        <v>23394.880922753873</v>
      </c>
      <c r="G53" s="547">
        <f>+G46*'Tab. 17'!$C$37+G49*'Tab. 17'!$D$37</f>
        <v>28485.280739378355</v>
      </c>
      <c r="H53" s="628">
        <f>+H46*'Tab. 17'!$C$37+H49*'Tab. 17'!$D$37</f>
        <v>23194.700978159588</v>
      </c>
      <c r="I53" s="547">
        <f>+I46*'Tab. 17'!$C$37+I49*'Tab. 17'!$D$37</f>
        <v>20619.12121261414</v>
      </c>
      <c r="J53" s="547">
        <f>+J46*'Tab. 17'!$C$37+J49*'Tab. 17'!$D$37</f>
        <v>9900.925304183751</v>
      </c>
      <c r="K53" s="547">
        <f>+K46*'Tab. 17'!$C$37+K49*'Tab. 17'!$D$37</f>
        <v>33975.816413170745</v>
      </c>
      <c r="L53" s="547">
        <f>+L46*'Tab. 17'!$C$37+L49*'Tab. 17'!$D$37</f>
        <v>32822.932146339954</v>
      </c>
      <c r="M53" s="547">
        <f>+M46*'Tab. 17'!$C$37+M49*'Tab. 17'!$D$37</f>
        <v>21865.323410761928</v>
      </c>
      <c r="N53" s="547">
        <f>+N46*'Tab. 17'!$C$37+N49*'Tab. 17'!$D$37</f>
        <v>7325.3455386383821</v>
      </c>
      <c r="O53" s="612">
        <f>SUM(C53:N53)</f>
        <v>268425.63813425286</v>
      </c>
    </row>
    <row r="54" spans="2:17" ht="15" thickBot="1" x14ac:dyDescent="0.25">
      <c r="B54" s="627" t="s">
        <v>755</v>
      </c>
      <c r="C54" s="548">
        <f>SUM(C52:C53)</f>
        <v>102877.29357798165</v>
      </c>
      <c r="D54" s="548">
        <f t="shared" ref="D54:N54" si="39">SUM(D52:D53)</f>
        <v>114980.50458715597</v>
      </c>
      <c r="E54" s="548">
        <f t="shared" si="39"/>
        <v>133135.32110091744</v>
      </c>
      <c r="F54" s="548">
        <f t="shared" si="39"/>
        <v>121032.11009174313</v>
      </c>
      <c r="G54" s="548">
        <f t="shared" si="39"/>
        <v>121032.11009174313</v>
      </c>
      <c r="H54" s="629">
        <f t="shared" si="39"/>
        <v>127083.71559633028</v>
      </c>
      <c r="I54" s="548">
        <f t="shared" si="39"/>
        <v>111954.70183486238</v>
      </c>
      <c r="J54" s="548">
        <f t="shared" si="39"/>
        <v>66567.660550458721</v>
      </c>
      <c r="K54" s="548">
        <f t="shared" si="39"/>
        <v>127083.71559633028</v>
      </c>
      <c r="L54" s="548">
        <f t="shared" si="39"/>
        <v>121032.11009174312</v>
      </c>
      <c r="M54" s="548">
        <f t="shared" si="39"/>
        <v>121032.11009174312</v>
      </c>
      <c r="N54" s="548">
        <f t="shared" si="39"/>
        <v>51438.646788990831</v>
      </c>
      <c r="O54" s="615">
        <f>SUM(O51:O53)</f>
        <v>1319250</v>
      </c>
      <c r="Q54" s="393">
        <f>+O54-'Tab. 17'!E36</f>
        <v>0</v>
      </c>
    </row>
  </sheetData>
  <mergeCells count="1">
    <mergeCell ref="C3:O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4">
    <pageSetUpPr fitToPage="1"/>
  </sheetPr>
  <dimension ref="B2:DG50"/>
  <sheetViews>
    <sheetView showGridLines="0" zoomScale="140" zoomScaleNormal="140" workbookViewId="0">
      <selection activeCell="C6" sqref="C6:E6"/>
    </sheetView>
  </sheetViews>
  <sheetFormatPr baseColWidth="10" defaultColWidth="9.1640625" defaultRowHeight="16" x14ac:dyDescent="0.2"/>
  <cols>
    <col min="1" max="1" width="2.6640625" style="3" customWidth="1"/>
    <col min="2" max="2" width="20" style="3" customWidth="1"/>
    <col min="3" max="3" width="11.33203125" style="3" bestFit="1" customWidth="1"/>
    <col min="4" max="4" width="9.1640625" style="3"/>
    <col min="5" max="5" width="14" style="3" bestFit="1" customWidth="1"/>
    <col min="6" max="6" width="11.33203125" style="3" bestFit="1" customWidth="1"/>
    <col min="7" max="7" width="9.1640625" style="3"/>
    <col min="8" max="8" width="14" style="3" bestFit="1" customWidth="1"/>
    <col min="9" max="9" width="11.33203125" style="3" bestFit="1" customWidth="1"/>
    <col min="10" max="10" width="9.1640625" style="3"/>
    <col min="11" max="11" width="14" style="3" bestFit="1" customWidth="1"/>
    <col min="12" max="12" width="11.33203125" style="3" bestFit="1" customWidth="1"/>
    <col min="13" max="13" width="9.1640625" style="3"/>
    <col min="14" max="14" width="14" style="3" bestFit="1" customWidth="1"/>
    <col min="15" max="15" width="11.33203125" style="3" bestFit="1" customWidth="1"/>
    <col min="16" max="16" width="9.1640625" style="3"/>
    <col min="17" max="17" width="14" style="3" bestFit="1" customWidth="1"/>
    <col min="18" max="18" width="11.33203125" style="3" bestFit="1" customWidth="1"/>
    <col min="19" max="19" width="9.1640625" style="3"/>
    <col min="20" max="20" width="14" style="3" bestFit="1" customWidth="1"/>
    <col min="21" max="21" width="12.33203125" style="3" bestFit="1" customWidth="1"/>
    <col min="22" max="22" width="9.1640625" style="3"/>
    <col min="23" max="23" width="14" style="3" bestFit="1" customWidth="1"/>
    <col min="24" max="24" width="2.33203125" style="3" customWidth="1"/>
    <col min="25" max="25" width="15" style="3" bestFit="1" customWidth="1"/>
    <col min="26" max="26" width="8.6640625" style="3" bestFit="1" customWidth="1"/>
    <col min="27" max="27" width="16.5" style="3" bestFit="1" customWidth="1"/>
    <col min="28" max="28" width="8.6640625" style="3" bestFit="1" customWidth="1"/>
    <col min="29" max="29" width="10.33203125" style="3" bestFit="1" customWidth="1"/>
    <col min="30" max="30" width="8.6640625" style="3" bestFit="1" customWidth="1"/>
    <col min="31" max="31" width="10.33203125" style="3" bestFit="1" customWidth="1"/>
    <col min="32" max="33" width="8.6640625" style="3" bestFit="1" customWidth="1"/>
    <col min="34" max="34" width="12.83203125" style="3" bestFit="1" customWidth="1"/>
    <col min="35" max="35" width="9.1640625" style="3"/>
    <col min="36" max="36" width="14" style="3" bestFit="1" customWidth="1"/>
    <col min="37" max="16384" width="9.1640625" style="3"/>
  </cols>
  <sheetData>
    <row r="2" spans="2:24" x14ac:dyDescent="0.2">
      <c r="B2" s="77" t="s">
        <v>125</v>
      </c>
    </row>
    <row r="3" spans="2:24" x14ac:dyDescent="0.2">
      <c r="B3" s="12"/>
      <c r="E3" s="36"/>
    </row>
    <row r="4" spans="2:24" ht="17" thickBot="1" x14ac:dyDescent="0.25"/>
    <row r="5" spans="2:24" x14ac:dyDescent="0.2">
      <c r="B5" s="13"/>
      <c r="C5" s="677" t="s">
        <v>98</v>
      </c>
      <c r="D5" s="678"/>
      <c r="E5" s="678"/>
      <c r="F5" s="678"/>
      <c r="G5" s="678"/>
      <c r="H5" s="678"/>
      <c r="I5" s="678"/>
      <c r="J5" s="678"/>
      <c r="K5" s="678"/>
      <c r="L5" s="678"/>
      <c r="M5" s="678"/>
      <c r="N5" s="678"/>
      <c r="O5" s="678"/>
      <c r="P5" s="678"/>
      <c r="Q5" s="678"/>
      <c r="R5" s="678"/>
      <c r="S5" s="678"/>
      <c r="T5" s="678"/>
      <c r="U5" s="678"/>
      <c r="V5" s="678"/>
      <c r="W5" s="679"/>
      <c r="X5" s="14"/>
    </row>
    <row r="6" spans="2:24" x14ac:dyDescent="0.2">
      <c r="B6" s="15"/>
      <c r="C6" s="680" t="s">
        <v>29</v>
      </c>
      <c r="D6" s="681"/>
      <c r="E6" s="681"/>
      <c r="F6" s="681" t="s">
        <v>30</v>
      </c>
      <c r="G6" s="681"/>
      <c r="H6" s="681"/>
      <c r="I6" s="681" t="s">
        <v>31</v>
      </c>
      <c r="J6" s="681"/>
      <c r="K6" s="681"/>
      <c r="L6" s="681" t="s">
        <v>32</v>
      </c>
      <c r="M6" s="681"/>
      <c r="N6" s="681"/>
      <c r="O6" s="681" t="s">
        <v>33</v>
      </c>
      <c r="P6" s="681"/>
      <c r="Q6" s="681"/>
      <c r="R6" s="681" t="s">
        <v>34</v>
      </c>
      <c r="S6" s="681"/>
      <c r="T6" s="665"/>
      <c r="U6" s="682" t="s">
        <v>2</v>
      </c>
      <c r="V6" s="683"/>
      <c r="W6" s="684"/>
      <c r="X6" s="16"/>
    </row>
    <row r="7" spans="2:24" x14ac:dyDescent="0.2">
      <c r="B7" s="17"/>
      <c r="C7" s="18" t="s">
        <v>0</v>
      </c>
      <c r="D7" s="16" t="s">
        <v>9</v>
      </c>
      <c r="E7" s="19" t="s">
        <v>1</v>
      </c>
      <c r="F7" s="20" t="s">
        <v>0</v>
      </c>
      <c r="G7" s="20" t="s">
        <v>9</v>
      </c>
      <c r="H7" s="21" t="s">
        <v>1</v>
      </c>
      <c r="I7" s="22" t="s">
        <v>0</v>
      </c>
      <c r="J7" s="20" t="s">
        <v>9</v>
      </c>
      <c r="K7" s="21" t="s">
        <v>1</v>
      </c>
      <c r="L7" s="22" t="s">
        <v>0</v>
      </c>
      <c r="M7" s="20" t="s">
        <v>9</v>
      </c>
      <c r="N7" s="21" t="s">
        <v>1</v>
      </c>
      <c r="O7" s="22" t="s">
        <v>0</v>
      </c>
      <c r="P7" s="20" t="s">
        <v>9</v>
      </c>
      <c r="Q7" s="21" t="s">
        <v>1</v>
      </c>
      <c r="R7" s="22" t="s">
        <v>0</v>
      </c>
      <c r="S7" s="20" t="s">
        <v>9</v>
      </c>
      <c r="T7" s="23" t="s">
        <v>1</v>
      </c>
      <c r="U7" s="24" t="s">
        <v>0</v>
      </c>
      <c r="V7" s="24" t="s">
        <v>9</v>
      </c>
      <c r="W7" s="25" t="s">
        <v>1</v>
      </c>
      <c r="X7" s="16"/>
    </row>
    <row r="8" spans="2:24" x14ac:dyDescent="0.2">
      <c r="B8" s="26"/>
      <c r="C8" s="17"/>
      <c r="E8" s="27"/>
      <c r="H8" s="27"/>
      <c r="I8" s="28"/>
      <c r="K8" s="27"/>
      <c r="L8" s="28"/>
      <c r="N8" s="27"/>
      <c r="O8" s="28"/>
      <c r="Q8" s="27"/>
      <c r="U8" s="29"/>
      <c r="V8" s="30"/>
      <c r="W8" s="31"/>
    </row>
    <row r="9" spans="2:24" x14ac:dyDescent="0.2">
      <c r="B9" s="17" t="s">
        <v>101</v>
      </c>
      <c r="C9" s="32">
        <f>QUANTITÀ!B8</f>
        <v>18863.320540150991</v>
      </c>
      <c r="D9" s="59">
        <f>PREZZI!B5</f>
        <v>180</v>
      </c>
      <c r="E9" s="62">
        <f>C9*D9</f>
        <v>3395397.6972271786</v>
      </c>
      <c r="F9" s="33">
        <f>QUANTITÀ!C8</f>
        <v>20959.245044612213</v>
      </c>
      <c r="G9" s="59">
        <f>PREZZI!C5</f>
        <v>180</v>
      </c>
      <c r="H9" s="62">
        <f>F9*G9</f>
        <v>3772664.1080301981</v>
      </c>
      <c r="I9" s="34">
        <f>QUANTITÀ!D8</f>
        <v>24103.131801304044</v>
      </c>
      <c r="J9" s="59">
        <f>PREZZI!D5</f>
        <v>180</v>
      </c>
      <c r="K9" s="62">
        <f>I9*J9</f>
        <v>4338563.7242347281</v>
      </c>
      <c r="L9" s="34">
        <f>QUANTITÀ!E8</f>
        <v>22007.207296842822</v>
      </c>
      <c r="M9" s="59">
        <f>PREZZI!E5</f>
        <v>180</v>
      </c>
      <c r="N9" s="62">
        <f>L9*M9</f>
        <v>3961297.3134317081</v>
      </c>
      <c r="O9" s="34">
        <f>QUANTITÀ!F8</f>
        <v>22007.207296842822</v>
      </c>
      <c r="P9" s="59">
        <f>PREZZI!F5</f>
        <v>180</v>
      </c>
      <c r="Q9" s="62">
        <f>O9*P9</f>
        <v>3961297.3134317081</v>
      </c>
      <c r="R9" s="33">
        <f>QUANTITÀ!G8</f>
        <v>23055.169549073435</v>
      </c>
      <c r="S9" s="59">
        <f>PREZZI!G5</f>
        <v>180</v>
      </c>
      <c r="T9" s="62">
        <f>R9*S9</f>
        <v>4149930.5188332181</v>
      </c>
      <c r="U9" s="35">
        <f>C9+F9+I9+L9+O9+R9</f>
        <v>130995.28152882634</v>
      </c>
      <c r="V9" s="64">
        <f>IFERROR(W9/U9,0)</f>
        <v>180.00000000000003</v>
      </c>
      <c r="W9" s="67">
        <f>E9+H9+K9+N9+Q9+T9</f>
        <v>23579150.675188743</v>
      </c>
      <c r="X9" s="36"/>
    </row>
    <row r="10" spans="2:24" x14ac:dyDescent="0.2">
      <c r="B10" s="17" t="s">
        <v>102</v>
      </c>
      <c r="C10" s="32">
        <f>QUANTITÀ!B9</f>
        <v>33131.005957446803</v>
      </c>
      <c r="D10" s="59">
        <f>PREZZI!B6</f>
        <v>180</v>
      </c>
      <c r="E10" s="62">
        <f>C10*D10</f>
        <v>5963581.0723404242</v>
      </c>
      <c r="F10" s="33">
        <f>QUANTITÀ!C9</f>
        <v>36812.228841607561</v>
      </c>
      <c r="G10" s="59">
        <f>PREZZI!C6</f>
        <v>180</v>
      </c>
      <c r="H10" s="62">
        <f>F10*G10</f>
        <v>6626201.1914893612</v>
      </c>
      <c r="I10" s="34">
        <f>QUANTITÀ!D9</f>
        <v>42334.063167848697</v>
      </c>
      <c r="J10" s="59">
        <f>PREZZI!D6</f>
        <v>180</v>
      </c>
      <c r="K10" s="62">
        <f>I10*J10</f>
        <v>7620131.3702127654</v>
      </c>
      <c r="L10" s="34">
        <f>QUANTITÀ!E9</f>
        <v>38652.84028368794</v>
      </c>
      <c r="M10" s="59">
        <f>PREZZI!E6</f>
        <v>180</v>
      </c>
      <c r="N10" s="62">
        <f>L10*M10</f>
        <v>6957511.2510638293</v>
      </c>
      <c r="O10" s="34">
        <f>QUANTITÀ!F9</f>
        <v>38652.84028368794</v>
      </c>
      <c r="P10" s="59">
        <f>PREZZI!F6</f>
        <v>180</v>
      </c>
      <c r="Q10" s="62">
        <f>O10*P10</f>
        <v>6957511.2510638293</v>
      </c>
      <c r="R10" s="33">
        <f>QUANTITÀ!G9</f>
        <v>40493.451725768318</v>
      </c>
      <c r="S10" s="59">
        <f>PREZZI!G6</f>
        <v>180</v>
      </c>
      <c r="T10" s="62">
        <f>R10*S10</f>
        <v>7288821.3106382973</v>
      </c>
      <c r="U10" s="35">
        <f>C10+F10+I10+L10+O10+R10</f>
        <v>230076.43026004726</v>
      </c>
      <c r="V10" s="64">
        <f t="shared" ref="V10:V12" si="0">IFERROR(W10/U10,0)</f>
        <v>180.00000000000006</v>
      </c>
      <c r="W10" s="67">
        <f>E10+H10+K10+N10+Q10+T10</f>
        <v>41413757.446808517</v>
      </c>
      <c r="X10" s="36"/>
    </row>
    <row r="11" spans="2:24" x14ac:dyDescent="0.2">
      <c r="B11" s="17" t="s">
        <v>103</v>
      </c>
      <c r="C11" s="32">
        <f>QUANTITÀ!B10</f>
        <v>293.61702127659601</v>
      </c>
      <c r="D11" s="59">
        <f>PREZZI!B7</f>
        <v>180</v>
      </c>
      <c r="E11" s="62">
        <f>C11*D11</f>
        <v>52851.063829787279</v>
      </c>
      <c r="F11" s="33">
        <f>QUANTITÀ!C10</f>
        <v>326.2411347517733</v>
      </c>
      <c r="G11" s="59">
        <f>PREZZI!C7</f>
        <v>180</v>
      </c>
      <c r="H11" s="62">
        <f>F11*G11</f>
        <v>58723.404255319198</v>
      </c>
      <c r="I11" s="34">
        <f>QUANTITÀ!D10</f>
        <v>375.1773049645393</v>
      </c>
      <c r="J11" s="59">
        <f>PREZZI!D7</f>
        <v>180</v>
      </c>
      <c r="K11" s="62">
        <f>I11*J11</f>
        <v>67531.914893617068</v>
      </c>
      <c r="L11" s="34">
        <f>QUANTITÀ!E10</f>
        <v>342.55319148936201</v>
      </c>
      <c r="M11" s="59">
        <f>PREZZI!E7</f>
        <v>180</v>
      </c>
      <c r="N11" s="62">
        <f>L11*M11</f>
        <v>61659.574468085164</v>
      </c>
      <c r="O11" s="34">
        <f>QUANTITÀ!F10</f>
        <v>342.55319148936201</v>
      </c>
      <c r="P11" s="59">
        <f>PREZZI!F7</f>
        <v>180</v>
      </c>
      <c r="Q11" s="62">
        <f>O11*P11</f>
        <v>61659.574468085164</v>
      </c>
      <c r="R11" s="33">
        <f>QUANTITÀ!G10</f>
        <v>358.86524822695065</v>
      </c>
      <c r="S11" s="59">
        <f>PREZZI!G7</f>
        <v>180</v>
      </c>
      <c r="T11" s="62">
        <f>R11*S11</f>
        <v>64595.744680851116</v>
      </c>
      <c r="U11" s="35">
        <f>C11+F11+I11+L11+O11+R11</f>
        <v>2039.0070921985832</v>
      </c>
      <c r="V11" s="64">
        <f t="shared" si="0"/>
        <v>180</v>
      </c>
      <c r="W11" s="67">
        <f>E11+H11+K11+N11+Q11+T11</f>
        <v>367021.276595745</v>
      </c>
      <c r="X11" s="36"/>
    </row>
    <row r="12" spans="2:24" s="12" customFormat="1" ht="17" thickBot="1" x14ac:dyDescent="0.25">
      <c r="B12" s="37" t="s">
        <v>91</v>
      </c>
      <c r="C12" s="38">
        <f>SUM(C9:C11)</f>
        <v>52287.943518874388</v>
      </c>
      <c r="D12" s="60">
        <f>E12/C12</f>
        <v>180</v>
      </c>
      <c r="E12" s="63">
        <f>SUM(E9:E11)</f>
        <v>9411829.8333973903</v>
      </c>
      <c r="F12" s="39">
        <f>SUM(F9:F11)</f>
        <v>58097.71502097154</v>
      </c>
      <c r="G12" s="60">
        <f>H12/F12</f>
        <v>180.00000000000003</v>
      </c>
      <c r="H12" s="63">
        <f>SUM(H9:H11)</f>
        <v>10457588.703774879</v>
      </c>
      <c r="I12" s="40">
        <f>SUM(I9:I11)</f>
        <v>66812.372274117282</v>
      </c>
      <c r="J12" s="60">
        <f>K12/I12</f>
        <v>180</v>
      </c>
      <c r="K12" s="63">
        <f>SUM(K9:K11)</f>
        <v>12026227.009341111</v>
      </c>
      <c r="L12" s="40">
        <f>SUM(L9:L11)</f>
        <v>61002.600772020131</v>
      </c>
      <c r="M12" s="60">
        <f>N12/L12</f>
        <v>180</v>
      </c>
      <c r="N12" s="63">
        <f>SUM(N9:N11)</f>
        <v>10980468.138963623</v>
      </c>
      <c r="O12" s="40">
        <f>SUM(O9:O11)</f>
        <v>61002.600772020131</v>
      </c>
      <c r="P12" s="60">
        <f>Q12/O12</f>
        <v>180</v>
      </c>
      <c r="Q12" s="63">
        <f>SUM(Q9:Q11)</f>
        <v>10980468.138963623</v>
      </c>
      <c r="R12" s="39">
        <f>SUM(R9:R11)</f>
        <v>63907.486523068706</v>
      </c>
      <c r="S12" s="60">
        <f>T12/R12</f>
        <v>180</v>
      </c>
      <c r="T12" s="63">
        <f>SUM(T9:T11)</f>
        <v>11503347.574152367</v>
      </c>
      <c r="U12" s="38">
        <f>SUM(U9:U11)</f>
        <v>363110.71888107219</v>
      </c>
      <c r="V12" s="65">
        <f t="shared" si="0"/>
        <v>180.00000000000003</v>
      </c>
      <c r="W12" s="68">
        <f>SUM(W9:W11)</f>
        <v>65359929.398593001</v>
      </c>
      <c r="X12" s="41"/>
    </row>
    <row r="13" spans="2:24" x14ac:dyDescent="0.2">
      <c r="B13" s="17"/>
      <c r="C13" s="17"/>
      <c r="D13" s="59"/>
      <c r="E13" s="62"/>
      <c r="G13" s="59"/>
      <c r="H13" s="62"/>
      <c r="I13" s="28"/>
      <c r="J13" s="59"/>
      <c r="K13" s="62"/>
      <c r="L13" s="28"/>
      <c r="M13" s="59"/>
      <c r="N13" s="62"/>
      <c r="O13" s="28"/>
      <c r="P13" s="59"/>
      <c r="Q13" s="62"/>
      <c r="S13" s="59"/>
      <c r="T13" s="62"/>
      <c r="U13" s="29"/>
      <c r="V13" s="66"/>
      <c r="W13" s="67"/>
    </row>
    <row r="14" spans="2:24" x14ac:dyDescent="0.2">
      <c r="B14" s="26"/>
      <c r="C14" s="17"/>
      <c r="D14" s="59"/>
      <c r="E14" s="62"/>
      <c r="G14" s="59"/>
      <c r="H14" s="62"/>
      <c r="I14" s="28"/>
      <c r="J14" s="59"/>
      <c r="K14" s="62"/>
      <c r="L14" s="28"/>
      <c r="M14" s="59"/>
      <c r="N14" s="62"/>
      <c r="O14" s="28"/>
      <c r="P14" s="59"/>
      <c r="Q14" s="62"/>
      <c r="S14" s="59"/>
      <c r="T14" s="62"/>
      <c r="U14" s="29"/>
      <c r="V14" s="66"/>
      <c r="W14" s="67"/>
    </row>
    <row r="15" spans="2:24" x14ac:dyDescent="0.2">
      <c r="B15" s="17" t="s">
        <v>101</v>
      </c>
      <c r="C15" s="32">
        <f>QUANTITÀ!B15</f>
        <v>1198.375657844887</v>
      </c>
      <c r="D15" s="59">
        <f>PREZZI!B12</f>
        <v>500</v>
      </c>
      <c r="E15" s="62">
        <f>C15*D15</f>
        <v>599187.82892244344</v>
      </c>
      <c r="F15" s="33">
        <f>QUANTITÀ!C15</f>
        <v>1331.528508716541</v>
      </c>
      <c r="G15" s="59">
        <f>PREZZI!C12</f>
        <v>500</v>
      </c>
      <c r="H15" s="62">
        <f>F15*G15</f>
        <v>665764.25435827044</v>
      </c>
      <c r="I15" s="34">
        <f>QUANTITÀ!D15</f>
        <v>1531.257785024022</v>
      </c>
      <c r="J15" s="59">
        <f>PREZZI!D12</f>
        <v>500</v>
      </c>
      <c r="K15" s="62">
        <f>I15*J15</f>
        <v>765628.89251201099</v>
      </c>
      <c r="L15" s="34">
        <f>QUANTITÀ!E15</f>
        <v>1398.1049341523681</v>
      </c>
      <c r="M15" s="59">
        <f>PREZZI!E12</f>
        <v>500</v>
      </c>
      <c r="N15" s="62">
        <f>L15*M15</f>
        <v>699052.467076184</v>
      </c>
      <c r="O15" s="34">
        <f>QUANTITÀ!F15</f>
        <v>1398.1049341523681</v>
      </c>
      <c r="P15" s="59">
        <f>PREZZI!F12</f>
        <v>500</v>
      </c>
      <c r="Q15" s="62">
        <f>O15*P15</f>
        <v>699052.467076184</v>
      </c>
      <c r="R15" s="33">
        <f>QUANTITÀ!G15</f>
        <v>1464.6813595881949</v>
      </c>
      <c r="S15" s="59">
        <f>PREZZI!G12</f>
        <v>500</v>
      </c>
      <c r="T15" s="62">
        <f>R15*S15</f>
        <v>732340.67979409744</v>
      </c>
      <c r="U15" s="35">
        <f>C15+F15+I15+L15+O15+R15</f>
        <v>8322.0531794783819</v>
      </c>
      <c r="V15" s="64">
        <f>IFERROR(W15/U15,0)</f>
        <v>499.99999999999994</v>
      </c>
      <c r="W15" s="67">
        <f>E15+H15+K15+N15+Q15+T15</f>
        <v>4161026.5897391904</v>
      </c>
      <c r="X15" s="36"/>
    </row>
    <row r="16" spans="2:24" x14ac:dyDescent="0.2">
      <c r="B16" s="17" t="s">
        <v>102</v>
      </c>
      <c r="C16" s="32">
        <f>QUANTITÀ!B16</f>
        <v>0</v>
      </c>
      <c r="D16" s="59">
        <f>PREZZI!B13</f>
        <v>500</v>
      </c>
      <c r="E16" s="62">
        <f>C16*D16</f>
        <v>0</v>
      </c>
      <c r="F16" s="33">
        <f>QUANTITÀ!C16</f>
        <v>0</v>
      </c>
      <c r="G16" s="59">
        <f>PREZZI!C13</f>
        <v>500</v>
      </c>
      <c r="H16" s="62">
        <f>F16*G16</f>
        <v>0</v>
      </c>
      <c r="I16" s="34">
        <f>QUANTITÀ!D16</f>
        <v>0</v>
      </c>
      <c r="J16" s="59">
        <f>PREZZI!D13</f>
        <v>500</v>
      </c>
      <c r="K16" s="62">
        <f>I16*J16</f>
        <v>0</v>
      </c>
      <c r="L16" s="34">
        <f>QUANTITÀ!E16</f>
        <v>0</v>
      </c>
      <c r="M16" s="59">
        <f>PREZZI!E13</f>
        <v>500</v>
      </c>
      <c r="N16" s="62">
        <f>L16*M16</f>
        <v>0</v>
      </c>
      <c r="O16" s="34">
        <f>QUANTITÀ!F16</f>
        <v>0</v>
      </c>
      <c r="P16" s="59">
        <f>PREZZI!F13</f>
        <v>500</v>
      </c>
      <c r="Q16" s="62">
        <f>O16*P16</f>
        <v>0</v>
      </c>
      <c r="R16" s="33">
        <f>QUANTITÀ!G16</f>
        <v>0</v>
      </c>
      <c r="S16" s="59">
        <f>PREZZI!G13</f>
        <v>500</v>
      </c>
      <c r="T16" s="62">
        <f>R16*S16</f>
        <v>0</v>
      </c>
      <c r="U16" s="35">
        <f>C16+F16+I16+L16+O16+R16</f>
        <v>0</v>
      </c>
      <c r="V16" s="64">
        <f t="shared" ref="V16:V18" si="1">IFERROR(W16/U16,0)</f>
        <v>0</v>
      </c>
      <c r="W16" s="67">
        <f>E16+H16+K16+N16+Q16+T16</f>
        <v>0</v>
      </c>
      <c r="X16" s="36"/>
    </row>
    <row r="17" spans="2:111" x14ac:dyDescent="0.2">
      <c r="B17" s="17" t="s">
        <v>103</v>
      </c>
      <c r="C17" s="32">
        <f>QUANTITÀ!B17</f>
        <v>2008.3404255319151</v>
      </c>
      <c r="D17" s="59">
        <f>PREZZI!B14</f>
        <v>500</v>
      </c>
      <c r="E17" s="62">
        <f>C17*D17</f>
        <v>1004170.2127659576</v>
      </c>
      <c r="F17" s="33">
        <f>QUANTITÀ!C17</f>
        <v>2231.489361702128</v>
      </c>
      <c r="G17" s="59">
        <f>PREZZI!C14</f>
        <v>500</v>
      </c>
      <c r="H17" s="62">
        <f>F17*G17</f>
        <v>1115744.6808510639</v>
      </c>
      <c r="I17" s="34">
        <f>QUANTITÀ!D17</f>
        <v>2566.2127659574471</v>
      </c>
      <c r="J17" s="59">
        <f>PREZZI!D14</f>
        <v>500</v>
      </c>
      <c r="K17" s="62">
        <f>I17*J17</f>
        <v>1283106.3829787236</v>
      </c>
      <c r="L17" s="34">
        <f>QUANTITÀ!E17</f>
        <v>2343.0638297872342</v>
      </c>
      <c r="M17" s="59">
        <f>PREZZI!E14</f>
        <v>500</v>
      </c>
      <c r="N17" s="62">
        <f>L17*M17</f>
        <v>1171531.9148936172</v>
      </c>
      <c r="O17" s="34">
        <f>QUANTITÀ!F17</f>
        <v>2343.0638297872342</v>
      </c>
      <c r="P17" s="59">
        <f>PREZZI!F14</f>
        <v>500</v>
      </c>
      <c r="Q17" s="62">
        <f>O17*P17</f>
        <v>1171531.9148936172</v>
      </c>
      <c r="R17" s="33">
        <f>QUANTITÀ!G17</f>
        <v>2454.6382978723404</v>
      </c>
      <c r="S17" s="59">
        <f>PREZZI!G14</f>
        <v>500</v>
      </c>
      <c r="T17" s="62">
        <f>R17*S17</f>
        <v>1227319.1489361702</v>
      </c>
      <c r="U17" s="35">
        <f>C17+F17+I17+L17+O17+R17</f>
        <v>13946.808510638297</v>
      </c>
      <c r="V17" s="64">
        <f t="shared" si="1"/>
        <v>500.00000000000006</v>
      </c>
      <c r="W17" s="67">
        <f>E17+H17+K17+N17+Q17+T17</f>
        <v>6973404.2553191492</v>
      </c>
      <c r="X17" s="36"/>
    </row>
    <row r="18" spans="2:111" ht="17" thickBot="1" x14ac:dyDescent="0.25">
      <c r="B18" s="37" t="s">
        <v>92</v>
      </c>
      <c r="C18" s="38">
        <f>SUM(C15:C17)</f>
        <v>3206.7160833768021</v>
      </c>
      <c r="D18" s="60">
        <f>E18/C18</f>
        <v>500</v>
      </c>
      <c r="E18" s="63">
        <f>SUM(E15:E17)</f>
        <v>1603358.041688401</v>
      </c>
      <c r="F18" s="39">
        <f>SUM(F15:F17)</f>
        <v>3563.0178704186692</v>
      </c>
      <c r="G18" s="60">
        <f>H18/F18</f>
        <v>499.99999999999994</v>
      </c>
      <c r="H18" s="63">
        <f>SUM(H15:H17)</f>
        <v>1781508.9352093344</v>
      </c>
      <c r="I18" s="40">
        <f>SUM(I15:I17)</f>
        <v>4097.4705509814694</v>
      </c>
      <c r="J18" s="60">
        <f>K18/I18</f>
        <v>500</v>
      </c>
      <c r="K18" s="63">
        <f>SUM(K15:K17)</f>
        <v>2048735.2754907347</v>
      </c>
      <c r="L18" s="40">
        <f>SUM(L15:L17)</f>
        <v>3741.1687639396023</v>
      </c>
      <c r="M18" s="60">
        <f>N18/L18</f>
        <v>500</v>
      </c>
      <c r="N18" s="63">
        <f>SUM(N15:N17)</f>
        <v>1870584.3819698012</v>
      </c>
      <c r="O18" s="40">
        <f>SUM(O15:O17)</f>
        <v>3741.1687639396023</v>
      </c>
      <c r="P18" s="60">
        <f>Q18/O18</f>
        <v>500</v>
      </c>
      <c r="Q18" s="63">
        <f>SUM(Q15:Q17)</f>
        <v>1870584.3819698012</v>
      </c>
      <c r="R18" s="39">
        <f>SUM(R15:R17)</f>
        <v>3919.3196574605354</v>
      </c>
      <c r="S18" s="60">
        <f>T18/R18</f>
        <v>499.99999999999994</v>
      </c>
      <c r="T18" s="63">
        <f>SUM(T15:T17)</f>
        <v>1959659.8287302675</v>
      </c>
      <c r="U18" s="38">
        <f>SUM(U15:U17)</f>
        <v>22268.861690116679</v>
      </c>
      <c r="V18" s="65">
        <f t="shared" si="1"/>
        <v>500.00000000000006</v>
      </c>
      <c r="W18" s="68">
        <f>SUM(W15:W17)</f>
        <v>11134430.845058341</v>
      </c>
      <c r="X18" s="41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</row>
    <row r="19" spans="2:111" x14ac:dyDescent="0.2">
      <c r="B19" s="17"/>
      <c r="C19" s="17"/>
      <c r="D19" s="59"/>
      <c r="E19" s="62"/>
      <c r="G19" s="59"/>
      <c r="H19" s="62"/>
      <c r="I19" s="28"/>
      <c r="J19" s="59"/>
      <c r="K19" s="62"/>
      <c r="L19" s="28"/>
      <c r="M19" s="59"/>
      <c r="N19" s="62"/>
      <c r="O19" s="28"/>
      <c r="P19" s="59"/>
      <c r="Q19" s="62"/>
      <c r="S19" s="59"/>
      <c r="T19" s="62"/>
      <c r="U19" s="29"/>
      <c r="V19" s="66"/>
      <c r="W19" s="67"/>
      <c r="X19" s="41"/>
      <c r="Y19" s="36"/>
      <c r="Z19" s="44"/>
      <c r="AA19" s="44"/>
    </row>
    <row r="20" spans="2:111" x14ac:dyDescent="0.2">
      <c r="B20" s="26"/>
      <c r="C20" s="17"/>
      <c r="D20" s="59"/>
      <c r="E20" s="62"/>
      <c r="G20" s="59"/>
      <c r="H20" s="62"/>
      <c r="I20" s="28"/>
      <c r="J20" s="59"/>
      <c r="K20" s="62"/>
      <c r="L20" s="28"/>
      <c r="M20" s="59"/>
      <c r="N20" s="62"/>
      <c r="O20" s="28"/>
      <c r="P20" s="59"/>
      <c r="Q20" s="62"/>
      <c r="S20" s="59"/>
      <c r="T20" s="62"/>
      <c r="U20" s="29"/>
      <c r="V20" s="66"/>
      <c r="W20" s="67"/>
      <c r="X20" s="41"/>
      <c r="Y20" s="36"/>
      <c r="Z20" s="44"/>
      <c r="AA20" s="44"/>
    </row>
    <row r="21" spans="2:111" x14ac:dyDescent="0.2">
      <c r="B21" s="17" t="s">
        <v>101</v>
      </c>
      <c r="C21" s="42">
        <f>C9+C15</f>
        <v>20061.69619799588</v>
      </c>
      <c r="D21" s="61">
        <f>E21/C21</f>
        <v>199.11504424778761</v>
      </c>
      <c r="E21" s="62">
        <f>E9+E15</f>
        <v>3994585.5261496222</v>
      </c>
      <c r="F21" s="42">
        <f>F9+F15</f>
        <v>22290.773553328752</v>
      </c>
      <c r="G21" s="61">
        <f>H21/F21</f>
        <v>199.11504424778761</v>
      </c>
      <c r="H21" s="62">
        <f>H9+H15</f>
        <v>4438428.3623884683</v>
      </c>
      <c r="I21" s="42">
        <f>I9+I15</f>
        <v>25634.389586328067</v>
      </c>
      <c r="J21" s="61">
        <f>K21/I21</f>
        <v>199.11504424778764</v>
      </c>
      <c r="K21" s="62">
        <f>K9+K15</f>
        <v>5104192.6167467395</v>
      </c>
      <c r="L21" s="42">
        <f>L9+L15</f>
        <v>23405.31223099519</v>
      </c>
      <c r="M21" s="61">
        <f>N21/L21</f>
        <v>199.11504424778764</v>
      </c>
      <c r="N21" s="62">
        <f>N9+N15</f>
        <v>4660349.7805078924</v>
      </c>
      <c r="O21" s="42">
        <f>O9+O15</f>
        <v>23405.31223099519</v>
      </c>
      <c r="P21" s="61">
        <f>Q21/O21</f>
        <v>199.11504424778764</v>
      </c>
      <c r="Q21" s="62">
        <f>Q9+Q15</f>
        <v>4660349.7805078924</v>
      </c>
      <c r="R21" s="42">
        <f>R9+R15</f>
        <v>24519.850908661629</v>
      </c>
      <c r="S21" s="61">
        <f>T21/R21</f>
        <v>199.11504424778761</v>
      </c>
      <c r="T21" s="62">
        <f>T9+T15</f>
        <v>4882271.1986273155</v>
      </c>
      <c r="U21" s="35">
        <f>C21+F21+I21+L21+O21+R21</f>
        <v>139317.3347083047</v>
      </c>
      <c r="V21" s="64">
        <f>IFERROR(W21/U21,0)</f>
        <v>199.11504424778764</v>
      </c>
      <c r="W21" s="67">
        <f>E21+H21+K21+N21+Q21+T21</f>
        <v>27740177.264927931</v>
      </c>
      <c r="X21" s="41"/>
      <c r="Y21" s="36"/>
      <c r="Z21" s="44"/>
      <c r="AA21" s="44"/>
    </row>
    <row r="22" spans="2:111" x14ac:dyDescent="0.2">
      <c r="B22" s="17" t="s">
        <v>102</v>
      </c>
      <c r="C22" s="42">
        <f t="shared" ref="C22:C23" si="2">C10+C16</f>
        <v>33131.005957446803</v>
      </c>
      <c r="D22" s="61">
        <f>E22/C22</f>
        <v>180</v>
      </c>
      <c r="E22" s="62">
        <f t="shared" ref="E22:F23" si="3">E10+E16</f>
        <v>5963581.0723404242</v>
      </c>
      <c r="F22" s="42">
        <f t="shared" si="3"/>
        <v>36812.228841607561</v>
      </c>
      <c r="G22" s="61">
        <f>H22/F22</f>
        <v>180</v>
      </c>
      <c r="H22" s="62">
        <f t="shared" ref="H22:I23" si="4">H10+H16</f>
        <v>6626201.1914893612</v>
      </c>
      <c r="I22" s="42">
        <f t="shared" si="4"/>
        <v>42334.063167848697</v>
      </c>
      <c r="J22" s="61">
        <f>K22/I22</f>
        <v>180</v>
      </c>
      <c r="K22" s="62">
        <f t="shared" ref="K22:L23" si="5">K10+K16</f>
        <v>7620131.3702127654</v>
      </c>
      <c r="L22" s="42">
        <f t="shared" si="5"/>
        <v>38652.84028368794</v>
      </c>
      <c r="M22" s="61">
        <f>N22/L22</f>
        <v>180</v>
      </c>
      <c r="N22" s="62">
        <f t="shared" ref="N22:O23" si="6">N10+N16</f>
        <v>6957511.2510638293</v>
      </c>
      <c r="O22" s="42">
        <f t="shared" si="6"/>
        <v>38652.84028368794</v>
      </c>
      <c r="P22" s="61">
        <f>Q22/O22</f>
        <v>180</v>
      </c>
      <c r="Q22" s="62">
        <f t="shared" ref="Q22:R23" si="7">Q10+Q16</f>
        <v>6957511.2510638293</v>
      </c>
      <c r="R22" s="42">
        <f t="shared" si="7"/>
        <v>40493.451725768318</v>
      </c>
      <c r="S22" s="61">
        <f>T22/R22</f>
        <v>180</v>
      </c>
      <c r="T22" s="62">
        <f t="shared" ref="T22" si="8">T10+T16</f>
        <v>7288821.3106382973</v>
      </c>
      <c r="U22" s="35">
        <f>C22+F22+I22+L22+O22+R22</f>
        <v>230076.43026004726</v>
      </c>
      <c r="V22" s="64">
        <f t="shared" ref="V22:V24" si="9">IFERROR(W22/U22,0)</f>
        <v>180.00000000000006</v>
      </c>
      <c r="W22" s="67">
        <f>E22+H22+K22+N22+Q22+T22</f>
        <v>41413757.446808517</v>
      </c>
      <c r="X22" s="41"/>
      <c r="Y22" s="36"/>
      <c r="Z22" s="44"/>
      <c r="AA22" s="44"/>
    </row>
    <row r="23" spans="2:111" x14ac:dyDescent="0.2">
      <c r="B23" s="17" t="s">
        <v>103</v>
      </c>
      <c r="C23" s="42">
        <f t="shared" si="2"/>
        <v>2301.9574468085111</v>
      </c>
      <c r="D23" s="61">
        <f>E23/C23</f>
        <v>459.18367346938771</v>
      </c>
      <c r="E23" s="62">
        <f t="shared" si="3"/>
        <v>1057021.2765957448</v>
      </c>
      <c r="F23" s="42">
        <f t="shared" si="3"/>
        <v>2557.7304964539012</v>
      </c>
      <c r="G23" s="61">
        <f>H23/F23</f>
        <v>459.18367346938771</v>
      </c>
      <c r="H23" s="62">
        <f t="shared" ref="H23" si="10">H11+H17</f>
        <v>1174468.0851063831</v>
      </c>
      <c r="I23" s="42">
        <f t="shared" si="4"/>
        <v>2941.3900709219865</v>
      </c>
      <c r="J23" s="61">
        <f>K23/I23</f>
        <v>459.18367346938777</v>
      </c>
      <c r="K23" s="62">
        <f t="shared" ref="K23" si="11">K11+K17</f>
        <v>1350638.2978723408</v>
      </c>
      <c r="L23" s="42">
        <f t="shared" si="5"/>
        <v>2685.6170212765965</v>
      </c>
      <c r="M23" s="61">
        <f>N23/L23</f>
        <v>459.18367346938766</v>
      </c>
      <c r="N23" s="62">
        <f t="shared" ref="N23" si="12">N11+N17</f>
        <v>1233191.4893617022</v>
      </c>
      <c r="O23" s="42">
        <f t="shared" si="6"/>
        <v>2685.6170212765965</v>
      </c>
      <c r="P23" s="61">
        <f>Q23/O23</f>
        <v>459.18367346938766</v>
      </c>
      <c r="Q23" s="62">
        <f t="shared" ref="Q23" si="13">Q11+Q17</f>
        <v>1233191.4893617022</v>
      </c>
      <c r="R23" s="42">
        <f t="shared" si="7"/>
        <v>2813.5035460992913</v>
      </c>
      <c r="S23" s="61">
        <f>T23/R23</f>
        <v>459.18367346938771</v>
      </c>
      <c r="T23" s="62">
        <f t="shared" ref="T23" si="14">T11+T17</f>
        <v>1291914.8936170214</v>
      </c>
      <c r="U23" s="35">
        <f>C23+F23+I23+L23+O23+R23</f>
        <v>15985.815602836883</v>
      </c>
      <c r="V23" s="64">
        <f t="shared" si="9"/>
        <v>459.18367346938777</v>
      </c>
      <c r="W23" s="67">
        <f>E23+H23+K23+N23+Q23+T23</f>
        <v>7340425.5319148954</v>
      </c>
      <c r="X23" s="41"/>
      <c r="Y23" s="36"/>
      <c r="Z23" s="44"/>
      <c r="AA23" s="44"/>
    </row>
    <row r="24" spans="2:111" ht="17" thickBot="1" x14ac:dyDescent="0.25">
      <c r="B24" s="37" t="s">
        <v>3</v>
      </c>
      <c r="C24" s="38">
        <f>SUM(C21:C23)</f>
        <v>55494.659602251195</v>
      </c>
      <c r="D24" s="60">
        <f>E24/C24</f>
        <v>198.49095307612177</v>
      </c>
      <c r="E24" s="63">
        <f>SUM(E21:E23)</f>
        <v>11015187.875085792</v>
      </c>
      <c r="F24" s="38">
        <f>SUM(F21:F23)</f>
        <v>61660.732891390209</v>
      </c>
      <c r="G24" s="60">
        <f>H24/F24</f>
        <v>198.4909530761218</v>
      </c>
      <c r="H24" s="63">
        <f>SUM(H21:H23)</f>
        <v>12239097.638984215</v>
      </c>
      <c r="I24" s="38">
        <f>SUM(I21:I23)</f>
        <v>70909.842825098749</v>
      </c>
      <c r="J24" s="60">
        <f>K24/I24</f>
        <v>198.49095307612177</v>
      </c>
      <c r="K24" s="63">
        <f>SUM(K21:K23)</f>
        <v>14074962.284831846</v>
      </c>
      <c r="L24" s="38">
        <f>SUM(L21:L23)</f>
        <v>64743.76953595972</v>
      </c>
      <c r="M24" s="60">
        <f>N24/L24</f>
        <v>198.49095307612177</v>
      </c>
      <c r="N24" s="63">
        <f>SUM(N21:N23)</f>
        <v>12851052.520933423</v>
      </c>
      <c r="O24" s="38">
        <f>SUM(O21:O23)</f>
        <v>64743.76953595972</v>
      </c>
      <c r="P24" s="60">
        <f>Q24/O24</f>
        <v>198.49095307612177</v>
      </c>
      <c r="Q24" s="63">
        <f>SUM(Q21:Q23)</f>
        <v>12851052.520933423</v>
      </c>
      <c r="R24" s="38">
        <f>SUM(R21:R23)</f>
        <v>67826.806180529238</v>
      </c>
      <c r="S24" s="60">
        <f>T24/R24</f>
        <v>198.49095307612174</v>
      </c>
      <c r="T24" s="63">
        <f>SUM(T21:T23)</f>
        <v>13463007.402882634</v>
      </c>
      <c r="U24" s="38">
        <f>SUM(U21:U23)</f>
        <v>385379.58057118882</v>
      </c>
      <c r="V24" s="65">
        <f t="shared" si="9"/>
        <v>198.49095307612177</v>
      </c>
      <c r="W24" s="68">
        <f>SUM(W21:W23)</f>
        <v>76494360.24365133</v>
      </c>
      <c r="X24" s="41"/>
      <c r="Y24" s="36"/>
      <c r="Z24" s="44"/>
      <c r="AA24" s="44"/>
    </row>
    <row r="25" spans="2:111" x14ac:dyDescent="0.2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1"/>
      <c r="Y25" s="36"/>
      <c r="Z25" s="44"/>
      <c r="AA25" s="44"/>
    </row>
    <row r="26" spans="2:111" x14ac:dyDescent="0.2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1"/>
      <c r="Y26" s="36"/>
      <c r="Z26" s="44"/>
      <c r="AA26" s="44"/>
    </row>
    <row r="27" spans="2:111" x14ac:dyDescent="0.2">
      <c r="W27" s="36"/>
    </row>
    <row r="28" spans="2:111" ht="17" thickBot="1" x14ac:dyDescent="0.25"/>
    <row r="29" spans="2:111" x14ac:dyDescent="0.2">
      <c r="B29" s="13"/>
      <c r="C29" s="677" t="s">
        <v>98</v>
      </c>
      <c r="D29" s="678"/>
      <c r="E29" s="678"/>
      <c r="F29" s="678"/>
      <c r="G29" s="678"/>
      <c r="H29" s="678"/>
      <c r="I29" s="678"/>
      <c r="J29" s="678"/>
      <c r="K29" s="678"/>
      <c r="L29" s="678"/>
      <c r="M29" s="678"/>
      <c r="N29" s="678"/>
      <c r="O29" s="678"/>
      <c r="P29" s="678"/>
      <c r="Q29" s="678"/>
      <c r="R29" s="678"/>
      <c r="S29" s="678"/>
      <c r="T29" s="678"/>
      <c r="U29" s="678"/>
      <c r="V29" s="678"/>
      <c r="W29" s="679"/>
      <c r="X29" s="14"/>
      <c r="Y29" s="688" t="s">
        <v>3</v>
      </c>
      <c r="Z29" s="689"/>
      <c r="AA29" s="690"/>
    </row>
    <row r="30" spans="2:111" x14ac:dyDescent="0.2">
      <c r="B30" s="15"/>
      <c r="C30" s="694" t="s">
        <v>23</v>
      </c>
      <c r="D30" s="666"/>
      <c r="E30" s="667"/>
      <c r="F30" s="685" t="s">
        <v>24</v>
      </c>
      <c r="G30" s="686"/>
      <c r="H30" s="687"/>
      <c r="I30" s="685" t="s">
        <v>25</v>
      </c>
      <c r="J30" s="686"/>
      <c r="K30" s="687"/>
      <c r="L30" s="685" t="s">
        <v>26</v>
      </c>
      <c r="M30" s="686"/>
      <c r="N30" s="687"/>
      <c r="O30" s="685" t="s">
        <v>27</v>
      </c>
      <c r="P30" s="686"/>
      <c r="Q30" s="687"/>
      <c r="R30" s="685" t="s">
        <v>28</v>
      </c>
      <c r="S30" s="686"/>
      <c r="T30" s="687"/>
      <c r="U30" s="682" t="s">
        <v>172</v>
      </c>
      <c r="V30" s="683"/>
      <c r="W30" s="684"/>
      <c r="X30" s="16"/>
      <c r="Y30" s="691"/>
      <c r="Z30" s="692"/>
      <c r="AA30" s="693"/>
    </row>
    <row r="31" spans="2:111" x14ac:dyDescent="0.2">
      <c r="B31" s="17"/>
      <c r="C31" s="18" t="s">
        <v>0</v>
      </c>
      <c r="D31" s="16" t="s">
        <v>9</v>
      </c>
      <c r="E31" s="19" t="s">
        <v>1</v>
      </c>
      <c r="F31" s="20" t="s">
        <v>0</v>
      </c>
      <c r="G31" s="20" t="s">
        <v>9</v>
      </c>
      <c r="H31" s="21" t="s">
        <v>1</v>
      </c>
      <c r="I31" s="22" t="s">
        <v>0</v>
      </c>
      <c r="J31" s="20" t="s">
        <v>9</v>
      </c>
      <c r="K31" s="21" t="s">
        <v>1</v>
      </c>
      <c r="L31" s="22" t="s">
        <v>0</v>
      </c>
      <c r="M31" s="20" t="s">
        <v>9</v>
      </c>
      <c r="N31" s="21" t="s">
        <v>1</v>
      </c>
      <c r="O31" s="22" t="s">
        <v>0</v>
      </c>
      <c r="P31" s="20" t="s">
        <v>9</v>
      </c>
      <c r="Q31" s="21" t="s">
        <v>1</v>
      </c>
      <c r="R31" s="22" t="s">
        <v>0</v>
      </c>
      <c r="S31" s="20" t="s">
        <v>9</v>
      </c>
      <c r="T31" s="23" t="s">
        <v>1</v>
      </c>
      <c r="U31" s="24" t="s">
        <v>0</v>
      </c>
      <c r="V31" s="24" t="s">
        <v>9</v>
      </c>
      <c r="W31" s="25" t="s">
        <v>1</v>
      </c>
      <c r="X31" s="16"/>
      <c r="Y31" s="47" t="s">
        <v>0</v>
      </c>
      <c r="Z31" s="24" t="s">
        <v>9</v>
      </c>
      <c r="AA31" s="25" t="s">
        <v>1</v>
      </c>
    </row>
    <row r="32" spans="2:111" x14ac:dyDescent="0.2">
      <c r="B32" s="26"/>
      <c r="C32" s="17"/>
      <c r="E32" s="27"/>
      <c r="H32" s="27"/>
      <c r="I32" s="28"/>
      <c r="K32" s="27"/>
      <c r="L32" s="28"/>
      <c r="N32" s="27"/>
      <c r="O32" s="28"/>
      <c r="Q32" s="27"/>
      <c r="U32" s="29"/>
      <c r="V32" s="30"/>
      <c r="W32" s="31"/>
      <c r="Y32" s="29"/>
      <c r="Z32" s="30"/>
      <c r="AA32" s="31"/>
    </row>
    <row r="33" spans="2:32" x14ac:dyDescent="0.2">
      <c r="B33" s="17" t="s">
        <v>101</v>
      </c>
      <c r="C33" s="32">
        <f>QUANTITÀ!H8</f>
        <v>23055.169549073435</v>
      </c>
      <c r="D33" s="59">
        <f>PREZZI!H5</f>
        <v>180</v>
      </c>
      <c r="E33" s="62">
        <f>C33*D33</f>
        <v>4149930.5188332181</v>
      </c>
      <c r="F33" s="33">
        <f>QUANTITÀ!I8</f>
        <v>12575.547026767326</v>
      </c>
      <c r="G33" s="59">
        <f>PREZZI!I5</f>
        <v>180</v>
      </c>
      <c r="H33" s="62">
        <f>F33*G33</f>
        <v>2263598.4648181186</v>
      </c>
      <c r="I33" s="34">
        <f>QUANTITÀ!J8</f>
        <v>23055.169549073435</v>
      </c>
      <c r="J33" s="59">
        <f>PREZZI!J5</f>
        <v>180</v>
      </c>
      <c r="K33" s="62">
        <f>I33*J33</f>
        <v>4149930.5188332181</v>
      </c>
      <c r="L33" s="34">
        <f>QUANTITÀ!K8</f>
        <v>22007.207296842822</v>
      </c>
      <c r="M33" s="59">
        <f>PREZZI!K5</f>
        <v>180</v>
      </c>
      <c r="N33" s="62">
        <f>L33*M33</f>
        <v>3961297.3134317081</v>
      </c>
      <c r="O33" s="34">
        <f>QUANTITÀ!L8</f>
        <v>22007.207296842822</v>
      </c>
      <c r="P33" s="59">
        <f>PREZZI!L5</f>
        <v>180</v>
      </c>
      <c r="Q33" s="62">
        <f>O33*P33</f>
        <v>3961297.3134317081</v>
      </c>
      <c r="R33" s="33">
        <f>QUANTITÀ!M8</f>
        <v>12575.547026767326</v>
      </c>
      <c r="S33" s="59">
        <f>PREZZI!M5</f>
        <v>180</v>
      </c>
      <c r="T33" s="62">
        <f>R33*S33</f>
        <v>2263598.4648181186</v>
      </c>
      <c r="U33" s="35">
        <f>C33+F33+I33+L33+O33+R33</f>
        <v>115275.84774536717</v>
      </c>
      <c r="V33" s="64">
        <f>IFERROR(W33/U33,0)</f>
        <v>180.00000000000003</v>
      </c>
      <c r="W33" s="67">
        <f>E33+H33+K33+N33+Q33+T33</f>
        <v>20749652.594166093</v>
      </c>
      <c r="X33" s="36"/>
      <c r="Y33" s="35">
        <f>U9+U33</f>
        <v>246271.12927419349</v>
      </c>
      <c r="Z33" s="64">
        <f>IFERROR(AA33/Y33,0)</f>
        <v>180.00000000000003</v>
      </c>
      <c r="AA33" s="67">
        <f>W9+W33</f>
        <v>44328803.269354835</v>
      </c>
    </row>
    <row r="34" spans="2:32" x14ac:dyDescent="0.2">
      <c r="B34" s="17" t="s">
        <v>102</v>
      </c>
      <c r="C34" s="32">
        <f>QUANTITÀ!H9</f>
        <v>40493.451725768318</v>
      </c>
      <c r="D34" s="59">
        <f>PREZZI!H6</f>
        <v>180</v>
      </c>
      <c r="E34" s="62">
        <f>C34*D34</f>
        <v>7288821.3106382973</v>
      </c>
      <c r="F34" s="33">
        <f>QUANTITÀ!I9</f>
        <v>22087.337304964538</v>
      </c>
      <c r="G34" s="59">
        <f>PREZZI!I6</f>
        <v>180</v>
      </c>
      <c r="H34" s="62">
        <f>F34*G34</f>
        <v>3975720.7148936167</v>
      </c>
      <c r="I34" s="34">
        <f>QUANTITÀ!J9</f>
        <v>40493.451725768318</v>
      </c>
      <c r="J34" s="59">
        <f>PREZZI!J6</f>
        <v>180</v>
      </c>
      <c r="K34" s="62">
        <f>I34*J34</f>
        <v>7288821.3106382973</v>
      </c>
      <c r="L34" s="34">
        <f>QUANTITÀ!K9</f>
        <v>38652.84028368794</v>
      </c>
      <c r="M34" s="59">
        <f>PREZZI!K6</f>
        <v>180</v>
      </c>
      <c r="N34" s="62">
        <f>L34*M34</f>
        <v>6957511.2510638293</v>
      </c>
      <c r="O34" s="34">
        <f>QUANTITÀ!L9</f>
        <v>38652.84028368794</v>
      </c>
      <c r="P34" s="59">
        <f>PREZZI!L6</f>
        <v>180</v>
      </c>
      <c r="Q34" s="62">
        <f>O34*P34</f>
        <v>6957511.2510638293</v>
      </c>
      <c r="R34" s="33">
        <f>QUANTITÀ!M9</f>
        <v>22087.337304964538</v>
      </c>
      <c r="S34" s="59">
        <f>PREZZI!M6</f>
        <v>180</v>
      </c>
      <c r="T34" s="62">
        <f>R34*S34</f>
        <v>3975720.7148936167</v>
      </c>
      <c r="U34" s="35">
        <f>C34+F34+I34+L34+O34+R34</f>
        <v>202467.25862884161</v>
      </c>
      <c r="V34" s="64">
        <f t="shared" ref="V34:V36" si="15">IFERROR(W34/U34,0)</f>
        <v>180</v>
      </c>
      <c r="W34" s="67">
        <f>E34+H34+K34+N34+Q34+T34</f>
        <v>36444106.55319149</v>
      </c>
      <c r="X34" s="36"/>
      <c r="Y34" s="35">
        <f>U10+U34</f>
        <v>432543.68888888886</v>
      </c>
      <c r="Z34" s="64">
        <f t="shared" ref="Z34:Z36" si="16">IFERROR(AA34/Y34,0)</f>
        <v>180</v>
      </c>
      <c r="AA34" s="67">
        <f>W10+W34</f>
        <v>77857864</v>
      </c>
    </row>
    <row r="35" spans="2:32" x14ac:dyDescent="0.2">
      <c r="B35" s="17" t="s">
        <v>103</v>
      </c>
      <c r="C35" s="32">
        <f>QUANTITÀ!H10</f>
        <v>358.86524822695065</v>
      </c>
      <c r="D35" s="59">
        <f>PREZZI!H7</f>
        <v>180</v>
      </c>
      <c r="E35" s="62">
        <f>C35*D35</f>
        <v>64595.744680851116</v>
      </c>
      <c r="F35" s="33">
        <f>QUANTITÀ!I10</f>
        <v>195.744680851064</v>
      </c>
      <c r="G35" s="59">
        <f>PREZZI!I7</f>
        <v>180</v>
      </c>
      <c r="H35" s="62">
        <f>F35*G35</f>
        <v>35234.042553191524</v>
      </c>
      <c r="I35" s="34">
        <f>QUANTITÀ!J10</f>
        <v>358.86524822695065</v>
      </c>
      <c r="J35" s="59">
        <f>PREZZI!J7</f>
        <v>180</v>
      </c>
      <c r="K35" s="62">
        <f>I35*J35</f>
        <v>64595.744680851116</v>
      </c>
      <c r="L35" s="34">
        <f>QUANTITÀ!K10</f>
        <v>342.55319148936201</v>
      </c>
      <c r="M35" s="59">
        <f>PREZZI!K7</f>
        <v>180</v>
      </c>
      <c r="N35" s="62">
        <f>L35*M35</f>
        <v>61659.574468085164</v>
      </c>
      <c r="O35" s="34">
        <f>QUANTITÀ!L10</f>
        <v>342.55319148936201</v>
      </c>
      <c r="P35" s="59">
        <f>PREZZI!L7</f>
        <v>180</v>
      </c>
      <c r="Q35" s="62">
        <f>O35*P35</f>
        <v>61659.574468085164</v>
      </c>
      <c r="R35" s="33">
        <f>QUANTITÀ!M10</f>
        <v>195.744680851064</v>
      </c>
      <c r="S35" s="59">
        <f>PREZZI!M7</f>
        <v>180</v>
      </c>
      <c r="T35" s="62">
        <f>R35*S35</f>
        <v>35234.042553191524</v>
      </c>
      <c r="U35" s="35">
        <f>C35+F35+I35+L35+O35+R35</f>
        <v>1794.3262411347532</v>
      </c>
      <c r="V35" s="64">
        <f t="shared" si="15"/>
        <v>180.00000000000003</v>
      </c>
      <c r="W35" s="67">
        <f>E35+H35+K35+N35+Q35+T35</f>
        <v>322978.72340425564</v>
      </c>
      <c r="X35" s="36"/>
      <c r="Y35" s="35">
        <f>U11+U35</f>
        <v>3833.3333333333367</v>
      </c>
      <c r="Z35" s="64">
        <f t="shared" si="16"/>
        <v>180.00000000000003</v>
      </c>
      <c r="AA35" s="67">
        <f>W11+W35</f>
        <v>690000.0000000007</v>
      </c>
    </row>
    <row r="36" spans="2:32" ht="17" thickBot="1" x14ac:dyDescent="0.25">
      <c r="B36" s="37" t="s">
        <v>91</v>
      </c>
      <c r="C36" s="38">
        <f>SUM(C33:C35)</f>
        <v>63907.486523068706</v>
      </c>
      <c r="D36" s="60">
        <f>E36/C36</f>
        <v>180</v>
      </c>
      <c r="E36" s="63">
        <f>SUM(E33:E35)</f>
        <v>11503347.574152367</v>
      </c>
      <c r="F36" s="39">
        <f>SUM(F33:F35)</f>
        <v>34858.629012582933</v>
      </c>
      <c r="G36" s="60">
        <f>H36/F36</f>
        <v>179.99999999999994</v>
      </c>
      <c r="H36" s="63">
        <f>SUM(H33:H35)</f>
        <v>6274553.2222649259</v>
      </c>
      <c r="I36" s="40">
        <f>SUM(I33:I35)</f>
        <v>63907.486523068706</v>
      </c>
      <c r="J36" s="60">
        <f>K36/I36</f>
        <v>180</v>
      </c>
      <c r="K36" s="63">
        <f>SUM(K33:K35)</f>
        <v>11503347.574152367</v>
      </c>
      <c r="L36" s="40">
        <f>SUM(L33:L35)</f>
        <v>61002.600772020131</v>
      </c>
      <c r="M36" s="60">
        <f>N36/L36</f>
        <v>180</v>
      </c>
      <c r="N36" s="63">
        <f>SUM(N33:N35)</f>
        <v>10980468.138963623</v>
      </c>
      <c r="O36" s="40">
        <f>SUM(O33:O35)</f>
        <v>61002.600772020131</v>
      </c>
      <c r="P36" s="60">
        <f>Q36/O36</f>
        <v>180</v>
      </c>
      <c r="Q36" s="63">
        <f>SUM(Q33:Q35)</f>
        <v>10980468.138963623</v>
      </c>
      <c r="R36" s="39">
        <f>SUM(R33:R35)</f>
        <v>34858.629012582933</v>
      </c>
      <c r="S36" s="60">
        <f>T36/R36</f>
        <v>179.99999999999994</v>
      </c>
      <c r="T36" s="63">
        <f>SUM(T33:T35)</f>
        <v>6274553.2222649259</v>
      </c>
      <c r="U36" s="38">
        <f>SUM(U33:U35)</f>
        <v>319537.43261534348</v>
      </c>
      <c r="V36" s="65">
        <f t="shared" si="15"/>
        <v>180.00000000000006</v>
      </c>
      <c r="W36" s="68">
        <f>SUM(W33:W35)</f>
        <v>57516737.870761842</v>
      </c>
      <c r="X36" s="41"/>
      <c r="Y36" s="38">
        <f>SUM(Y33:Y35)</f>
        <v>682648.15149641572</v>
      </c>
      <c r="Z36" s="65">
        <f t="shared" si="16"/>
        <v>180</v>
      </c>
      <c r="AA36" s="68">
        <f>SUM(AA33:AA35)</f>
        <v>122876667.26935484</v>
      </c>
      <c r="AC36" s="48"/>
      <c r="AD36" s="48"/>
      <c r="AE36" s="48"/>
      <c r="AF36" s="43"/>
    </row>
    <row r="37" spans="2:32" x14ac:dyDescent="0.2">
      <c r="B37" s="17"/>
      <c r="C37" s="17"/>
      <c r="D37" s="59"/>
      <c r="E37" s="62"/>
      <c r="G37" s="59"/>
      <c r="H37" s="62"/>
      <c r="I37" s="28"/>
      <c r="J37" s="59"/>
      <c r="K37" s="62"/>
      <c r="L37" s="28"/>
      <c r="M37" s="59"/>
      <c r="N37" s="62"/>
      <c r="O37" s="28"/>
      <c r="P37" s="59"/>
      <c r="Q37" s="62"/>
      <c r="S37" s="59"/>
      <c r="T37" s="62"/>
      <c r="U37" s="29"/>
      <c r="V37" s="66"/>
      <c r="W37" s="67"/>
      <c r="Y37" s="29"/>
      <c r="Z37" s="66"/>
      <c r="AA37" s="67"/>
      <c r="AC37" s="48"/>
      <c r="AD37" s="48"/>
      <c r="AE37" s="48"/>
    </row>
    <row r="38" spans="2:32" x14ac:dyDescent="0.2">
      <c r="B38" s="26"/>
      <c r="C38" s="17"/>
      <c r="D38" s="59"/>
      <c r="E38" s="62"/>
      <c r="G38" s="59"/>
      <c r="H38" s="62"/>
      <c r="I38" s="28"/>
      <c r="J38" s="59"/>
      <c r="K38" s="62"/>
      <c r="L38" s="28"/>
      <c r="M38" s="59"/>
      <c r="N38" s="62"/>
      <c r="O38" s="28"/>
      <c r="P38" s="59"/>
      <c r="Q38" s="62"/>
      <c r="S38" s="59"/>
      <c r="T38" s="62"/>
      <c r="U38" s="29"/>
      <c r="V38" s="66"/>
      <c r="W38" s="67"/>
      <c r="Y38" s="29"/>
      <c r="Z38" s="66"/>
      <c r="AA38" s="67"/>
      <c r="AC38" s="48"/>
      <c r="AD38" s="48"/>
      <c r="AE38" s="48"/>
    </row>
    <row r="39" spans="2:32" x14ac:dyDescent="0.2">
      <c r="B39" s="17" t="s">
        <v>101</v>
      </c>
      <c r="C39" s="32">
        <f>QUANTITÀ!H15</f>
        <v>1464.6813595881949</v>
      </c>
      <c r="D39" s="59">
        <f>PREZZI!H12</f>
        <v>500</v>
      </c>
      <c r="E39" s="62">
        <f>C39*D39</f>
        <v>732340.67979409744</v>
      </c>
      <c r="F39" s="33">
        <f>QUANTITÀ!I15</f>
        <v>798.91710522992457</v>
      </c>
      <c r="G39" s="59">
        <f>PREZZI!I12</f>
        <v>500</v>
      </c>
      <c r="H39" s="62">
        <f>F39*G39</f>
        <v>399458.55261496227</v>
      </c>
      <c r="I39" s="34">
        <f>QUANTITÀ!J15</f>
        <v>1464.6813595881949</v>
      </c>
      <c r="J39" s="59">
        <f>PREZZI!J12</f>
        <v>500</v>
      </c>
      <c r="K39" s="62">
        <f>I39*J39</f>
        <v>732340.67979409744</v>
      </c>
      <c r="L39" s="34">
        <f>QUANTITÀ!K15</f>
        <v>1398.1049341523681</v>
      </c>
      <c r="M39" s="59">
        <f>PREZZI!K12</f>
        <v>500</v>
      </c>
      <c r="N39" s="62">
        <f>L39*M39</f>
        <v>699052.467076184</v>
      </c>
      <c r="O39" s="34">
        <f>QUANTITÀ!L15</f>
        <v>1398.1049341523681</v>
      </c>
      <c r="P39" s="59">
        <f>PREZZI!L12</f>
        <v>500</v>
      </c>
      <c r="Q39" s="62">
        <f>O39*P39</f>
        <v>699052.467076184</v>
      </c>
      <c r="R39" s="33">
        <f>QUANTITÀ!M15</f>
        <v>798.91710522992457</v>
      </c>
      <c r="S39" s="59">
        <f>PREZZI!M12</f>
        <v>500</v>
      </c>
      <c r="T39" s="62">
        <f>R39*S39</f>
        <v>399458.55261496227</v>
      </c>
      <c r="U39" s="35">
        <f>C39+F39+I39+L39+O39+R39</f>
        <v>7323.4067979409756</v>
      </c>
      <c r="V39" s="64">
        <f>IFERROR(W39/U39,0)</f>
        <v>500</v>
      </c>
      <c r="W39" s="67">
        <f>E39+H39+K39+N39+Q39+T39</f>
        <v>3661703.398970488</v>
      </c>
      <c r="X39" s="36"/>
      <c r="Y39" s="35">
        <f>U15+U39</f>
        <v>15645.459977419358</v>
      </c>
      <c r="Z39" s="64">
        <f>IFERROR(AA39/Y39,0)</f>
        <v>500</v>
      </c>
      <c r="AA39" s="67">
        <f>W15+W39</f>
        <v>7822729.9887096789</v>
      </c>
      <c r="AC39" s="48"/>
      <c r="AD39" s="48"/>
      <c r="AE39" s="48"/>
    </row>
    <row r="40" spans="2:32" x14ac:dyDescent="0.2">
      <c r="B40" s="17" t="s">
        <v>102</v>
      </c>
      <c r="C40" s="32">
        <f>QUANTITÀ!H16</f>
        <v>0</v>
      </c>
      <c r="D40" s="59">
        <f>PREZZI!H13</f>
        <v>500</v>
      </c>
      <c r="E40" s="62">
        <f>C40*D40</f>
        <v>0</v>
      </c>
      <c r="F40" s="33">
        <f>QUANTITÀ!I16</f>
        <v>0</v>
      </c>
      <c r="G40" s="59">
        <f>PREZZI!I13</f>
        <v>500</v>
      </c>
      <c r="H40" s="62">
        <f>F40*G40</f>
        <v>0</v>
      </c>
      <c r="I40" s="34">
        <f>QUANTITÀ!J16</f>
        <v>0</v>
      </c>
      <c r="J40" s="59">
        <f>PREZZI!J13</f>
        <v>500</v>
      </c>
      <c r="K40" s="62">
        <f>I40*J40</f>
        <v>0</v>
      </c>
      <c r="L40" s="34">
        <f>QUANTITÀ!K16</f>
        <v>0</v>
      </c>
      <c r="M40" s="59">
        <f>PREZZI!K13</f>
        <v>500</v>
      </c>
      <c r="N40" s="62">
        <f>L40*M40</f>
        <v>0</v>
      </c>
      <c r="O40" s="34">
        <f>QUANTITÀ!L16</f>
        <v>0</v>
      </c>
      <c r="P40" s="59">
        <f>PREZZI!L13</f>
        <v>500</v>
      </c>
      <c r="Q40" s="62">
        <f>O40*P40</f>
        <v>0</v>
      </c>
      <c r="R40" s="33">
        <f>QUANTITÀ!M16</f>
        <v>0</v>
      </c>
      <c r="S40" s="59">
        <f>PREZZI!M13</f>
        <v>500</v>
      </c>
      <c r="T40" s="62">
        <f>R40*S40</f>
        <v>0</v>
      </c>
      <c r="U40" s="35">
        <f>C40+F40+I40+L40+O40+R40</f>
        <v>0</v>
      </c>
      <c r="V40" s="64">
        <f t="shared" ref="V40:V42" si="17">IFERROR(W40/U40,0)</f>
        <v>0</v>
      </c>
      <c r="W40" s="67">
        <f>E40+H40+K40+N40+Q40+T40</f>
        <v>0</v>
      </c>
      <c r="X40" s="36"/>
      <c r="Y40" s="35">
        <f>U16+U40</f>
        <v>0</v>
      </c>
      <c r="Z40" s="64">
        <f t="shared" ref="Z40:Z42" si="18">IFERROR(AA40/Y40,0)</f>
        <v>0</v>
      </c>
      <c r="AA40" s="67">
        <f>W16+W40</f>
        <v>0</v>
      </c>
      <c r="AC40" s="48"/>
      <c r="AD40" s="48"/>
      <c r="AE40" s="48"/>
    </row>
    <row r="41" spans="2:32" x14ac:dyDescent="0.2">
      <c r="B41" s="17" t="s">
        <v>103</v>
      </c>
      <c r="C41" s="32">
        <f>QUANTITÀ!H17</f>
        <v>2454.6382978723404</v>
      </c>
      <c r="D41" s="59">
        <f>PREZZI!H14</f>
        <v>500</v>
      </c>
      <c r="E41" s="62">
        <f>C41*D41</f>
        <v>1227319.1489361702</v>
      </c>
      <c r="F41" s="33">
        <f>QUANTITÀ!I17</f>
        <v>1338.8936170212767</v>
      </c>
      <c r="G41" s="59">
        <f>PREZZI!I14</f>
        <v>500</v>
      </c>
      <c r="H41" s="62">
        <f>F41*G41</f>
        <v>669446.80851063831</v>
      </c>
      <c r="I41" s="34">
        <f>QUANTITÀ!J17</f>
        <v>2454.6382978723404</v>
      </c>
      <c r="J41" s="59">
        <f>PREZZI!J14</f>
        <v>500</v>
      </c>
      <c r="K41" s="62">
        <f>I41*J41</f>
        <v>1227319.1489361702</v>
      </c>
      <c r="L41" s="34">
        <f>QUANTITÀ!K17</f>
        <v>2343.0638297872342</v>
      </c>
      <c r="M41" s="59">
        <f>PREZZI!K14</f>
        <v>500</v>
      </c>
      <c r="N41" s="62">
        <f>L41*M41</f>
        <v>1171531.9148936172</v>
      </c>
      <c r="O41" s="34">
        <f>QUANTITÀ!L17</f>
        <v>2343.0638297872342</v>
      </c>
      <c r="P41" s="59">
        <f>PREZZI!L14</f>
        <v>500</v>
      </c>
      <c r="Q41" s="62">
        <f>O41*P41</f>
        <v>1171531.9148936172</v>
      </c>
      <c r="R41" s="33">
        <f>QUANTITÀ!M17</f>
        <v>1338.8936170212767</v>
      </c>
      <c r="S41" s="59">
        <f>PREZZI!M14</f>
        <v>500</v>
      </c>
      <c r="T41" s="62">
        <f>R41*S41</f>
        <v>669446.80851063831</v>
      </c>
      <c r="U41" s="35">
        <f>C41+F41+I41+L41+O41+R41</f>
        <v>12273.191489361701</v>
      </c>
      <c r="V41" s="64">
        <f t="shared" si="17"/>
        <v>500.00000000000006</v>
      </c>
      <c r="W41" s="67">
        <f>E41+H41+K41+N41+Q41+T41</f>
        <v>6136595.7446808517</v>
      </c>
      <c r="X41" s="36"/>
      <c r="Y41" s="35">
        <f>U17+U41</f>
        <v>26220</v>
      </c>
      <c r="Z41" s="64">
        <f t="shared" si="18"/>
        <v>500</v>
      </c>
      <c r="AA41" s="67">
        <f>W17+W41</f>
        <v>13110000</v>
      </c>
      <c r="AC41" s="48"/>
      <c r="AD41" s="48"/>
      <c r="AE41" s="48"/>
    </row>
    <row r="42" spans="2:32" ht="17" thickBot="1" x14ac:dyDescent="0.25">
      <c r="B42" s="37" t="s">
        <v>92</v>
      </c>
      <c r="C42" s="38">
        <f>SUM(C39:C41)</f>
        <v>3919.3196574605354</v>
      </c>
      <c r="D42" s="60">
        <f>E42/C42</f>
        <v>499.99999999999994</v>
      </c>
      <c r="E42" s="63">
        <f>SUM(E39:E41)</f>
        <v>1959659.8287302675</v>
      </c>
      <c r="F42" s="39">
        <f>SUM(F39:F41)</f>
        <v>2137.8107222512012</v>
      </c>
      <c r="G42" s="60">
        <f>H42/F42</f>
        <v>499.99999999999994</v>
      </c>
      <c r="H42" s="63">
        <f>SUM(H39:H41)</f>
        <v>1068905.3611256005</v>
      </c>
      <c r="I42" s="40">
        <f>SUM(I39:I41)</f>
        <v>3919.3196574605354</v>
      </c>
      <c r="J42" s="60">
        <f>K42/I42</f>
        <v>499.99999999999994</v>
      </c>
      <c r="K42" s="63">
        <f>SUM(K39:K41)</f>
        <v>1959659.8287302675</v>
      </c>
      <c r="L42" s="40">
        <f>SUM(L39:L41)</f>
        <v>3741.1687639396023</v>
      </c>
      <c r="M42" s="60">
        <f>N42/L42</f>
        <v>500</v>
      </c>
      <c r="N42" s="63">
        <f>SUM(N39:N41)</f>
        <v>1870584.3819698012</v>
      </c>
      <c r="O42" s="40">
        <f>SUM(O39:O41)</f>
        <v>3741.1687639396023</v>
      </c>
      <c r="P42" s="60">
        <f>Q42/O42</f>
        <v>500</v>
      </c>
      <c r="Q42" s="63">
        <f>SUM(Q39:Q41)</f>
        <v>1870584.3819698012</v>
      </c>
      <c r="R42" s="39">
        <f>SUM(R39:R41)</f>
        <v>2137.8107222512012</v>
      </c>
      <c r="S42" s="60">
        <f>T42/R42</f>
        <v>499.99999999999994</v>
      </c>
      <c r="T42" s="63">
        <f>SUM(T39:T41)</f>
        <v>1068905.3611256005</v>
      </c>
      <c r="U42" s="38">
        <f>SUM(U39:U41)</f>
        <v>19596.598287302677</v>
      </c>
      <c r="V42" s="65">
        <f t="shared" si="17"/>
        <v>500.00000000000011</v>
      </c>
      <c r="W42" s="68">
        <f>SUM(W39:W41)</f>
        <v>9798299.1436513402</v>
      </c>
      <c r="X42" s="41"/>
      <c r="Y42" s="38">
        <f>SUM(Y39:Y41)</f>
        <v>41865.459977419356</v>
      </c>
      <c r="Z42" s="65">
        <f t="shared" si="18"/>
        <v>500.00000000000006</v>
      </c>
      <c r="AA42" s="68">
        <f>SUM(AA39:AA41)</f>
        <v>20932729.988709681</v>
      </c>
      <c r="AC42" s="48"/>
      <c r="AD42" s="48"/>
      <c r="AE42" s="48"/>
      <c r="AF42" s="43"/>
    </row>
    <row r="43" spans="2:32" x14ac:dyDescent="0.2">
      <c r="B43" s="17"/>
      <c r="C43" s="17"/>
      <c r="D43" s="59"/>
      <c r="E43" s="62"/>
      <c r="G43" s="59"/>
      <c r="H43" s="62"/>
      <c r="I43" s="28"/>
      <c r="J43" s="59"/>
      <c r="K43" s="62"/>
      <c r="L43" s="28"/>
      <c r="M43" s="59"/>
      <c r="N43" s="62"/>
      <c r="O43" s="28"/>
      <c r="P43" s="59"/>
      <c r="Q43" s="62"/>
      <c r="S43" s="59"/>
      <c r="T43" s="62"/>
      <c r="U43" s="29"/>
      <c r="V43" s="66"/>
      <c r="W43" s="67"/>
      <c r="Y43" s="29"/>
      <c r="Z43" s="66"/>
      <c r="AA43" s="67"/>
    </row>
    <row r="44" spans="2:32" x14ac:dyDescent="0.2">
      <c r="B44" s="26"/>
      <c r="C44" s="17"/>
      <c r="D44" s="59"/>
      <c r="E44" s="62"/>
      <c r="G44" s="59"/>
      <c r="H44" s="62"/>
      <c r="I44" s="28"/>
      <c r="J44" s="59"/>
      <c r="K44" s="62"/>
      <c r="L44" s="28"/>
      <c r="M44" s="59"/>
      <c r="N44" s="62"/>
      <c r="O44" s="28"/>
      <c r="P44" s="59"/>
      <c r="Q44" s="62"/>
      <c r="S44" s="59"/>
      <c r="T44" s="62"/>
      <c r="U44" s="29"/>
      <c r="V44" s="66"/>
      <c r="W44" s="67"/>
      <c r="Y44" s="29"/>
      <c r="Z44" s="66"/>
      <c r="AA44" s="67"/>
    </row>
    <row r="45" spans="2:32" x14ac:dyDescent="0.2">
      <c r="B45" s="17" t="s">
        <v>101</v>
      </c>
      <c r="C45" s="42">
        <f>C33+C39</f>
        <v>24519.850908661629</v>
      </c>
      <c r="D45" s="61">
        <f>E45/C45</f>
        <v>199.11504424778761</v>
      </c>
      <c r="E45" s="62">
        <f>E33+E39</f>
        <v>4882271.1986273155</v>
      </c>
      <c r="F45" s="42">
        <f>F33+F39</f>
        <v>13374.464131997251</v>
      </c>
      <c r="G45" s="61">
        <f>H45/F45</f>
        <v>199.11504424778761</v>
      </c>
      <c r="H45" s="62">
        <f>H33+H39</f>
        <v>2663057.0174330808</v>
      </c>
      <c r="I45" s="42">
        <f>I33+I39</f>
        <v>24519.850908661629</v>
      </c>
      <c r="J45" s="61">
        <f>K45/I45</f>
        <v>199.11504424778761</v>
      </c>
      <c r="K45" s="62">
        <f>K33+K39</f>
        <v>4882271.1986273155</v>
      </c>
      <c r="L45" s="42">
        <f>L33+L39</f>
        <v>23405.31223099519</v>
      </c>
      <c r="M45" s="61">
        <f>N45/L45</f>
        <v>199.11504424778764</v>
      </c>
      <c r="N45" s="62">
        <f>N33+N39</f>
        <v>4660349.7805078924</v>
      </c>
      <c r="O45" s="42">
        <f>O33+O39</f>
        <v>23405.31223099519</v>
      </c>
      <c r="P45" s="61">
        <f>Q45/O45</f>
        <v>199.11504424778764</v>
      </c>
      <c r="Q45" s="62">
        <f>Q33+Q39</f>
        <v>4660349.7805078924</v>
      </c>
      <c r="R45" s="42">
        <f>R33+R39</f>
        <v>13374.464131997251</v>
      </c>
      <c r="S45" s="61">
        <f>T45/R45</f>
        <v>199.11504424778761</v>
      </c>
      <c r="T45" s="62">
        <f>T33+T39</f>
        <v>2663057.0174330808</v>
      </c>
      <c r="U45" s="35">
        <f>C45+F45+I45+L45+O45+R45</f>
        <v>122599.25454330814</v>
      </c>
      <c r="V45" s="64">
        <f>IFERROR(W45/U45,0)</f>
        <v>199.11504424778761</v>
      </c>
      <c r="W45" s="67">
        <f>E45+H45+K45+N45+Q45+T45</f>
        <v>24411355.993136577</v>
      </c>
      <c r="Y45" s="35">
        <f>U21+U45</f>
        <v>261916.58925161284</v>
      </c>
      <c r="Z45" s="64">
        <f>IFERROR(AA45/Y45,0)</f>
        <v>199.11504424778764</v>
      </c>
      <c r="AA45" s="67">
        <f>W21+W45</f>
        <v>52151533.258064508</v>
      </c>
    </row>
    <row r="46" spans="2:32" x14ac:dyDescent="0.2">
      <c r="B46" s="17" t="s">
        <v>102</v>
      </c>
      <c r="C46" s="42">
        <f t="shared" ref="C46:C47" si="19">C34+C40</f>
        <v>40493.451725768318</v>
      </c>
      <c r="D46" s="61">
        <f>E46/C46</f>
        <v>180</v>
      </c>
      <c r="E46" s="62">
        <f t="shared" ref="E46:F47" si="20">E34+E40</f>
        <v>7288821.3106382973</v>
      </c>
      <c r="F46" s="42">
        <f t="shared" si="20"/>
        <v>22087.337304964538</v>
      </c>
      <c r="G46" s="61">
        <f>H46/F46</f>
        <v>180</v>
      </c>
      <c r="H46" s="62">
        <f t="shared" ref="H46:I47" si="21">H34+H40</f>
        <v>3975720.7148936167</v>
      </c>
      <c r="I46" s="42">
        <f t="shared" si="21"/>
        <v>40493.451725768318</v>
      </c>
      <c r="J46" s="61">
        <f>K46/I46</f>
        <v>180</v>
      </c>
      <c r="K46" s="62">
        <f t="shared" ref="K46:L47" si="22">K34+K40</f>
        <v>7288821.3106382973</v>
      </c>
      <c r="L46" s="42">
        <f t="shared" si="22"/>
        <v>38652.84028368794</v>
      </c>
      <c r="M46" s="61">
        <f>N46/L46</f>
        <v>180</v>
      </c>
      <c r="N46" s="62">
        <f t="shared" ref="N46:O47" si="23">N34+N40</f>
        <v>6957511.2510638293</v>
      </c>
      <c r="O46" s="42">
        <f t="shared" si="23"/>
        <v>38652.84028368794</v>
      </c>
      <c r="P46" s="61">
        <f>Q46/O46</f>
        <v>180</v>
      </c>
      <c r="Q46" s="62">
        <f t="shared" ref="Q46:R47" si="24">Q34+Q40</f>
        <v>6957511.2510638293</v>
      </c>
      <c r="R46" s="42">
        <f t="shared" si="24"/>
        <v>22087.337304964538</v>
      </c>
      <c r="S46" s="61">
        <f>T46/R46</f>
        <v>180</v>
      </c>
      <c r="T46" s="62">
        <f t="shared" ref="T46" si="25">T34+T40</f>
        <v>3975720.7148936167</v>
      </c>
      <c r="U46" s="35">
        <f>C46+F46+I46+L46+O46+R46</f>
        <v>202467.25862884161</v>
      </c>
      <c r="V46" s="64">
        <f t="shared" ref="V46:V48" si="26">IFERROR(W46/U46,0)</f>
        <v>180</v>
      </c>
      <c r="W46" s="67">
        <f>E46+H46+K46+N46+Q46+T46</f>
        <v>36444106.55319149</v>
      </c>
      <c r="Y46" s="35">
        <f>U22+U46</f>
        <v>432543.68888888886</v>
      </c>
      <c r="Z46" s="64">
        <f t="shared" ref="Z46:Z48" si="27">IFERROR(AA46/Y46,0)</f>
        <v>180</v>
      </c>
      <c r="AA46" s="67">
        <f>W22+W46</f>
        <v>77857864</v>
      </c>
    </row>
    <row r="47" spans="2:32" x14ac:dyDescent="0.2">
      <c r="B47" s="17" t="s">
        <v>103</v>
      </c>
      <c r="C47" s="42">
        <f t="shared" si="19"/>
        <v>2813.5035460992913</v>
      </c>
      <c r="D47" s="61">
        <f>E47/C47</f>
        <v>459.18367346938771</v>
      </c>
      <c r="E47" s="62">
        <f t="shared" ref="E47" si="28">E35+E41</f>
        <v>1291914.8936170214</v>
      </c>
      <c r="F47" s="42">
        <f t="shared" si="20"/>
        <v>1534.6382978723407</v>
      </c>
      <c r="G47" s="61">
        <f>H47/F47</f>
        <v>459.18367346938771</v>
      </c>
      <c r="H47" s="62">
        <f t="shared" ref="H47" si="29">H35+H41</f>
        <v>704680.85106382985</v>
      </c>
      <c r="I47" s="42">
        <f t="shared" si="21"/>
        <v>2813.5035460992913</v>
      </c>
      <c r="J47" s="61">
        <f>K47/I47</f>
        <v>459.18367346938771</v>
      </c>
      <c r="K47" s="62">
        <f t="shared" ref="K47" si="30">K35+K41</f>
        <v>1291914.8936170214</v>
      </c>
      <c r="L47" s="42">
        <f t="shared" si="22"/>
        <v>2685.6170212765965</v>
      </c>
      <c r="M47" s="61">
        <f>N47/L47</f>
        <v>459.18367346938766</v>
      </c>
      <c r="N47" s="62">
        <f t="shared" ref="N47" si="31">N35+N41</f>
        <v>1233191.4893617022</v>
      </c>
      <c r="O47" s="42">
        <f t="shared" si="23"/>
        <v>2685.6170212765965</v>
      </c>
      <c r="P47" s="61">
        <f>Q47/O47</f>
        <v>459.18367346938766</v>
      </c>
      <c r="Q47" s="62">
        <f t="shared" ref="Q47" si="32">Q35+Q41</f>
        <v>1233191.4893617022</v>
      </c>
      <c r="R47" s="42">
        <f t="shared" si="24"/>
        <v>1534.6382978723407</v>
      </c>
      <c r="S47" s="61">
        <f>T47/R47</f>
        <v>459.18367346938771</v>
      </c>
      <c r="T47" s="62">
        <f t="shared" ref="T47" si="33">T35+T41</f>
        <v>704680.85106382985</v>
      </c>
      <c r="U47" s="35">
        <f>C47+F47+I47+L47+O47+R47</f>
        <v>14067.517730496456</v>
      </c>
      <c r="V47" s="64">
        <f t="shared" si="26"/>
        <v>459.18367346938777</v>
      </c>
      <c r="W47" s="67">
        <f>E47+H47+K47+N47+Q47+T47</f>
        <v>6459574.4680851074</v>
      </c>
      <c r="Y47" s="35">
        <f>U23+U47</f>
        <v>30053.333333333339</v>
      </c>
      <c r="Z47" s="64">
        <f t="shared" si="27"/>
        <v>459.18367346938777</v>
      </c>
      <c r="AA47" s="67">
        <f>W23+W47</f>
        <v>13800000.000000004</v>
      </c>
    </row>
    <row r="48" spans="2:32" ht="17" thickBot="1" x14ac:dyDescent="0.25">
      <c r="B48" s="37" t="s">
        <v>3</v>
      </c>
      <c r="C48" s="38">
        <f>SUM(C45:C47)</f>
        <v>67826.806180529238</v>
      </c>
      <c r="D48" s="60">
        <f>E48/C48</f>
        <v>198.49095307612174</v>
      </c>
      <c r="E48" s="63">
        <f>SUM(E45:E47)</f>
        <v>13463007.402882634</v>
      </c>
      <c r="F48" s="38">
        <f>SUM(F45:F47)</f>
        <v>36996.43973483413</v>
      </c>
      <c r="G48" s="60">
        <f>H48/F48</f>
        <v>198.49095307612174</v>
      </c>
      <c r="H48" s="63">
        <f>SUM(H45:H47)</f>
        <v>7343458.5833905274</v>
      </c>
      <c r="I48" s="38">
        <f>SUM(I45:I47)</f>
        <v>67826.806180529238</v>
      </c>
      <c r="J48" s="60">
        <f>K48/I48</f>
        <v>198.49095307612174</v>
      </c>
      <c r="K48" s="63">
        <f>SUM(K45:K47)</f>
        <v>13463007.402882634</v>
      </c>
      <c r="L48" s="38">
        <f>SUM(L45:L47)</f>
        <v>64743.76953595972</v>
      </c>
      <c r="M48" s="60">
        <f>N48/L48</f>
        <v>198.49095307612177</v>
      </c>
      <c r="N48" s="63">
        <f>SUM(N45:N47)</f>
        <v>12851052.520933423</v>
      </c>
      <c r="O48" s="38">
        <f>SUM(O45:O47)</f>
        <v>64743.76953595972</v>
      </c>
      <c r="P48" s="60">
        <f>Q48/O48</f>
        <v>198.49095307612177</v>
      </c>
      <c r="Q48" s="63">
        <f>SUM(Q45:Q47)</f>
        <v>12851052.520933423</v>
      </c>
      <c r="R48" s="38">
        <f>SUM(R45:R47)</f>
        <v>36996.43973483413</v>
      </c>
      <c r="S48" s="60">
        <f>T48/R48</f>
        <v>198.49095307612174</v>
      </c>
      <c r="T48" s="63">
        <f>SUM(T45:T47)</f>
        <v>7343458.5833905274</v>
      </c>
      <c r="U48" s="38">
        <f>SUM(U45:U47)</f>
        <v>339134.03090264625</v>
      </c>
      <c r="V48" s="65">
        <f t="shared" si="26"/>
        <v>198.49095307612174</v>
      </c>
      <c r="W48" s="68">
        <f>SUM(W45:W47)</f>
        <v>67315037.014413178</v>
      </c>
      <c r="Y48" s="38">
        <f>SUM(Y45:Y47)</f>
        <v>724513.61147383507</v>
      </c>
      <c r="Z48" s="65">
        <f t="shared" si="27"/>
        <v>198.49095307612177</v>
      </c>
      <c r="AA48" s="68">
        <f>SUM(AA45:AA47)</f>
        <v>143809397.25806451</v>
      </c>
    </row>
    <row r="50" spans="27:27" x14ac:dyDescent="0.2">
      <c r="AA50" s="82">
        <f>AA48-'Tab 2'!N16</f>
        <v>0</v>
      </c>
    </row>
  </sheetData>
  <mergeCells count="17">
    <mergeCell ref="L30:N30"/>
    <mergeCell ref="O30:Q30"/>
    <mergeCell ref="R30:T30"/>
    <mergeCell ref="U30:W30"/>
    <mergeCell ref="Y29:AA30"/>
    <mergeCell ref="C29:W29"/>
    <mergeCell ref="C30:E30"/>
    <mergeCell ref="F30:H30"/>
    <mergeCell ref="I30:K30"/>
    <mergeCell ref="C5:W5"/>
    <mergeCell ref="C6:E6"/>
    <mergeCell ref="F6:H6"/>
    <mergeCell ref="I6:K6"/>
    <mergeCell ref="L6:N6"/>
    <mergeCell ref="O6:Q6"/>
    <mergeCell ref="R6:T6"/>
    <mergeCell ref="U6:W6"/>
  </mergeCells>
  <phoneticPr fontId="4" type="noConversion"/>
  <pageMargins left="0.25" right="0.25" top="0.75" bottom="0.75" header="0.3" footer="0.3"/>
  <pageSetup paperSize="9" scale="43" orientation="landscape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5">
    <tabColor indexed="13"/>
  </sheetPr>
  <dimension ref="A2:S18"/>
  <sheetViews>
    <sheetView zoomScale="177" zoomScaleNormal="120" workbookViewId="0">
      <selection activeCell="B8" sqref="B8"/>
    </sheetView>
  </sheetViews>
  <sheetFormatPr baseColWidth="10" defaultColWidth="9.1640625" defaultRowHeight="16" x14ac:dyDescent="0.2"/>
  <cols>
    <col min="1" max="1" width="18.5" style="3" customWidth="1"/>
    <col min="2" max="13" width="8.6640625" style="3" customWidth="1"/>
    <col min="14" max="14" width="10" style="3" customWidth="1"/>
    <col min="15" max="15" width="3.33203125" style="3" customWidth="1"/>
    <col min="16" max="16" width="13.6640625" style="3" bestFit="1" customWidth="1"/>
    <col min="17" max="16384" width="9.1640625" style="3"/>
  </cols>
  <sheetData>
    <row r="2" spans="1:19" x14ac:dyDescent="0.2">
      <c r="A2" s="77" t="s">
        <v>99</v>
      </c>
    </row>
    <row r="3" spans="1:19" ht="17" thickBot="1" x14ac:dyDescent="0.25"/>
    <row r="4" spans="1:19" x14ac:dyDescent="0.2"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5" t="s">
        <v>16</v>
      </c>
      <c r="H4" s="5" t="s">
        <v>17</v>
      </c>
      <c r="I4" s="5" t="s">
        <v>18</v>
      </c>
      <c r="J4" s="5" t="s">
        <v>19</v>
      </c>
      <c r="K4" s="5" t="s">
        <v>20</v>
      </c>
      <c r="L4" s="5" t="s">
        <v>21</v>
      </c>
      <c r="M4" s="5" t="s">
        <v>22</v>
      </c>
    </row>
    <row r="5" spans="1:19" x14ac:dyDescent="0.2">
      <c r="B5" s="213">
        <v>18</v>
      </c>
      <c r="C5" s="213">
        <v>20</v>
      </c>
      <c r="D5" s="213">
        <v>23</v>
      </c>
      <c r="E5" s="213">
        <v>21</v>
      </c>
      <c r="F5" s="213">
        <v>21</v>
      </c>
      <c r="G5" s="213">
        <v>22</v>
      </c>
      <c r="H5" s="213">
        <v>22</v>
      </c>
      <c r="I5" s="213">
        <v>12</v>
      </c>
      <c r="J5" s="213">
        <v>22</v>
      </c>
      <c r="K5" s="213">
        <v>21</v>
      </c>
      <c r="L5" s="213">
        <v>21</v>
      </c>
      <c r="M5" s="213">
        <v>12</v>
      </c>
      <c r="N5" s="3">
        <f>SUM(B5:M5)</f>
        <v>235</v>
      </c>
      <c r="P5" s="213">
        <v>18</v>
      </c>
      <c r="Q5" s="213">
        <v>20</v>
      </c>
      <c r="R5" s="213">
        <v>23</v>
      </c>
      <c r="S5" s="213">
        <v>21</v>
      </c>
    </row>
    <row r="6" spans="1:19" ht="17" thickBot="1" x14ac:dyDescent="0.25"/>
    <row r="7" spans="1:19" x14ac:dyDescent="0.2">
      <c r="A7" s="4" t="s">
        <v>91</v>
      </c>
      <c r="B7" s="5" t="s">
        <v>11</v>
      </c>
      <c r="C7" s="5" t="s">
        <v>12</v>
      </c>
      <c r="D7" s="5" t="s">
        <v>13</v>
      </c>
      <c r="E7" s="5" t="s">
        <v>14</v>
      </c>
      <c r="F7" s="5" t="s">
        <v>15</v>
      </c>
      <c r="G7" s="5" t="s">
        <v>16</v>
      </c>
      <c r="H7" s="5" t="s">
        <v>17</v>
      </c>
      <c r="I7" s="5" t="s">
        <v>18</v>
      </c>
      <c r="J7" s="5" t="s">
        <v>19</v>
      </c>
      <c r="K7" s="5" t="s">
        <v>20</v>
      </c>
      <c r="L7" s="5" t="s">
        <v>21</v>
      </c>
      <c r="M7" s="5" t="s">
        <v>22</v>
      </c>
      <c r="N7" s="5" t="s">
        <v>10</v>
      </c>
      <c r="P7" s="5" t="s">
        <v>11</v>
      </c>
      <c r="Q7" s="5" t="s">
        <v>12</v>
      </c>
      <c r="R7" s="5" t="s">
        <v>13</v>
      </c>
      <c r="S7" s="5" t="s">
        <v>14</v>
      </c>
    </row>
    <row r="8" spans="1:19" x14ac:dyDescent="0.2">
      <c r="A8" s="6" t="s">
        <v>68</v>
      </c>
      <c r="B8" s="214">
        <f>IFERROR('Tab 2'!$C$14/$N$5*B$5,0)</f>
        <v>18863.320540150991</v>
      </c>
      <c r="C8" s="214">
        <f>IFERROR('Tab 2'!$C$14/$N$5*C$5,0)</f>
        <v>20959.245044612213</v>
      </c>
      <c r="D8" s="214">
        <f>IFERROR('Tab 2'!$C$14/$N$5*D$5,0)</f>
        <v>24103.131801304044</v>
      </c>
      <c r="E8" s="214">
        <f>IFERROR('Tab 2'!$C$14/$N$5*E$5,0)</f>
        <v>22007.207296842822</v>
      </c>
      <c r="F8" s="214">
        <f>IFERROR('Tab 2'!$C$14/$N$5*F$5,0)</f>
        <v>22007.207296842822</v>
      </c>
      <c r="G8" s="214">
        <f>IFERROR('Tab 2'!$C$14/$N$5*G$5,0)</f>
        <v>23055.169549073435</v>
      </c>
      <c r="H8" s="214">
        <f>IFERROR('Tab 2'!$C$14/$N$5*H$5,0)</f>
        <v>23055.169549073435</v>
      </c>
      <c r="I8" s="214">
        <f>IFERROR('Tab 2'!$C$14/$N$5*I$5,0)</f>
        <v>12575.547026767326</v>
      </c>
      <c r="J8" s="214">
        <f>IFERROR('Tab 2'!$C$14/$N$5*J$5,0)</f>
        <v>23055.169549073435</v>
      </c>
      <c r="K8" s="214">
        <f>IFERROR('Tab 2'!$C$14/$N$5*K$5,0)</f>
        <v>22007.207296842822</v>
      </c>
      <c r="L8" s="214">
        <f>IFERROR('Tab 2'!$C$14/$N$5*L$5,0)</f>
        <v>22007.207296842822</v>
      </c>
      <c r="M8" s="214">
        <f>IFERROR('Tab 2'!$C$14/$N$5*M$5,0)</f>
        <v>12575.547026767326</v>
      </c>
      <c r="N8" s="7">
        <f>SUM(B8:M8)</f>
        <v>246271.12927419355</v>
      </c>
      <c r="P8" s="214">
        <f>IFERROR('Tab 2'!$C$32/$N$5*P$5,0)</f>
        <v>19240.586950954017</v>
      </c>
      <c r="Q8" s="214">
        <f>IFERROR('Tab 2'!$C$32/$N$5*Q$5,0)</f>
        <v>21378.429945504464</v>
      </c>
      <c r="R8" s="214">
        <f>IFERROR('Tab 2'!$C$32/$N$5*R$5,0)</f>
        <v>24585.194437330134</v>
      </c>
      <c r="S8" s="214">
        <f>IFERROR('Tab 2'!$C$32/$N$5*S$5,0)</f>
        <v>22447.351442779687</v>
      </c>
    </row>
    <row r="9" spans="1:19" x14ac:dyDescent="0.2">
      <c r="A9" s="6" t="s">
        <v>100</v>
      </c>
      <c r="B9" s="214">
        <f>IFERROR('Tab 2'!$F$14/$N$5*B$5,0)</f>
        <v>33131.005957446803</v>
      </c>
      <c r="C9" s="214">
        <f>IFERROR('Tab 2'!$F$14/$N$5*C$5,0)</f>
        <v>36812.228841607561</v>
      </c>
      <c r="D9" s="214">
        <f>IFERROR('Tab 2'!$F$14/$N$5*D$5,0)</f>
        <v>42334.063167848697</v>
      </c>
      <c r="E9" s="214">
        <f>IFERROR('Tab 2'!$F$14/$N$5*E$5,0)</f>
        <v>38652.84028368794</v>
      </c>
      <c r="F9" s="214">
        <f>IFERROR('Tab 2'!$F$14/$N$5*F$5,0)</f>
        <v>38652.84028368794</v>
      </c>
      <c r="G9" s="214">
        <f>IFERROR('Tab 2'!$F$14/$N$5*G$5,0)</f>
        <v>40493.451725768318</v>
      </c>
      <c r="H9" s="214">
        <f>IFERROR('Tab 2'!$F$14/$N$5*H$5,0)</f>
        <v>40493.451725768318</v>
      </c>
      <c r="I9" s="214">
        <f>IFERROR('Tab 2'!$F$14/$N$5*I$5,0)</f>
        <v>22087.337304964538</v>
      </c>
      <c r="J9" s="214">
        <f>IFERROR('Tab 2'!$F$14/$N$5*J$5,0)</f>
        <v>40493.451725768318</v>
      </c>
      <c r="K9" s="214">
        <f>IFERROR('Tab 2'!$F$14/$N$5*K$5,0)</f>
        <v>38652.84028368794</v>
      </c>
      <c r="L9" s="214">
        <f>IFERROR('Tab 2'!$F$14/$N$5*L$5,0)</f>
        <v>38652.84028368794</v>
      </c>
      <c r="M9" s="214">
        <f>IFERROR('Tab 2'!$F$14/$N$5*M$5,0)</f>
        <v>22087.337304964538</v>
      </c>
      <c r="N9" s="7">
        <f>SUM(B9:M9)</f>
        <v>432543.68888888886</v>
      </c>
      <c r="P9" s="214">
        <f>IFERROR('Tab 2'!$F$32/$N$5*P$5,0)</f>
        <v>31805.765719148934</v>
      </c>
      <c r="Q9" s="214">
        <f>IFERROR('Tab 2'!$F$32/$N$5*Q$5,0)</f>
        <v>35339.739687943264</v>
      </c>
      <c r="R9" s="214">
        <f>IFERROR('Tab 2'!$F$32/$N$5*R$5,0)</f>
        <v>40640.700641134747</v>
      </c>
      <c r="S9" s="214">
        <f>IFERROR('Tab 2'!$F$32/$N$5*S$5,0)</f>
        <v>37106.726672340425</v>
      </c>
    </row>
    <row r="10" spans="1:19" x14ac:dyDescent="0.2">
      <c r="A10" s="6" t="s">
        <v>70</v>
      </c>
      <c r="B10" s="214">
        <f>IFERROR('Tab 2'!$I$14/$N$5*B$5,0)</f>
        <v>293.61702127659601</v>
      </c>
      <c r="C10" s="214">
        <f>IFERROR('Tab 2'!$I$14/$N$5*C$5,0)</f>
        <v>326.2411347517733</v>
      </c>
      <c r="D10" s="214">
        <f>IFERROR('Tab 2'!$I$14/$N$5*D$5,0)</f>
        <v>375.1773049645393</v>
      </c>
      <c r="E10" s="214">
        <f>IFERROR('Tab 2'!$I$14/$N$5*E$5,0)</f>
        <v>342.55319148936201</v>
      </c>
      <c r="F10" s="214">
        <f>IFERROR('Tab 2'!$I$14/$N$5*F$5,0)</f>
        <v>342.55319148936201</v>
      </c>
      <c r="G10" s="214">
        <f>IFERROR('Tab 2'!$I$14/$N$5*G$5,0)</f>
        <v>358.86524822695065</v>
      </c>
      <c r="H10" s="214">
        <f>IFERROR('Tab 2'!$I$14/$N$5*H$5,0)</f>
        <v>358.86524822695065</v>
      </c>
      <c r="I10" s="214">
        <f>IFERROR('Tab 2'!$I$14/$N$5*I$5,0)</f>
        <v>195.744680851064</v>
      </c>
      <c r="J10" s="214">
        <f>IFERROR('Tab 2'!$I$14/$N$5*J$5,0)</f>
        <v>358.86524822695065</v>
      </c>
      <c r="K10" s="214">
        <f>IFERROR('Tab 2'!$I$14/$N$5*K$5,0)</f>
        <v>342.55319148936201</v>
      </c>
      <c r="L10" s="214">
        <f>IFERROR('Tab 2'!$I$14/$N$5*L$5,0)</f>
        <v>342.55319148936201</v>
      </c>
      <c r="M10" s="214">
        <f>IFERROR('Tab 2'!$I$14/$N$5*M$5,0)</f>
        <v>195.744680851064</v>
      </c>
      <c r="N10" s="7">
        <f>SUM(B10:M10)</f>
        <v>3833.3333333333367</v>
      </c>
      <c r="P10" s="214">
        <f>IFERROR('Tab 2'!$I$32/$N$5*P$5,0)</f>
        <v>317.10638297872367</v>
      </c>
      <c r="Q10" s="214">
        <f>IFERROR('Tab 2'!$I$32/$N$5*Q$5,0)</f>
        <v>352.34042553191523</v>
      </c>
      <c r="R10" s="214">
        <f>IFERROR('Tab 2'!$I$32/$N$5*R$5,0)</f>
        <v>405.19148936170251</v>
      </c>
      <c r="S10" s="214">
        <f>IFERROR('Tab 2'!$I$32/$N$5*S$5,0)</f>
        <v>369.95744680851095</v>
      </c>
    </row>
    <row r="11" spans="1:19" ht="17" thickBot="1" x14ac:dyDescent="0.25">
      <c r="A11" s="8" t="s">
        <v>3</v>
      </c>
      <c r="B11" s="9">
        <f>SUM(B8:B10)</f>
        <v>52287.943518874388</v>
      </c>
      <c r="C11" s="9">
        <f t="shared" ref="C11:P11" si="0">SUM(C8:C10)</f>
        <v>58097.71502097154</v>
      </c>
      <c r="D11" s="9">
        <f t="shared" si="0"/>
        <v>66812.372274117282</v>
      </c>
      <c r="E11" s="9">
        <f t="shared" si="0"/>
        <v>61002.600772020131</v>
      </c>
      <c r="F11" s="9">
        <f t="shared" si="0"/>
        <v>61002.600772020131</v>
      </c>
      <c r="G11" s="9">
        <f t="shared" si="0"/>
        <v>63907.486523068706</v>
      </c>
      <c r="H11" s="9">
        <f t="shared" si="0"/>
        <v>63907.486523068706</v>
      </c>
      <c r="I11" s="9">
        <f t="shared" si="0"/>
        <v>34858.629012582933</v>
      </c>
      <c r="J11" s="9">
        <f t="shared" si="0"/>
        <v>63907.486523068706</v>
      </c>
      <c r="K11" s="9">
        <f t="shared" si="0"/>
        <v>61002.600772020131</v>
      </c>
      <c r="L11" s="9">
        <f t="shared" si="0"/>
        <v>61002.600772020131</v>
      </c>
      <c r="M11" s="9">
        <f t="shared" si="0"/>
        <v>34858.629012582933</v>
      </c>
      <c r="N11" s="9">
        <f t="shared" si="0"/>
        <v>682648.15149641584</v>
      </c>
      <c r="P11" s="9">
        <f t="shared" si="0"/>
        <v>51363.459053081671</v>
      </c>
      <c r="Q11" s="9">
        <f t="shared" ref="Q11:R11" si="1">SUM(Q8:Q10)</f>
        <v>57070.510058979649</v>
      </c>
      <c r="R11" s="9">
        <f t="shared" si="1"/>
        <v>65631.086567826584</v>
      </c>
      <c r="S11" s="9">
        <f t="shared" ref="S11" si="2">SUM(S8:S10)</f>
        <v>59924.03556192862</v>
      </c>
    </row>
    <row r="13" spans="1:19" ht="17" thickBot="1" x14ac:dyDescent="0.25"/>
    <row r="14" spans="1:19" x14ac:dyDescent="0.2">
      <c r="A14" s="4" t="s">
        <v>92</v>
      </c>
      <c r="B14" s="5" t="s">
        <v>11</v>
      </c>
      <c r="C14" s="5" t="s">
        <v>12</v>
      </c>
      <c r="D14" s="5" t="s">
        <v>13</v>
      </c>
      <c r="E14" s="5" t="s">
        <v>14</v>
      </c>
      <c r="F14" s="5" t="s">
        <v>15</v>
      </c>
      <c r="G14" s="5" t="s">
        <v>16</v>
      </c>
      <c r="H14" s="5" t="s">
        <v>17</v>
      </c>
      <c r="I14" s="5" t="s">
        <v>18</v>
      </c>
      <c r="J14" s="5" t="s">
        <v>19</v>
      </c>
      <c r="K14" s="5" t="s">
        <v>20</v>
      </c>
      <c r="L14" s="5" t="s">
        <v>21</v>
      </c>
      <c r="M14" s="5" t="s">
        <v>22</v>
      </c>
      <c r="N14" s="5" t="s">
        <v>10</v>
      </c>
      <c r="P14" s="5" t="s">
        <v>11</v>
      </c>
      <c r="Q14" s="5" t="s">
        <v>12</v>
      </c>
      <c r="R14" s="5" t="s">
        <v>13</v>
      </c>
      <c r="S14" s="5" t="s">
        <v>14</v>
      </c>
    </row>
    <row r="15" spans="1:19" x14ac:dyDescent="0.2">
      <c r="A15" s="6" t="s">
        <v>68</v>
      </c>
      <c r="B15" s="214">
        <f>'Tab 2'!$C$15/$N$5*B$5</f>
        <v>1198.375657844887</v>
      </c>
      <c r="C15" s="214">
        <f>'Tab 2'!$C$15/$N$5*C$5</f>
        <v>1331.528508716541</v>
      </c>
      <c r="D15" s="214">
        <f>'Tab 2'!$C$15/$N$5*D$5</f>
        <v>1531.257785024022</v>
      </c>
      <c r="E15" s="214">
        <f>'Tab 2'!$C$15/$N$5*E$5</f>
        <v>1398.1049341523681</v>
      </c>
      <c r="F15" s="214">
        <f>'Tab 2'!$C$15/$N$5*F$5</f>
        <v>1398.1049341523681</v>
      </c>
      <c r="G15" s="214">
        <f>'Tab 2'!$C$15/$N$5*G$5</f>
        <v>1464.6813595881949</v>
      </c>
      <c r="H15" s="214">
        <f>'Tab 2'!$C$15/$N$5*H$5</f>
        <v>1464.6813595881949</v>
      </c>
      <c r="I15" s="214">
        <f>'Tab 2'!$C$15/$N$5*I$5</f>
        <v>798.91710522992457</v>
      </c>
      <c r="J15" s="214">
        <f>'Tab 2'!$C$15/$N$5*J$5</f>
        <v>1464.6813595881949</v>
      </c>
      <c r="K15" s="214">
        <f>'Tab 2'!$C$15/$N$5*K$5</f>
        <v>1398.1049341523681</v>
      </c>
      <c r="L15" s="214">
        <f>'Tab 2'!$C$15/$N$5*L$5</f>
        <v>1398.1049341523681</v>
      </c>
      <c r="M15" s="214">
        <f>'Tab 2'!$C$15/$N$5*M$5</f>
        <v>798.91710522992457</v>
      </c>
      <c r="N15" s="7">
        <f>SUM(B15:M15)</f>
        <v>15645.459977419356</v>
      </c>
      <c r="P15" s="214">
        <f>'Tab 2'!$C$33/$N$5*P$5</f>
        <v>1222.3431710017846</v>
      </c>
      <c r="Q15" s="214">
        <f>'Tab 2'!$C$33/$N$5*Q$5</f>
        <v>1358.1590788908718</v>
      </c>
      <c r="R15" s="214">
        <f>'Tab 2'!$C$33/$N$5*R$5</f>
        <v>1561.8829407245025</v>
      </c>
      <c r="S15" s="214">
        <f>'Tab 2'!$C$33/$N$5*S$5</f>
        <v>1426.0670328354154</v>
      </c>
    </row>
    <row r="16" spans="1:19" x14ac:dyDescent="0.2">
      <c r="A16" s="6" t="s">
        <v>100</v>
      </c>
      <c r="B16" s="214">
        <f>'Tab 2'!$F$15/$N$5*B$5</f>
        <v>0</v>
      </c>
      <c r="C16" s="214">
        <f>'Tab 2'!$F$15/$N$5*C$5</f>
        <v>0</v>
      </c>
      <c r="D16" s="214">
        <f>'Tab 2'!$F$15/$N$5*D$5</f>
        <v>0</v>
      </c>
      <c r="E16" s="214">
        <f>'Tab 2'!$F$15/$N$5*E$5</f>
        <v>0</v>
      </c>
      <c r="F16" s="214">
        <f>'Tab 2'!$F$15/$N$5*F$5</f>
        <v>0</v>
      </c>
      <c r="G16" s="214">
        <f>'Tab 2'!$F$15/$N$5*G$5</f>
        <v>0</v>
      </c>
      <c r="H16" s="214">
        <f>'Tab 2'!$F$15/$N$5*H$5</f>
        <v>0</v>
      </c>
      <c r="I16" s="214">
        <f>'Tab 2'!$F$15/$N$5*I$5</f>
        <v>0</v>
      </c>
      <c r="J16" s="214">
        <f>'Tab 2'!$F$15/$N$5*J$5</f>
        <v>0</v>
      </c>
      <c r="K16" s="214">
        <f>'Tab 2'!$F$15/$N$5*K$5</f>
        <v>0</v>
      </c>
      <c r="L16" s="214">
        <f>'Tab 2'!$F$15/$N$5*L$5</f>
        <v>0</v>
      </c>
      <c r="M16" s="214">
        <f>'Tab 2'!$F$15/$N$5*M$5</f>
        <v>0</v>
      </c>
      <c r="N16" s="7">
        <f>SUM(B16:M16)</f>
        <v>0</v>
      </c>
      <c r="P16" s="214">
        <f>'Tab 2'!$F$33/$N$5*P$5</f>
        <v>0</v>
      </c>
      <c r="Q16" s="214">
        <f>'Tab 2'!$F$33/$N$5*Q$5</f>
        <v>0</v>
      </c>
      <c r="R16" s="214">
        <f>'Tab 2'!$F$33/$N$5*R$5</f>
        <v>0</v>
      </c>
      <c r="S16" s="214">
        <f>'Tab 2'!$F$33/$N$5*S$5</f>
        <v>0</v>
      </c>
    </row>
    <row r="17" spans="1:19" x14ac:dyDescent="0.2">
      <c r="A17" s="6" t="s">
        <v>70</v>
      </c>
      <c r="B17" s="214">
        <f>'Tab 2'!$I$15/$N$5*B$5</f>
        <v>2008.3404255319151</v>
      </c>
      <c r="C17" s="214">
        <f>'Tab 2'!$I$15/$N$5*C$5</f>
        <v>2231.489361702128</v>
      </c>
      <c r="D17" s="214">
        <f>'Tab 2'!$I$15/$N$5*D$5</f>
        <v>2566.2127659574471</v>
      </c>
      <c r="E17" s="214">
        <f>'Tab 2'!$I$15/$N$5*E$5</f>
        <v>2343.0638297872342</v>
      </c>
      <c r="F17" s="214">
        <f>'Tab 2'!$I$15/$N$5*F$5</f>
        <v>2343.0638297872342</v>
      </c>
      <c r="G17" s="214">
        <f>'Tab 2'!$I$15/$N$5*G$5</f>
        <v>2454.6382978723404</v>
      </c>
      <c r="H17" s="214">
        <f>'Tab 2'!$I$15/$N$5*H$5</f>
        <v>2454.6382978723404</v>
      </c>
      <c r="I17" s="214">
        <f>'Tab 2'!$I$15/$N$5*I$5</f>
        <v>1338.8936170212767</v>
      </c>
      <c r="J17" s="214">
        <f>'Tab 2'!$I$15/$N$5*J$5</f>
        <v>2454.6382978723404</v>
      </c>
      <c r="K17" s="214">
        <f>'Tab 2'!$I$15/$N$5*K$5</f>
        <v>2343.0638297872342</v>
      </c>
      <c r="L17" s="214">
        <f>'Tab 2'!$I$15/$N$5*L$5</f>
        <v>2343.0638297872342</v>
      </c>
      <c r="M17" s="214">
        <f>'Tab 2'!$I$15/$N$5*M$5</f>
        <v>1338.8936170212767</v>
      </c>
      <c r="N17" s="7">
        <f>SUM(B17:M17)</f>
        <v>26220.000000000004</v>
      </c>
      <c r="P17" s="214">
        <f>'Tab 2'!$I$33/$N$5*P$5</f>
        <v>2169.0076595744681</v>
      </c>
      <c r="Q17" s="214">
        <f>'Tab 2'!$I$33/$N$5*Q$5</f>
        <v>2410.0085106382976</v>
      </c>
      <c r="R17" s="214">
        <f>'Tab 2'!$I$33/$N$5*R$5</f>
        <v>2771.5097872340425</v>
      </c>
      <c r="S17" s="214">
        <f>'Tab 2'!$I$33/$N$5*S$5</f>
        <v>2530.5089361702126</v>
      </c>
    </row>
    <row r="18" spans="1:19" ht="17" thickBot="1" x14ac:dyDescent="0.25">
      <c r="A18" s="8" t="s">
        <v>3</v>
      </c>
      <c r="B18" s="9">
        <f t="shared" ref="B18:R18" si="3">SUM(B15:B17)</f>
        <v>3206.7160833768021</v>
      </c>
      <c r="C18" s="9">
        <f t="shared" si="3"/>
        <v>3563.0178704186692</v>
      </c>
      <c r="D18" s="9">
        <f t="shared" si="3"/>
        <v>4097.4705509814694</v>
      </c>
      <c r="E18" s="9">
        <f t="shared" si="3"/>
        <v>3741.1687639396023</v>
      </c>
      <c r="F18" s="9">
        <f t="shared" si="3"/>
        <v>3741.1687639396023</v>
      </c>
      <c r="G18" s="9">
        <f t="shared" si="3"/>
        <v>3919.3196574605354</v>
      </c>
      <c r="H18" s="9">
        <f t="shared" si="3"/>
        <v>3919.3196574605354</v>
      </c>
      <c r="I18" s="9">
        <f t="shared" si="3"/>
        <v>2137.8107222512012</v>
      </c>
      <c r="J18" s="9">
        <f t="shared" si="3"/>
        <v>3919.3196574605354</v>
      </c>
      <c r="K18" s="9">
        <f t="shared" si="3"/>
        <v>3741.1687639396023</v>
      </c>
      <c r="L18" s="9">
        <f t="shared" si="3"/>
        <v>3741.1687639396023</v>
      </c>
      <c r="M18" s="9">
        <f t="shared" si="3"/>
        <v>2137.8107222512012</v>
      </c>
      <c r="N18" s="9">
        <f t="shared" si="3"/>
        <v>41865.459977419363</v>
      </c>
      <c r="P18" s="9">
        <f t="shared" si="3"/>
        <v>3391.3508305762525</v>
      </c>
      <c r="Q18" s="9">
        <f t="shared" si="3"/>
        <v>3768.1675895291692</v>
      </c>
      <c r="R18" s="9">
        <f t="shared" si="3"/>
        <v>4333.392727958545</v>
      </c>
      <c r="S18" s="9">
        <f t="shared" ref="S18" si="4">SUM(S15:S17)</f>
        <v>3956.5759690056279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5838C-D911-D347-B649-C01EDEEC66D0}">
  <sheetPr codeName="Foglio6">
    <tabColor indexed="13"/>
  </sheetPr>
  <dimension ref="A2:M14"/>
  <sheetViews>
    <sheetView zoomScale="166" zoomScaleNormal="120" workbookViewId="0">
      <selection activeCell="M36" sqref="M36"/>
    </sheetView>
  </sheetViews>
  <sheetFormatPr baseColWidth="10" defaultRowHeight="13" x14ac:dyDescent="0.15"/>
  <sheetData>
    <row r="2" spans="1:13" ht="21" x14ac:dyDescent="0.25">
      <c r="A2" s="56" t="s">
        <v>40</v>
      </c>
    </row>
    <row r="3" spans="1:13" ht="14" thickBot="1" x14ac:dyDescent="0.2"/>
    <row r="4" spans="1:13" ht="16" x14ac:dyDescent="0.2">
      <c r="A4" s="215" t="s">
        <v>91</v>
      </c>
      <c r="B4" s="216" t="s">
        <v>11</v>
      </c>
      <c r="C4" s="216" t="s">
        <v>12</v>
      </c>
      <c r="D4" s="216" t="s">
        <v>13</v>
      </c>
      <c r="E4" s="216" t="s">
        <v>14</v>
      </c>
      <c r="F4" s="216" t="s">
        <v>15</v>
      </c>
      <c r="G4" s="216" t="s">
        <v>16</v>
      </c>
      <c r="H4" s="216" t="s">
        <v>17</v>
      </c>
      <c r="I4" s="216" t="s">
        <v>18</v>
      </c>
      <c r="J4" s="216" t="s">
        <v>19</v>
      </c>
      <c r="K4" s="216" t="s">
        <v>20</v>
      </c>
      <c r="L4" s="216" t="s">
        <v>21</v>
      </c>
      <c r="M4" s="217" t="s">
        <v>22</v>
      </c>
    </row>
    <row r="5" spans="1:13" ht="16" x14ac:dyDescent="0.2">
      <c r="A5" s="218" t="s">
        <v>68</v>
      </c>
      <c r="B5" s="57">
        <f>+'Tab 2'!$D$14</f>
        <v>180</v>
      </c>
      <c r="C5" s="57">
        <f>+'Tab 2'!$D$14</f>
        <v>180</v>
      </c>
      <c r="D5" s="57">
        <f>+'Tab 2'!$D$14</f>
        <v>180</v>
      </c>
      <c r="E5" s="57">
        <f>+'Tab 2'!$D$14</f>
        <v>180</v>
      </c>
      <c r="F5" s="57">
        <f>+'Tab 2'!$D$14</f>
        <v>180</v>
      </c>
      <c r="G5" s="57">
        <f>+'Tab 2'!$D$14</f>
        <v>180</v>
      </c>
      <c r="H5" s="57">
        <f>+'Tab 2'!$D$14</f>
        <v>180</v>
      </c>
      <c r="I5" s="57">
        <f>+'Tab 2'!$D$14</f>
        <v>180</v>
      </c>
      <c r="J5" s="57">
        <f>+'Tab 2'!$D$14</f>
        <v>180</v>
      </c>
      <c r="K5" s="57">
        <f>+'Tab 2'!$D$14</f>
        <v>180</v>
      </c>
      <c r="L5" s="57">
        <f>+'Tab 2'!$D$14</f>
        <v>180</v>
      </c>
      <c r="M5" s="220">
        <f>+'Tab 2'!$D$14</f>
        <v>180</v>
      </c>
    </row>
    <row r="6" spans="1:13" ht="16" x14ac:dyDescent="0.2">
      <c r="A6" s="218" t="s">
        <v>100</v>
      </c>
      <c r="B6" s="57">
        <f>'Tab 2'!$G$14</f>
        <v>180</v>
      </c>
      <c r="C6" s="57">
        <f>'Tab 2'!$G$14</f>
        <v>180</v>
      </c>
      <c r="D6" s="57">
        <f>'Tab 2'!$G$14</f>
        <v>180</v>
      </c>
      <c r="E6" s="57">
        <f>'Tab 2'!$G$14</f>
        <v>180</v>
      </c>
      <c r="F6" s="57">
        <f>'Tab 2'!$G$14</f>
        <v>180</v>
      </c>
      <c r="G6" s="57">
        <f>'Tab 2'!$G$14</f>
        <v>180</v>
      </c>
      <c r="H6" s="57">
        <f>'Tab 2'!$G$14</f>
        <v>180</v>
      </c>
      <c r="I6" s="57">
        <f>'Tab 2'!$G$14</f>
        <v>180</v>
      </c>
      <c r="J6" s="57">
        <f>'Tab 2'!$G$14</f>
        <v>180</v>
      </c>
      <c r="K6" s="57">
        <f>'Tab 2'!$G$14</f>
        <v>180</v>
      </c>
      <c r="L6" s="57">
        <f>'Tab 2'!$G$14</f>
        <v>180</v>
      </c>
      <c r="M6" s="220">
        <f>'Tab 2'!$G$14</f>
        <v>180</v>
      </c>
    </row>
    <row r="7" spans="1:13" ht="17" thickBot="1" x14ac:dyDescent="0.25">
      <c r="A7" s="219" t="s">
        <v>70</v>
      </c>
      <c r="B7" s="58">
        <f>'Tab 2'!$J$14</f>
        <v>180</v>
      </c>
      <c r="C7" s="58">
        <f>'Tab 2'!$J$14</f>
        <v>180</v>
      </c>
      <c r="D7" s="58">
        <f>'Tab 2'!$J$14</f>
        <v>180</v>
      </c>
      <c r="E7" s="58">
        <f>'Tab 2'!$J$14</f>
        <v>180</v>
      </c>
      <c r="F7" s="58">
        <f>'Tab 2'!$J$14</f>
        <v>180</v>
      </c>
      <c r="G7" s="58">
        <f>'Tab 2'!$J$14</f>
        <v>180</v>
      </c>
      <c r="H7" s="58">
        <f>'Tab 2'!$J$14</f>
        <v>180</v>
      </c>
      <c r="I7" s="58">
        <f>'Tab 2'!$J$14</f>
        <v>180</v>
      </c>
      <c r="J7" s="58">
        <f>'Tab 2'!$J$14</f>
        <v>180</v>
      </c>
      <c r="K7" s="58">
        <f>'Tab 2'!$J$14</f>
        <v>180</v>
      </c>
      <c r="L7" s="58">
        <f>'Tab 2'!$J$14</f>
        <v>180</v>
      </c>
      <c r="M7" s="221">
        <f>'Tab 2'!$J$14</f>
        <v>180</v>
      </c>
    </row>
    <row r="8" spans="1:13" ht="16" x14ac:dyDescent="0.2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ht="16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7" thickBo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6" x14ac:dyDescent="0.2">
      <c r="A11" s="215" t="s">
        <v>92</v>
      </c>
      <c r="B11" s="216" t="s">
        <v>11</v>
      </c>
      <c r="C11" s="216" t="s">
        <v>12</v>
      </c>
      <c r="D11" s="216" t="s">
        <v>13</v>
      </c>
      <c r="E11" s="216" t="s">
        <v>14</v>
      </c>
      <c r="F11" s="216" t="s">
        <v>15</v>
      </c>
      <c r="G11" s="216" t="s">
        <v>16</v>
      </c>
      <c r="H11" s="216" t="s">
        <v>17</v>
      </c>
      <c r="I11" s="216" t="s">
        <v>18</v>
      </c>
      <c r="J11" s="216" t="s">
        <v>19</v>
      </c>
      <c r="K11" s="216" t="s">
        <v>20</v>
      </c>
      <c r="L11" s="216" t="s">
        <v>21</v>
      </c>
      <c r="M11" s="217" t="s">
        <v>22</v>
      </c>
    </row>
    <row r="12" spans="1:13" ht="16" x14ac:dyDescent="0.2">
      <c r="A12" s="218" t="s">
        <v>68</v>
      </c>
      <c r="B12" s="57">
        <f>'Tab 2'!$D$15</f>
        <v>500</v>
      </c>
      <c r="C12" s="57">
        <f>'Tab 2'!$D$15</f>
        <v>500</v>
      </c>
      <c r="D12" s="57">
        <f>'Tab 2'!$D$15</f>
        <v>500</v>
      </c>
      <c r="E12" s="57">
        <f>'Tab 2'!$D$15</f>
        <v>500</v>
      </c>
      <c r="F12" s="57">
        <f>'Tab 2'!$D$15</f>
        <v>500</v>
      </c>
      <c r="G12" s="57">
        <f>'Tab 2'!$D$15</f>
        <v>500</v>
      </c>
      <c r="H12" s="57">
        <f>'Tab 2'!$D$15</f>
        <v>500</v>
      </c>
      <c r="I12" s="57">
        <f>'Tab 2'!$D$15</f>
        <v>500</v>
      </c>
      <c r="J12" s="57">
        <f>'Tab 2'!$D$15</f>
        <v>500</v>
      </c>
      <c r="K12" s="57">
        <f>'Tab 2'!$D$15</f>
        <v>500</v>
      </c>
      <c r="L12" s="57">
        <f>'Tab 2'!$D$15</f>
        <v>500</v>
      </c>
      <c r="M12" s="220">
        <f>'Tab 2'!$D$15</f>
        <v>500</v>
      </c>
    </row>
    <row r="13" spans="1:13" ht="16" x14ac:dyDescent="0.2">
      <c r="A13" s="218" t="s">
        <v>100</v>
      </c>
      <c r="B13" s="57">
        <f>'Tab 2'!$G$15</f>
        <v>500</v>
      </c>
      <c r="C13" s="57">
        <f>'Tab 2'!$G$15</f>
        <v>500</v>
      </c>
      <c r="D13" s="57">
        <f>'Tab 2'!$G$15</f>
        <v>500</v>
      </c>
      <c r="E13" s="57">
        <f>'Tab 2'!$G$15</f>
        <v>500</v>
      </c>
      <c r="F13" s="57">
        <f>'Tab 2'!$G$15</f>
        <v>500</v>
      </c>
      <c r="G13" s="57">
        <f>'Tab 2'!$G$15</f>
        <v>500</v>
      </c>
      <c r="H13" s="57">
        <f>'Tab 2'!$G$15</f>
        <v>500</v>
      </c>
      <c r="I13" s="57">
        <f>'Tab 2'!$G$15</f>
        <v>500</v>
      </c>
      <c r="J13" s="57">
        <f>'Tab 2'!$G$15</f>
        <v>500</v>
      </c>
      <c r="K13" s="57">
        <f>'Tab 2'!$G$15</f>
        <v>500</v>
      </c>
      <c r="L13" s="57">
        <f>'Tab 2'!$G$15</f>
        <v>500</v>
      </c>
      <c r="M13" s="220">
        <f>'Tab 2'!$G$15</f>
        <v>500</v>
      </c>
    </row>
    <row r="14" spans="1:13" ht="17" thickBot="1" x14ac:dyDescent="0.25">
      <c r="A14" s="219" t="s">
        <v>70</v>
      </c>
      <c r="B14" s="58">
        <f>'Tab 2'!$J$15</f>
        <v>500</v>
      </c>
      <c r="C14" s="58">
        <f>'Tab 2'!$J$15</f>
        <v>500</v>
      </c>
      <c r="D14" s="58">
        <f>'Tab 2'!$J$15</f>
        <v>500</v>
      </c>
      <c r="E14" s="58">
        <f>'Tab 2'!$J$15</f>
        <v>500</v>
      </c>
      <c r="F14" s="58">
        <f>'Tab 2'!$J$15</f>
        <v>500</v>
      </c>
      <c r="G14" s="58">
        <f>'Tab 2'!$J$15</f>
        <v>500</v>
      </c>
      <c r="H14" s="58">
        <f>'Tab 2'!$J$15</f>
        <v>500</v>
      </c>
      <c r="I14" s="58">
        <f>'Tab 2'!$J$15</f>
        <v>500</v>
      </c>
      <c r="J14" s="58">
        <f>'Tab 2'!$J$15</f>
        <v>500</v>
      </c>
      <c r="K14" s="58">
        <f>'Tab 2'!$J$15</f>
        <v>500</v>
      </c>
      <c r="L14" s="58">
        <f>'Tab 2'!$J$15</f>
        <v>500</v>
      </c>
      <c r="M14" s="221">
        <f>'Tab 2'!$J$15</f>
        <v>500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7">
    <tabColor indexed="13"/>
  </sheetPr>
  <dimension ref="A2:P79"/>
  <sheetViews>
    <sheetView topLeftCell="A37" zoomScale="140" zoomScaleNormal="140" workbookViewId="0">
      <selection activeCell="M10" sqref="M10"/>
    </sheetView>
  </sheetViews>
  <sheetFormatPr baseColWidth="10" defaultColWidth="9.1640625" defaultRowHeight="16" x14ac:dyDescent="0.2"/>
  <cols>
    <col min="1" max="1" width="22.6640625" style="3" customWidth="1"/>
    <col min="2" max="2" width="11.1640625" style="3" bestFit="1" customWidth="1"/>
    <col min="3" max="13" width="12.83203125" style="3" customWidth="1"/>
    <col min="14" max="14" width="12.6640625" style="3" customWidth="1"/>
    <col min="15" max="15" width="9.1640625" style="3"/>
    <col min="16" max="16" width="12.33203125" style="3" customWidth="1"/>
    <col min="17" max="16384" width="9.1640625" style="3"/>
  </cols>
  <sheetData>
    <row r="2" spans="1:16" ht="17" thickBot="1" x14ac:dyDescent="0.25"/>
    <row r="3" spans="1:16" x14ac:dyDescent="0.2">
      <c r="A3" s="5" t="s">
        <v>109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  <c r="L3" s="5" t="s">
        <v>21</v>
      </c>
      <c r="M3" s="5" t="s">
        <v>22</v>
      </c>
      <c r="N3" s="49" t="s">
        <v>10</v>
      </c>
    </row>
    <row r="4" spans="1:16" x14ac:dyDescent="0.2">
      <c r="A4" s="3" t="s">
        <v>35</v>
      </c>
      <c r="B4" s="50">
        <f>B29+B77+B52</f>
        <v>52287.943518874396</v>
      </c>
      <c r="C4" s="50">
        <f t="shared" ref="C4:M4" si="0">C29+C77+C52</f>
        <v>58097.715020971547</v>
      </c>
      <c r="D4" s="50">
        <f t="shared" si="0"/>
        <v>66812.372274117282</v>
      </c>
      <c r="E4" s="50">
        <f t="shared" si="0"/>
        <v>61002.600772020123</v>
      </c>
      <c r="F4" s="50">
        <f t="shared" si="0"/>
        <v>61002.600772020123</v>
      </c>
      <c r="G4" s="50">
        <f t="shared" si="0"/>
        <v>63907.486523068699</v>
      </c>
      <c r="H4" s="50">
        <f t="shared" si="0"/>
        <v>63907.486523068699</v>
      </c>
      <c r="I4" s="50">
        <f t="shared" si="0"/>
        <v>34858.629012582925</v>
      </c>
      <c r="J4" s="50">
        <f t="shared" si="0"/>
        <v>63907.486523068699</v>
      </c>
      <c r="K4" s="50">
        <f t="shared" si="0"/>
        <v>61002.600772020123</v>
      </c>
      <c r="L4" s="50">
        <f t="shared" si="0"/>
        <v>61002.600772020123</v>
      </c>
      <c r="M4" s="50">
        <f t="shared" si="0"/>
        <v>34858.629012582925</v>
      </c>
      <c r="N4" s="51">
        <f>SUM(B4:M4)</f>
        <v>682648.15149641572</v>
      </c>
    </row>
    <row r="5" spans="1:16" x14ac:dyDescent="0.2">
      <c r="A5" s="3" t="s">
        <v>36</v>
      </c>
      <c r="B5" s="69">
        <f>B6/B4</f>
        <v>179.99999999999997</v>
      </c>
      <c r="C5" s="69">
        <f t="shared" ref="C5:M5" si="1">C6/C4</f>
        <v>180</v>
      </c>
      <c r="D5" s="69">
        <f t="shared" si="1"/>
        <v>179.99999999999997</v>
      </c>
      <c r="E5" s="69">
        <f t="shared" si="1"/>
        <v>180</v>
      </c>
      <c r="F5" s="69">
        <f t="shared" si="1"/>
        <v>180</v>
      </c>
      <c r="G5" s="69">
        <f t="shared" si="1"/>
        <v>180</v>
      </c>
      <c r="H5" s="69">
        <f t="shared" si="1"/>
        <v>180</v>
      </c>
      <c r="I5" s="69">
        <f t="shared" si="1"/>
        <v>180</v>
      </c>
      <c r="J5" s="69">
        <f t="shared" si="1"/>
        <v>180</v>
      </c>
      <c r="K5" s="69">
        <f t="shared" si="1"/>
        <v>180</v>
      </c>
      <c r="L5" s="69">
        <f t="shared" si="1"/>
        <v>180</v>
      </c>
      <c r="M5" s="69">
        <f t="shared" si="1"/>
        <v>180</v>
      </c>
      <c r="N5" s="70">
        <f>N6/N4</f>
        <v>180</v>
      </c>
      <c r="P5" s="3" t="s">
        <v>104</v>
      </c>
    </row>
    <row r="6" spans="1:16" x14ac:dyDescent="0.2">
      <c r="A6" s="12" t="s">
        <v>37</v>
      </c>
      <c r="B6" s="52">
        <f>B31+B79+B54</f>
        <v>9411829.8333973903</v>
      </c>
      <c r="C6" s="52">
        <f t="shared" ref="C6:M6" si="2">C31+C79+C54</f>
        <v>10457588.703774879</v>
      </c>
      <c r="D6" s="52">
        <f t="shared" si="2"/>
        <v>12026227.00934111</v>
      </c>
      <c r="E6" s="52">
        <f t="shared" si="2"/>
        <v>10980468.138963623</v>
      </c>
      <c r="F6" s="52">
        <f t="shared" si="2"/>
        <v>10980468.138963623</v>
      </c>
      <c r="G6" s="52">
        <f t="shared" si="2"/>
        <v>11503347.574152365</v>
      </c>
      <c r="H6" s="52">
        <f t="shared" si="2"/>
        <v>11503347.574152365</v>
      </c>
      <c r="I6" s="52">
        <f t="shared" si="2"/>
        <v>6274553.2222649269</v>
      </c>
      <c r="J6" s="52">
        <f t="shared" si="2"/>
        <v>11503347.574152365</v>
      </c>
      <c r="K6" s="52">
        <f t="shared" si="2"/>
        <v>10980468.138963623</v>
      </c>
      <c r="L6" s="52">
        <f t="shared" si="2"/>
        <v>10980468.138963623</v>
      </c>
      <c r="M6" s="52">
        <f t="shared" si="2"/>
        <v>6274553.2222649269</v>
      </c>
      <c r="N6" s="53">
        <f>SUM(B6:M6)</f>
        <v>122876667.26935484</v>
      </c>
      <c r="P6" s="82">
        <f>+N6-'Tab 3'!AA36</f>
        <v>0</v>
      </c>
    </row>
    <row r="27" spans="1:14" ht="17" thickBot="1" x14ac:dyDescent="0.25"/>
    <row r="28" spans="1:14" x14ac:dyDescent="0.2">
      <c r="A28" s="5" t="s">
        <v>110</v>
      </c>
      <c r="B28" s="5" t="s">
        <v>11</v>
      </c>
      <c r="C28" s="5" t="s">
        <v>12</v>
      </c>
      <c r="D28" s="5" t="s">
        <v>13</v>
      </c>
      <c r="E28" s="5" t="s">
        <v>14</v>
      </c>
      <c r="F28" s="5" t="s">
        <v>15</v>
      </c>
      <c r="G28" s="5" t="s">
        <v>16</v>
      </c>
      <c r="H28" s="5" t="s">
        <v>17</v>
      </c>
      <c r="I28" s="5" t="s">
        <v>18</v>
      </c>
      <c r="J28" s="5" t="s">
        <v>19</v>
      </c>
      <c r="K28" s="5" t="s">
        <v>20</v>
      </c>
      <c r="L28" s="5" t="s">
        <v>21</v>
      </c>
      <c r="M28" s="5" t="s">
        <v>22</v>
      </c>
      <c r="N28" s="49" t="s">
        <v>10</v>
      </c>
    </row>
    <row r="29" spans="1:14" x14ac:dyDescent="0.2">
      <c r="A29" s="3" t="s">
        <v>35</v>
      </c>
      <c r="B29" s="50">
        <f>QUANTITÀ!B8</f>
        <v>18863.320540150991</v>
      </c>
      <c r="C29" s="50">
        <f>QUANTITÀ!C8</f>
        <v>20959.245044612213</v>
      </c>
      <c r="D29" s="50">
        <f>QUANTITÀ!D8</f>
        <v>24103.131801304044</v>
      </c>
      <c r="E29" s="50">
        <f>QUANTITÀ!E8</f>
        <v>22007.207296842822</v>
      </c>
      <c r="F29" s="50">
        <f>QUANTITÀ!F8</f>
        <v>22007.207296842822</v>
      </c>
      <c r="G29" s="50">
        <f>QUANTITÀ!G8</f>
        <v>23055.169549073435</v>
      </c>
      <c r="H29" s="50">
        <f>QUANTITÀ!H8</f>
        <v>23055.169549073435</v>
      </c>
      <c r="I29" s="50">
        <f>QUANTITÀ!I8</f>
        <v>12575.547026767326</v>
      </c>
      <c r="J29" s="50">
        <f>QUANTITÀ!J8</f>
        <v>23055.169549073435</v>
      </c>
      <c r="K29" s="50">
        <f>QUANTITÀ!K8</f>
        <v>22007.207296842822</v>
      </c>
      <c r="L29" s="50">
        <f>QUANTITÀ!L8</f>
        <v>22007.207296842822</v>
      </c>
      <c r="M29" s="50">
        <f>QUANTITÀ!M8</f>
        <v>12575.547026767326</v>
      </c>
      <c r="N29" s="51">
        <f>SUM(B29:M29)</f>
        <v>246271.12927419355</v>
      </c>
    </row>
    <row r="30" spans="1:14" x14ac:dyDescent="0.2">
      <c r="A30" s="3" t="s">
        <v>36</v>
      </c>
      <c r="B30" s="69">
        <f>PREZZI!B5</f>
        <v>180</v>
      </c>
      <c r="C30" s="69">
        <f>PREZZI!C5</f>
        <v>180</v>
      </c>
      <c r="D30" s="69">
        <f>PREZZI!D5</f>
        <v>180</v>
      </c>
      <c r="E30" s="69">
        <f>PREZZI!E5</f>
        <v>180</v>
      </c>
      <c r="F30" s="69">
        <f>PREZZI!F5</f>
        <v>180</v>
      </c>
      <c r="G30" s="69">
        <f>PREZZI!G5</f>
        <v>180</v>
      </c>
      <c r="H30" s="69">
        <f>PREZZI!H5</f>
        <v>180</v>
      </c>
      <c r="I30" s="69">
        <f>PREZZI!I5</f>
        <v>180</v>
      </c>
      <c r="J30" s="69">
        <f>PREZZI!J5</f>
        <v>180</v>
      </c>
      <c r="K30" s="69">
        <f>PREZZI!K5</f>
        <v>180</v>
      </c>
      <c r="L30" s="69">
        <f>PREZZI!L5</f>
        <v>180</v>
      </c>
      <c r="M30" s="69">
        <f>PREZZI!M5</f>
        <v>180</v>
      </c>
      <c r="N30" s="70">
        <f>(N31)/N29</f>
        <v>180.00000000000003</v>
      </c>
    </row>
    <row r="31" spans="1:14" x14ac:dyDescent="0.2">
      <c r="A31" s="12" t="s">
        <v>37</v>
      </c>
      <c r="B31" s="52">
        <f>B29*B30</f>
        <v>3395397.6972271786</v>
      </c>
      <c r="C31" s="52">
        <f t="shared" ref="C31:M31" si="3">C29*C30</f>
        <v>3772664.1080301981</v>
      </c>
      <c r="D31" s="52">
        <f t="shared" si="3"/>
        <v>4338563.7242347281</v>
      </c>
      <c r="E31" s="52">
        <f t="shared" si="3"/>
        <v>3961297.3134317081</v>
      </c>
      <c r="F31" s="52">
        <f t="shared" si="3"/>
        <v>3961297.3134317081</v>
      </c>
      <c r="G31" s="52">
        <f t="shared" si="3"/>
        <v>4149930.5188332181</v>
      </c>
      <c r="H31" s="52">
        <f t="shared" si="3"/>
        <v>4149930.5188332181</v>
      </c>
      <c r="I31" s="52">
        <f t="shared" si="3"/>
        <v>2263598.4648181186</v>
      </c>
      <c r="J31" s="52">
        <f t="shared" si="3"/>
        <v>4149930.5188332181</v>
      </c>
      <c r="K31" s="52">
        <f t="shared" si="3"/>
        <v>3961297.3134317081</v>
      </c>
      <c r="L31" s="52">
        <f t="shared" si="3"/>
        <v>3961297.3134317081</v>
      </c>
      <c r="M31" s="52">
        <f t="shared" si="3"/>
        <v>2263598.4648181186</v>
      </c>
      <c r="N31" s="53">
        <f>SUM(B31:M31)</f>
        <v>44328803.269354843</v>
      </c>
    </row>
    <row r="50" spans="1:14" ht="17" thickBot="1" x14ac:dyDescent="0.25"/>
    <row r="51" spans="1:14" x14ac:dyDescent="0.2">
      <c r="A51" s="5" t="s">
        <v>111</v>
      </c>
      <c r="B51" s="5" t="s">
        <v>11</v>
      </c>
      <c r="C51" s="5" t="s">
        <v>12</v>
      </c>
      <c r="D51" s="5" t="s">
        <v>13</v>
      </c>
      <c r="E51" s="5" t="s">
        <v>14</v>
      </c>
      <c r="F51" s="5" t="s">
        <v>15</v>
      </c>
      <c r="G51" s="5" t="s">
        <v>16</v>
      </c>
      <c r="H51" s="5" t="s">
        <v>17</v>
      </c>
      <c r="I51" s="5" t="s">
        <v>18</v>
      </c>
      <c r="J51" s="5" t="s">
        <v>19</v>
      </c>
      <c r="K51" s="5" t="s">
        <v>20</v>
      </c>
      <c r="L51" s="5" t="s">
        <v>21</v>
      </c>
      <c r="M51" s="5" t="s">
        <v>22</v>
      </c>
      <c r="N51" s="49" t="s">
        <v>10</v>
      </c>
    </row>
    <row r="52" spans="1:14" x14ac:dyDescent="0.2">
      <c r="A52" s="3" t="s">
        <v>35</v>
      </c>
      <c r="B52" s="50">
        <f>+QUANTITÀ!B9</f>
        <v>33131.005957446803</v>
      </c>
      <c r="C52" s="50">
        <f>+QUANTITÀ!C9</f>
        <v>36812.228841607561</v>
      </c>
      <c r="D52" s="50">
        <f>+QUANTITÀ!D9</f>
        <v>42334.063167848697</v>
      </c>
      <c r="E52" s="50">
        <f>+QUANTITÀ!E9</f>
        <v>38652.84028368794</v>
      </c>
      <c r="F52" s="50">
        <f>+QUANTITÀ!F9</f>
        <v>38652.84028368794</v>
      </c>
      <c r="G52" s="50">
        <f>+QUANTITÀ!G9</f>
        <v>40493.451725768318</v>
      </c>
      <c r="H52" s="50">
        <f>+QUANTITÀ!H9</f>
        <v>40493.451725768318</v>
      </c>
      <c r="I52" s="50">
        <f>+QUANTITÀ!I9</f>
        <v>22087.337304964538</v>
      </c>
      <c r="J52" s="50">
        <f>+QUANTITÀ!J9</f>
        <v>40493.451725768318</v>
      </c>
      <c r="K52" s="50">
        <f>+QUANTITÀ!K9</f>
        <v>38652.84028368794</v>
      </c>
      <c r="L52" s="50">
        <f>+QUANTITÀ!L9</f>
        <v>38652.84028368794</v>
      </c>
      <c r="M52" s="50">
        <f>+QUANTITÀ!M9</f>
        <v>22087.337304964538</v>
      </c>
      <c r="N52" s="51">
        <f>SUM(B52:M52)</f>
        <v>432543.68888888886</v>
      </c>
    </row>
    <row r="53" spans="1:14" x14ac:dyDescent="0.2">
      <c r="A53" s="3" t="s">
        <v>36</v>
      </c>
      <c r="B53" s="69">
        <f>+PREZZI!B6</f>
        <v>180</v>
      </c>
      <c r="C53" s="69">
        <f>+PREZZI!C6</f>
        <v>180</v>
      </c>
      <c r="D53" s="69">
        <f>+PREZZI!D6</f>
        <v>180</v>
      </c>
      <c r="E53" s="69">
        <f>+PREZZI!E6</f>
        <v>180</v>
      </c>
      <c r="F53" s="69">
        <f>+PREZZI!F6</f>
        <v>180</v>
      </c>
      <c r="G53" s="69">
        <f>+PREZZI!G6</f>
        <v>180</v>
      </c>
      <c r="H53" s="69">
        <f>+PREZZI!H6</f>
        <v>180</v>
      </c>
      <c r="I53" s="69">
        <f>+PREZZI!I6</f>
        <v>180</v>
      </c>
      <c r="J53" s="69">
        <f>+PREZZI!J6</f>
        <v>180</v>
      </c>
      <c r="K53" s="69">
        <f>+PREZZI!K6</f>
        <v>180</v>
      </c>
      <c r="L53" s="69">
        <f>+PREZZI!L6</f>
        <v>180</v>
      </c>
      <c r="M53" s="69">
        <f>+PREZZI!M6</f>
        <v>180</v>
      </c>
      <c r="N53" s="70">
        <f>(N54)/N52</f>
        <v>180</v>
      </c>
    </row>
    <row r="54" spans="1:14" x14ac:dyDescent="0.2">
      <c r="A54" s="12" t="s">
        <v>37</v>
      </c>
      <c r="B54" s="52">
        <f>B52*B53</f>
        <v>5963581.0723404242</v>
      </c>
      <c r="C54" s="52">
        <f t="shared" ref="C54:M54" si="4">C52*C53</f>
        <v>6626201.1914893612</v>
      </c>
      <c r="D54" s="52">
        <f t="shared" si="4"/>
        <v>7620131.3702127654</v>
      </c>
      <c r="E54" s="52">
        <f t="shared" si="4"/>
        <v>6957511.2510638293</v>
      </c>
      <c r="F54" s="52">
        <f t="shared" si="4"/>
        <v>6957511.2510638293</v>
      </c>
      <c r="G54" s="52">
        <f t="shared" si="4"/>
        <v>7288821.3106382973</v>
      </c>
      <c r="H54" s="52">
        <f t="shared" si="4"/>
        <v>7288821.3106382973</v>
      </c>
      <c r="I54" s="52">
        <f t="shared" si="4"/>
        <v>3975720.7148936167</v>
      </c>
      <c r="J54" s="52">
        <f t="shared" si="4"/>
        <v>7288821.3106382973</v>
      </c>
      <c r="K54" s="52">
        <f t="shared" si="4"/>
        <v>6957511.2510638293</v>
      </c>
      <c r="L54" s="52">
        <f t="shared" si="4"/>
        <v>6957511.2510638293</v>
      </c>
      <c r="M54" s="52">
        <f t="shared" si="4"/>
        <v>3975720.7148936167</v>
      </c>
      <c r="N54" s="53">
        <f>SUM(B54:M54)</f>
        <v>77857864</v>
      </c>
    </row>
    <row r="75" spans="1:14" ht="17" thickBot="1" x14ac:dyDescent="0.25"/>
    <row r="76" spans="1:14" x14ac:dyDescent="0.2">
      <c r="A76" s="5" t="s">
        <v>112</v>
      </c>
      <c r="B76" s="5" t="s">
        <v>11</v>
      </c>
      <c r="C76" s="5" t="s">
        <v>12</v>
      </c>
      <c r="D76" s="5" t="s">
        <v>13</v>
      </c>
      <c r="E76" s="5" t="s">
        <v>14</v>
      </c>
      <c r="F76" s="5" t="s">
        <v>15</v>
      </c>
      <c r="G76" s="5" t="s">
        <v>16</v>
      </c>
      <c r="H76" s="5" t="s">
        <v>17</v>
      </c>
      <c r="I76" s="5" t="s">
        <v>18</v>
      </c>
      <c r="J76" s="5" t="s">
        <v>19</v>
      </c>
      <c r="K76" s="5" t="s">
        <v>20</v>
      </c>
      <c r="L76" s="5" t="s">
        <v>21</v>
      </c>
      <c r="M76" s="5" t="s">
        <v>22</v>
      </c>
      <c r="N76" s="49" t="s">
        <v>10</v>
      </c>
    </row>
    <row r="77" spans="1:14" x14ac:dyDescent="0.2">
      <c r="A77" s="3" t="s">
        <v>35</v>
      </c>
      <c r="B77" s="50">
        <f>QUANTITÀ!B10</f>
        <v>293.61702127659601</v>
      </c>
      <c r="C77" s="50">
        <f>QUANTITÀ!C10</f>
        <v>326.2411347517733</v>
      </c>
      <c r="D77" s="50">
        <f>QUANTITÀ!D10</f>
        <v>375.1773049645393</v>
      </c>
      <c r="E77" s="50">
        <f>QUANTITÀ!E10</f>
        <v>342.55319148936201</v>
      </c>
      <c r="F77" s="50">
        <f>QUANTITÀ!F10</f>
        <v>342.55319148936201</v>
      </c>
      <c r="G77" s="50">
        <f>QUANTITÀ!G10</f>
        <v>358.86524822695065</v>
      </c>
      <c r="H77" s="50">
        <f>QUANTITÀ!H10</f>
        <v>358.86524822695065</v>
      </c>
      <c r="I77" s="50">
        <f>QUANTITÀ!I10</f>
        <v>195.744680851064</v>
      </c>
      <c r="J77" s="50">
        <f>QUANTITÀ!J10</f>
        <v>358.86524822695065</v>
      </c>
      <c r="K77" s="50">
        <f>QUANTITÀ!K10</f>
        <v>342.55319148936201</v>
      </c>
      <c r="L77" s="50">
        <f>QUANTITÀ!L10</f>
        <v>342.55319148936201</v>
      </c>
      <c r="M77" s="50">
        <f>QUANTITÀ!M10</f>
        <v>195.744680851064</v>
      </c>
      <c r="N77" s="51">
        <f>SUM(B77:M77)</f>
        <v>3833.3333333333367</v>
      </c>
    </row>
    <row r="78" spans="1:14" x14ac:dyDescent="0.2">
      <c r="A78" s="3" t="s">
        <v>36</v>
      </c>
      <c r="B78" s="69">
        <f>PREZZI!B7</f>
        <v>180</v>
      </c>
      <c r="C78" s="69">
        <f>PREZZI!C7</f>
        <v>180</v>
      </c>
      <c r="D78" s="69">
        <f>PREZZI!D7</f>
        <v>180</v>
      </c>
      <c r="E78" s="69">
        <f>PREZZI!E7</f>
        <v>180</v>
      </c>
      <c r="F78" s="69">
        <f>PREZZI!F7</f>
        <v>180</v>
      </c>
      <c r="G78" s="69">
        <f>PREZZI!G7</f>
        <v>180</v>
      </c>
      <c r="H78" s="69">
        <f>PREZZI!H7</f>
        <v>180</v>
      </c>
      <c r="I78" s="69">
        <f>PREZZI!I7</f>
        <v>180</v>
      </c>
      <c r="J78" s="69">
        <f>PREZZI!J7</f>
        <v>180</v>
      </c>
      <c r="K78" s="69">
        <f>PREZZI!K7</f>
        <v>180</v>
      </c>
      <c r="L78" s="69">
        <f>PREZZI!L7</f>
        <v>180</v>
      </c>
      <c r="M78" s="69">
        <f>PREZZI!M7</f>
        <v>180</v>
      </c>
      <c r="N78" s="70">
        <f>(N79*1000)/N77</f>
        <v>180000.00000000003</v>
      </c>
    </row>
    <row r="79" spans="1:14" x14ac:dyDescent="0.2">
      <c r="A79" s="12" t="s">
        <v>37</v>
      </c>
      <c r="B79" s="52">
        <f>B77*B78</f>
        <v>52851.063829787279</v>
      </c>
      <c r="C79" s="52">
        <f t="shared" ref="C79:M79" si="5">C77*C78</f>
        <v>58723.404255319198</v>
      </c>
      <c r="D79" s="52">
        <f t="shared" si="5"/>
        <v>67531.914893617068</v>
      </c>
      <c r="E79" s="52">
        <f t="shared" si="5"/>
        <v>61659.574468085164</v>
      </c>
      <c r="F79" s="52">
        <f t="shared" si="5"/>
        <v>61659.574468085164</v>
      </c>
      <c r="G79" s="52">
        <f t="shared" si="5"/>
        <v>64595.744680851116</v>
      </c>
      <c r="H79" s="52">
        <f t="shared" si="5"/>
        <v>64595.744680851116</v>
      </c>
      <c r="I79" s="52">
        <f t="shared" si="5"/>
        <v>35234.042553191524</v>
      </c>
      <c r="J79" s="52">
        <f t="shared" si="5"/>
        <v>64595.744680851116</v>
      </c>
      <c r="K79" s="52">
        <f t="shared" si="5"/>
        <v>61659.574468085164</v>
      </c>
      <c r="L79" s="52">
        <f t="shared" si="5"/>
        <v>61659.574468085164</v>
      </c>
      <c r="M79" s="52">
        <f t="shared" si="5"/>
        <v>35234.042553191524</v>
      </c>
      <c r="N79" s="53">
        <f>SUM(B79:M79)</f>
        <v>690000.0000000007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8">
    <tabColor indexed="13"/>
  </sheetPr>
  <dimension ref="A2:P84"/>
  <sheetViews>
    <sheetView zoomScale="140" zoomScaleNormal="140" workbookViewId="0">
      <selection activeCell="O16" sqref="O16"/>
    </sheetView>
  </sheetViews>
  <sheetFormatPr baseColWidth="10" defaultColWidth="9.1640625" defaultRowHeight="16" x14ac:dyDescent="0.2"/>
  <cols>
    <col min="1" max="1" width="23.5" style="6" bestFit="1" customWidth="1"/>
    <col min="2" max="5" width="11.5" style="3" bestFit="1" customWidth="1"/>
    <col min="6" max="13" width="10.5" style="3" bestFit="1" customWidth="1"/>
    <col min="14" max="14" width="13.5" style="3" bestFit="1" customWidth="1"/>
    <col min="15" max="16384" width="9.1640625" style="3"/>
  </cols>
  <sheetData>
    <row r="2" spans="1:16" ht="17" thickBot="1" x14ac:dyDescent="0.25"/>
    <row r="3" spans="1:16" x14ac:dyDescent="0.2">
      <c r="A3" s="215" t="s">
        <v>105</v>
      </c>
      <c r="B3" s="216" t="s">
        <v>11</v>
      </c>
      <c r="C3" s="216" t="s">
        <v>12</v>
      </c>
      <c r="D3" s="216" t="s">
        <v>13</v>
      </c>
      <c r="E3" s="216" t="s">
        <v>14</v>
      </c>
      <c r="F3" s="216" t="s">
        <v>15</v>
      </c>
      <c r="G3" s="216" t="s">
        <v>16</v>
      </c>
      <c r="H3" s="216" t="s">
        <v>17</v>
      </c>
      <c r="I3" s="216" t="s">
        <v>18</v>
      </c>
      <c r="J3" s="216" t="s">
        <v>19</v>
      </c>
      <c r="K3" s="216" t="s">
        <v>20</v>
      </c>
      <c r="L3" s="216" t="s">
        <v>21</v>
      </c>
      <c r="M3" s="216" t="s">
        <v>22</v>
      </c>
      <c r="N3" s="222" t="s">
        <v>10</v>
      </c>
    </row>
    <row r="4" spans="1:16" x14ac:dyDescent="0.2">
      <c r="A4" s="218" t="s">
        <v>35</v>
      </c>
      <c r="B4" s="50">
        <f t="shared" ref="B4:M4" si="0">B29+B54+B79</f>
        <v>3206.7160833768021</v>
      </c>
      <c r="C4" s="50">
        <f t="shared" si="0"/>
        <v>3563.0178704186692</v>
      </c>
      <c r="D4" s="50">
        <f t="shared" si="0"/>
        <v>4097.4705509814694</v>
      </c>
      <c r="E4" s="50">
        <f t="shared" si="0"/>
        <v>3741.1687639396023</v>
      </c>
      <c r="F4" s="50">
        <f t="shared" si="0"/>
        <v>3741.1687639396023</v>
      </c>
      <c r="G4" s="50">
        <f t="shared" si="0"/>
        <v>3919.3196574605354</v>
      </c>
      <c r="H4" s="50">
        <f t="shared" si="0"/>
        <v>3919.3196574605354</v>
      </c>
      <c r="I4" s="50">
        <f t="shared" si="0"/>
        <v>2137.8107222512012</v>
      </c>
      <c r="J4" s="50">
        <f t="shared" si="0"/>
        <v>3919.3196574605354</v>
      </c>
      <c r="K4" s="50">
        <f t="shared" si="0"/>
        <v>3741.1687639396023</v>
      </c>
      <c r="L4" s="50">
        <f t="shared" si="0"/>
        <v>3741.1687639396023</v>
      </c>
      <c r="M4" s="50">
        <f t="shared" si="0"/>
        <v>2137.8107222512012</v>
      </c>
      <c r="N4" s="223">
        <f>SUM(B4:M4)</f>
        <v>41865.459977419363</v>
      </c>
    </row>
    <row r="5" spans="1:16" x14ac:dyDescent="0.2">
      <c r="A5" s="218" t="s">
        <v>36</v>
      </c>
      <c r="B5" s="59">
        <f>B6/B4</f>
        <v>500</v>
      </c>
      <c r="C5" s="59">
        <f t="shared" ref="C5:M5" si="1">C6/C4</f>
        <v>499.99999999999994</v>
      </c>
      <c r="D5" s="59">
        <f t="shared" si="1"/>
        <v>500</v>
      </c>
      <c r="E5" s="59">
        <f t="shared" si="1"/>
        <v>500</v>
      </c>
      <c r="F5" s="59">
        <f t="shared" si="1"/>
        <v>500</v>
      </c>
      <c r="G5" s="59">
        <f t="shared" si="1"/>
        <v>499.99999999999994</v>
      </c>
      <c r="H5" s="59">
        <f t="shared" si="1"/>
        <v>499.99999999999994</v>
      </c>
      <c r="I5" s="59">
        <f t="shared" si="1"/>
        <v>499.99999999999994</v>
      </c>
      <c r="J5" s="59">
        <f t="shared" si="1"/>
        <v>499.99999999999994</v>
      </c>
      <c r="K5" s="59">
        <f t="shared" si="1"/>
        <v>500</v>
      </c>
      <c r="L5" s="59">
        <f t="shared" si="1"/>
        <v>500</v>
      </c>
      <c r="M5" s="59">
        <f t="shared" si="1"/>
        <v>499.99999999999994</v>
      </c>
      <c r="N5" s="224">
        <f>N6/N4</f>
        <v>499.99999999999989</v>
      </c>
      <c r="P5" s="3" t="s">
        <v>104</v>
      </c>
    </row>
    <row r="6" spans="1:16" ht="17" thickBot="1" x14ac:dyDescent="0.25">
      <c r="A6" s="37" t="s">
        <v>37</v>
      </c>
      <c r="B6" s="225">
        <f t="shared" ref="B6:M6" si="2">B31+B56+B81</f>
        <v>1603358.041688401</v>
      </c>
      <c r="C6" s="225">
        <f t="shared" si="2"/>
        <v>1781508.9352093344</v>
      </c>
      <c r="D6" s="225">
        <f t="shared" si="2"/>
        <v>2048735.2754907347</v>
      </c>
      <c r="E6" s="225">
        <f t="shared" si="2"/>
        <v>1870584.3819698012</v>
      </c>
      <c r="F6" s="225">
        <f t="shared" si="2"/>
        <v>1870584.3819698012</v>
      </c>
      <c r="G6" s="225">
        <f t="shared" si="2"/>
        <v>1959659.8287302675</v>
      </c>
      <c r="H6" s="225">
        <f t="shared" si="2"/>
        <v>1959659.8287302675</v>
      </c>
      <c r="I6" s="225">
        <f t="shared" si="2"/>
        <v>1068905.3611256005</v>
      </c>
      <c r="J6" s="225">
        <f t="shared" si="2"/>
        <v>1959659.8287302675</v>
      </c>
      <c r="K6" s="225">
        <f t="shared" si="2"/>
        <v>1870584.3819698012</v>
      </c>
      <c r="L6" s="225">
        <f t="shared" si="2"/>
        <v>1870584.3819698012</v>
      </c>
      <c r="M6" s="225">
        <f t="shared" si="2"/>
        <v>1068905.3611256005</v>
      </c>
      <c r="N6" s="226">
        <f>SUM(B6:M6)</f>
        <v>20932729.988709677</v>
      </c>
      <c r="P6" s="82">
        <f>+N6-'Tab 3'!AA42</f>
        <v>0</v>
      </c>
    </row>
    <row r="25" spans="1:14" ht="17" thickBot="1" x14ac:dyDescent="0.25">
      <c r="A25" s="72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</row>
    <row r="26" spans="1:14" ht="17" thickTop="1" x14ac:dyDescent="0.2"/>
    <row r="27" spans="1:14" ht="17" thickBot="1" x14ac:dyDescent="0.25"/>
    <row r="28" spans="1:14" x14ac:dyDescent="0.2">
      <c r="A28" s="215" t="s">
        <v>106</v>
      </c>
      <c r="B28" s="216" t="s">
        <v>11</v>
      </c>
      <c r="C28" s="216" t="s">
        <v>12</v>
      </c>
      <c r="D28" s="216" t="s">
        <v>13</v>
      </c>
      <c r="E28" s="216" t="s">
        <v>14</v>
      </c>
      <c r="F28" s="216" t="s">
        <v>15</v>
      </c>
      <c r="G28" s="216" t="s">
        <v>16</v>
      </c>
      <c r="H28" s="216" t="s">
        <v>17</v>
      </c>
      <c r="I28" s="216" t="s">
        <v>18</v>
      </c>
      <c r="J28" s="216" t="s">
        <v>19</v>
      </c>
      <c r="K28" s="216" t="s">
        <v>20</v>
      </c>
      <c r="L28" s="216" t="s">
        <v>21</v>
      </c>
      <c r="M28" s="216" t="s">
        <v>22</v>
      </c>
      <c r="N28" s="222" t="s">
        <v>10</v>
      </c>
    </row>
    <row r="29" spans="1:14" x14ac:dyDescent="0.2">
      <c r="A29" s="218" t="s">
        <v>35</v>
      </c>
      <c r="B29" s="50">
        <f>QUANTITÀ!B15</f>
        <v>1198.375657844887</v>
      </c>
      <c r="C29" s="50">
        <f>QUANTITÀ!C15</f>
        <v>1331.528508716541</v>
      </c>
      <c r="D29" s="50">
        <f>QUANTITÀ!D15</f>
        <v>1531.257785024022</v>
      </c>
      <c r="E29" s="50">
        <f>QUANTITÀ!E15</f>
        <v>1398.1049341523681</v>
      </c>
      <c r="F29" s="50">
        <f>QUANTITÀ!F15</f>
        <v>1398.1049341523681</v>
      </c>
      <c r="G29" s="50">
        <f>QUANTITÀ!G15</f>
        <v>1464.6813595881949</v>
      </c>
      <c r="H29" s="50">
        <f>QUANTITÀ!H15</f>
        <v>1464.6813595881949</v>
      </c>
      <c r="I29" s="50">
        <f>QUANTITÀ!I15</f>
        <v>798.91710522992457</v>
      </c>
      <c r="J29" s="50">
        <f>QUANTITÀ!J15</f>
        <v>1464.6813595881949</v>
      </c>
      <c r="K29" s="50">
        <f>QUANTITÀ!K15</f>
        <v>1398.1049341523681</v>
      </c>
      <c r="L29" s="50">
        <f>QUANTITÀ!L15</f>
        <v>1398.1049341523681</v>
      </c>
      <c r="M29" s="50">
        <f>QUANTITÀ!M15</f>
        <v>798.91710522992457</v>
      </c>
      <c r="N29" s="223">
        <f>SUM(B29:M29)</f>
        <v>15645.459977419356</v>
      </c>
    </row>
    <row r="30" spans="1:14" x14ac:dyDescent="0.2">
      <c r="A30" s="218" t="s">
        <v>36</v>
      </c>
      <c r="B30" s="59">
        <f>PREZZI!B12</f>
        <v>500</v>
      </c>
      <c r="C30" s="59">
        <f>PREZZI!C12</f>
        <v>500</v>
      </c>
      <c r="D30" s="59">
        <f>PREZZI!D12</f>
        <v>500</v>
      </c>
      <c r="E30" s="59">
        <f>PREZZI!E12</f>
        <v>500</v>
      </c>
      <c r="F30" s="59">
        <f>PREZZI!F12</f>
        <v>500</v>
      </c>
      <c r="G30" s="59">
        <f>PREZZI!G12</f>
        <v>500</v>
      </c>
      <c r="H30" s="59">
        <f>PREZZI!H12</f>
        <v>500</v>
      </c>
      <c r="I30" s="59">
        <f>PREZZI!I12</f>
        <v>500</v>
      </c>
      <c r="J30" s="59">
        <f>PREZZI!J12</f>
        <v>500</v>
      </c>
      <c r="K30" s="59">
        <f>PREZZI!K12</f>
        <v>500</v>
      </c>
      <c r="L30" s="59">
        <f>PREZZI!L12</f>
        <v>500</v>
      </c>
      <c r="M30" s="59">
        <f>PREZZI!M12</f>
        <v>500</v>
      </c>
      <c r="N30" s="224">
        <f>N31/N29</f>
        <v>500.00000000000006</v>
      </c>
    </row>
    <row r="31" spans="1:14" ht="17" thickBot="1" x14ac:dyDescent="0.25">
      <c r="A31" s="37" t="s">
        <v>37</v>
      </c>
      <c r="B31" s="225">
        <f>B29*B30</f>
        <v>599187.82892244344</v>
      </c>
      <c r="C31" s="225">
        <f t="shared" ref="C31:M31" si="3">C29*C30</f>
        <v>665764.25435827044</v>
      </c>
      <c r="D31" s="225">
        <f t="shared" si="3"/>
        <v>765628.89251201099</v>
      </c>
      <c r="E31" s="225">
        <f t="shared" si="3"/>
        <v>699052.467076184</v>
      </c>
      <c r="F31" s="225">
        <f t="shared" si="3"/>
        <v>699052.467076184</v>
      </c>
      <c r="G31" s="225">
        <f t="shared" si="3"/>
        <v>732340.67979409744</v>
      </c>
      <c r="H31" s="225">
        <f t="shared" si="3"/>
        <v>732340.67979409744</v>
      </c>
      <c r="I31" s="225">
        <f t="shared" si="3"/>
        <v>399458.55261496227</v>
      </c>
      <c r="J31" s="225">
        <f t="shared" si="3"/>
        <v>732340.67979409744</v>
      </c>
      <c r="K31" s="225">
        <f t="shared" si="3"/>
        <v>699052.467076184</v>
      </c>
      <c r="L31" s="225">
        <f t="shared" si="3"/>
        <v>699052.467076184</v>
      </c>
      <c r="M31" s="225">
        <f t="shared" si="3"/>
        <v>399458.55261496227</v>
      </c>
      <c r="N31" s="226">
        <f>SUM(B31:M31)</f>
        <v>7822729.9887096789</v>
      </c>
    </row>
    <row r="52" spans="1:14" ht="17" thickBot="1" x14ac:dyDescent="0.25"/>
    <row r="53" spans="1:14" x14ac:dyDescent="0.2">
      <c r="A53" s="215" t="s">
        <v>107</v>
      </c>
      <c r="B53" s="216" t="s">
        <v>11</v>
      </c>
      <c r="C53" s="216" t="s">
        <v>12</v>
      </c>
      <c r="D53" s="216" t="s">
        <v>13</v>
      </c>
      <c r="E53" s="216" t="s">
        <v>14</v>
      </c>
      <c r="F53" s="216" t="s">
        <v>15</v>
      </c>
      <c r="G53" s="216" t="s">
        <v>16</v>
      </c>
      <c r="H53" s="216" t="s">
        <v>17</v>
      </c>
      <c r="I53" s="216" t="s">
        <v>18</v>
      </c>
      <c r="J53" s="216" t="s">
        <v>19</v>
      </c>
      <c r="K53" s="216" t="s">
        <v>20</v>
      </c>
      <c r="L53" s="216" t="s">
        <v>21</v>
      </c>
      <c r="M53" s="216" t="s">
        <v>22</v>
      </c>
      <c r="N53" s="222" t="s">
        <v>10</v>
      </c>
    </row>
    <row r="54" spans="1:14" x14ac:dyDescent="0.2">
      <c r="A54" s="218" t="s">
        <v>35</v>
      </c>
      <c r="B54" s="50">
        <f>QUANTITÀ!B16</f>
        <v>0</v>
      </c>
      <c r="C54" s="50">
        <f>QUANTITÀ!C16</f>
        <v>0</v>
      </c>
      <c r="D54" s="50">
        <f>QUANTITÀ!D16</f>
        <v>0</v>
      </c>
      <c r="E54" s="50">
        <f>QUANTITÀ!E16</f>
        <v>0</v>
      </c>
      <c r="F54" s="50">
        <f>QUANTITÀ!F16</f>
        <v>0</v>
      </c>
      <c r="G54" s="50">
        <f>QUANTITÀ!G16</f>
        <v>0</v>
      </c>
      <c r="H54" s="50">
        <f>QUANTITÀ!H16</f>
        <v>0</v>
      </c>
      <c r="I54" s="50">
        <f>QUANTITÀ!I16</f>
        <v>0</v>
      </c>
      <c r="J54" s="50">
        <f>QUANTITÀ!J16</f>
        <v>0</v>
      </c>
      <c r="K54" s="50">
        <f>QUANTITÀ!K16</f>
        <v>0</v>
      </c>
      <c r="L54" s="50">
        <f>QUANTITÀ!L16</f>
        <v>0</v>
      </c>
      <c r="M54" s="50">
        <f>QUANTITÀ!M16</f>
        <v>0</v>
      </c>
      <c r="N54" s="223">
        <f>SUM(B54:M54)</f>
        <v>0</v>
      </c>
    </row>
    <row r="55" spans="1:14" x14ac:dyDescent="0.2">
      <c r="A55" s="218" t="s">
        <v>36</v>
      </c>
      <c r="B55" s="59">
        <f>PREZZI!B13</f>
        <v>500</v>
      </c>
      <c r="C55" s="59">
        <f>PREZZI!C13</f>
        <v>500</v>
      </c>
      <c r="D55" s="59">
        <f>PREZZI!D13</f>
        <v>500</v>
      </c>
      <c r="E55" s="59">
        <f>PREZZI!E13</f>
        <v>500</v>
      </c>
      <c r="F55" s="59">
        <f>PREZZI!F13</f>
        <v>500</v>
      </c>
      <c r="G55" s="59">
        <f>PREZZI!G13</f>
        <v>500</v>
      </c>
      <c r="H55" s="59">
        <f>PREZZI!H13</f>
        <v>500</v>
      </c>
      <c r="I55" s="59">
        <f>PREZZI!I13</f>
        <v>500</v>
      </c>
      <c r="J55" s="59">
        <f>PREZZI!J13</f>
        <v>500</v>
      </c>
      <c r="K55" s="59">
        <f>PREZZI!K13</f>
        <v>500</v>
      </c>
      <c r="L55" s="59">
        <f>PREZZI!L13</f>
        <v>500</v>
      </c>
      <c r="M55" s="59">
        <f>PREZZI!M13</f>
        <v>500</v>
      </c>
      <c r="N55" s="224">
        <f>IFERROR(N56/N54,0)</f>
        <v>0</v>
      </c>
    </row>
    <row r="56" spans="1:14" ht="17" thickBot="1" x14ac:dyDescent="0.25">
      <c r="A56" s="37" t="s">
        <v>37</v>
      </c>
      <c r="B56" s="225">
        <f>B54*B55</f>
        <v>0</v>
      </c>
      <c r="C56" s="225">
        <f t="shared" ref="C56:M56" si="4">C54*C55</f>
        <v>0</v>
      </c>
      <c r="D56" s="225">
        <f t="shared" si="4"/>
        <v>0</v>
      </c>
      <c r="E56" s="225">
        <f t="shared" si="4"/>
        <v>0</v>
      </c>
      <c r="F56" s="225">
        <f t="shared" si="4"/>
        <v>0</v>
      </c>
      <c r="G56" s="225">
        <f t="shared" si="4"/>
        <v>0</v>
      </c>
      <c r="H56" s="225">
        <f t="shared" si="4"/>
        <v>0</v>
      </c>
      <c r="I56" s="225">
        <f t="shared" si="4"/>
        <v>0</v>
      </c>
      <c r="J56" s="225">
        <f t="shared" si="4"/>
        <v>0</v>
      </c>
      <c r="K56" s="225">
        <f t="shared" si="4"/>
        <v>0</v>
      </c>
      <c r="L56" s="225">
        <f t="shared" si="4"/>
        <v>0</v>
      </c>
      <c r="M56" s="225">
        <f t="shared" si="4"/>
        <v>0</v>
      </c>
      <c r="N56" s="226">
        <f>SUM(B56:M56)</f>
        <v>0</v>
      </c>
    </row>
    <row r="77" spans="1:14" ht="17" thickBot="1" x14ac:dyDescent="0.25"/>
    <row r="78" spans="1:14" x14ac:dyDescent="0.2">
      <c r="A78" s="215" t="s">
        <v>108</v>
      </c>
      <c r="B78" s="216" t="s">
        <v>11</v>
      </c>
      <c r="C78" s="216" t="s">
        <v>12</v>
      </c>
      <c r="D78" s="216" t="s">
        <v>13</v>
      </c>
      <c r="E78" s="216" t="s">
        <v>14</v>
      </c>
      <c r="F78" s="216" t="s">
        <v>15</v>
      </c>
      <c r="G78" s="216" t="s">
        <v>16</v>
      </c>
      <c r="H78" s="216" t="s">
        <v>17</v>
      </c>
      <c r="I78" s="216" t="s">
        <v>18</v>
      </c>
      <c r="J78" s="216" t="s">
        <v>19</v>
      </c>
      <c r="K78" s="216" t="s">
        <v>20</v>
      </c>
      <c r="L78" s="216" t="s">
        <v>21</v>
      </c>
      <c r="M78" s="216" t="s">
        <v>22</v>
      </c>
      <c r="N78" s="222" t="s">
        <v>10</v>
      </c>
    </row>
    <row r="79" spans="1:14" x14ac:dyDescent="0.2">
      <c r="A79" s="218" t="s">
        <v>35</v>
      </c>
      <c r="B79" s="50">
        <f>QUANTITÀ!B17</f>
        <v>2008.3404255319151</v>
      </c>
      <c r="C79" s="50">
        <f>QUANTITÀ!C17</f>
        <v>2231.489361702128</v>
      </c>
      <c r="D79" s="50">
        <f>QUANTITÀ!D17</f>
        <v>2566.2127659574471</v>
      </c>
      <c r="E79" s="50">
        <f>QUANTITÀ!E17</f>
        <v>2343.0638297872342</v>
      </c>
      <c r="F79" s="50">
        <f>QUANTITÀ!F17</f>
        <v>2343.0638297872342</v>
      </c>
      <c r="G79" s="50">
        <f>QUANTITÀ!G17</f>
        <v>2454.6382978723404</v>
      </c>
      <c r="H79" s="50">
        <f>QUANTITÀ!H17</f>
        <v>2454.6382978723404</v>
      </c>
      <c r="I79" s="50">
        <f>QUANTITÀ!I17</f>
        <v>1338.8936170212767</v>
      </c>
      <c r="J79" s="50">
        <f>QUANTITÀ!J17</f>
        <v>2454.6382978723404</v>
      </c>
      <c r="K79" s="50">
        <f>QUANTITÀ!K17</f>
        <v>2343.0638297872342</v>
      </c>
      <c r="L79" s="50">
        <f>QUANTITÀ!L17</f>
        <v>2343.0638297872342</v>
      </c>
      <c r="M79" s="50">
        <f>QUANTITÀ!M17</f>
        <v>1338.8936170212767</v>
      </c>
      <c r="N79" s="223">
        <f>SUM(B79:M79)</f>
        <v>26220.000000000004</v>
      </c>
    </row>
    <row r="80" spans="1:14" x14ac:dyDescent="0.2">
      <c r="A80" s="218" t="s">
        <v>36</v>
      </c>
      <c r="B80" s="59">
        <f>PREZZI!B14</f>
        <v>500</v>
      </c>
      <c r="C80" s="59">
        <f>PREZZI!C14</f>
        <v>500</v>
      </c>
      <c r="D80" s="59">
        <f>PREZZI!D14</f>
        <v>500</v>
      </c>
      <c r="E80" s="59">
        <f>PREZZI!E14</f>
        <v>500</v>
      </c>
      <c r="F80" s="59">
        <f>PREZZI!F14</f>
        <v>500</v>
      </c>
      <c r="G80" s="59">
        <f>PREZZI!G14</f>
        <v>500</v>
      </c>
      <c r="H80" s="59">
        <f>PREZZI!H14</f>
        <v>500</v>
      </c>
      <c r="I80" s="59">
        <f>PREZZI!I14</f>
        <v>500</v>
      </c>
      <c r="J80" s="59">
        <f>PREZZI!J14</f>
        <v>500</v>
      </c>
      <c r="K80" s="59">
        <f>PREZZI!K14</f>
        <v>500</v>
      </c>
      <c r="L80" s="59">
        <f>PREZZI!L14</f>
        <v>500</v>
      </c>
      <c r="M80" s="59">
        <f>PREZZI!M14</f>
        <v>500</v>
      </c>
      <c r="N80" s="224">
        <f>(N81*1000)/N79</f>
        <v>500000.00000000006</v>
      </c>
    </row>
    <row r="81" spans="1:14" ht="17" thickBot="1" x14ac:dyDescent="0.25">
      <c r="A81" s="37" t="s">
        <v>37</v>
      </c>
      <c r="B81" s="225">
        <f>B79*B80</f>
        <v>1004170.2127659576</v>
      </c>
      <c r="C81" s="225">
        <f t="shared" ref="C81:M81" si="5">C79*C80</f>
        <v>1115744.6808510639</v>
      </c>
      <c r="D81" s="225">
        <f t="shared" si="5"/>
        <v>1283106.3829787236</v>
      </c>
      <c r="E81" s="225">
        <f t="shared" si="5"/>
        <v>1171531.9148936172</v>
      </c>
      <c r="F81" s="225">
        <f t="shared" si="5"/>
        <v>1171531.9148936172</v>
      </c>
      <c r="G81" s="225">
        <f t="shared" si="5"/>
        <v>1227319.1489361702</v>
      </c>
      <c r="H81" s="225">
        <f t="shared" si="5"/>
        <v>1227319.1489361702</v>
      </c>
      <c r="I81" s="225">
        <f t="shared" si="5"/>
        <v>669446.80851063831</v>
      </c>
      <c r="J81" s="225">
        <f t="shared" si="5"/>
        <v>1227319.1489361702</v>
      </c>
      <c r="K81" s="225">
        <f t="shared" si="5"/>
        <v>1171531.9148936172</v>
      </c>
      <c r="L81" s="225">
        <f t="shared" si="5"/>
        <v>1171531.9148936172</v>
      </c>
      <c r="M81" s="225">
        <f t="shared" si="5"/>
        <v>669446.80851063831</v>
      </c>
      <c r="N81" s="226">
        <f>SUM(B81:M81)</f>
        <v>13110000.000000004</v>
      </c>
    </row>
    <row r="84" spans="1:14" x14ac:dyDescent="0.2">
      <c r="N84" s="55"/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C66B3-B8AA-2F48-B332-F0E1E07ED9B8}">
  <sheetPr codeName="Foglio10">
    <pageSetUpPr fitToPage="1"/>
  </sheetPr>
  <dimension ref="B2:U30"/>
  <sheetViews>
    <sheetView showGridLines="0" zoomScale="178" zoomScaleNormal="130" workbookViewId="0">
      <selection activeCell="B3" sqref="B3"/>
    </sheetView>
  </sheetViews>
  <sheetFormatPr baseColWidth="10" defaultRowHeight="17" customHeight="1" x14ac:dyDescent="0.15"/>
  <cols>
    <col min="1" max="1" width="10.83203125" style="228"/>
    <col min="2" max="2" width="25.6640625" style="228" customWidth="1"/>
    <col min="3" max="9" width="13.5" style="228" bestFit="1" customWidth="1"/>
    <col min="10" max="10" width="12.5" style="228" bestFit="1" customWidth="1"/>
    <col min="11" max="13" width="13.5" style="228" bestFit="1" customWidth="1"/>
    <col min="14" max="14" width="12.5" style="228" bestFit="1" customWidth="1"/>
    <col min="15" max="15" width="13.1640625" style="228" customWidth="1"/>
    <col min="16" max="16" width="4.1640625" style="228" customWidth="1"/>
    <col min="17" max="16384" width="10.83203125" style="228"/>
  </cols>
  <sheetData>
    <row r="2" spans="2:21" ht="17" customHeight="1" x14ac:dyDescent="0.15">
      <c r="B2" s="77" t="s">
        <v>810</v>
      </c>
    </row>
    <row r="3" spans="2:21" ht="17" customHeight="1" thickBot="1" x14ac:dyDescent="0.2"/>
    <row r="4" spans="2:21" ht="17" customHeight="1" thickBot="1" x14ac:dyDescent="0.2">
      <c r="B4" s="232" t="s">
        <v>129</v>
      </c>
    </row>
    <row r="5" spans="2:21" s="77" customFormat="1" ht="17" customHeight="1" x14ac:dyDescent="0.15">
      <c r="B5" s="229"/>
      <c r="C5" s="695" t="s">
        <v>98</v>
      </c>
      <c r="D5" s="653"/>
      <c r="E5" s="653"/>
      <c r="F5" s="653"/>
      <c r="G5" s="653"/>
      <c r="H5" s="653"/>
      <c r="I5" s="653"/>
      <c r="J5" s="653"/>
      <c r="K5" s="653"/>
      <c r="L5" s="653"/>
      <c r="M5" s="653"/>
      <c r="N5" s="653"/>
      <c r="O5" s="654"/>
      <c r="Q5" s="696" t="s">
        <v>134</v>
      </c>
      <c r="R5" s="697"/>
      <c r="S5" s="697"/>
      <c r="T5" s="698"/>
      <c r="U5" s="228"/>
    </row>
    <row r="6" spans="2:21" s="77" customFormat="1" ht="17" customHeight="1" x14ac:dyDescent="0.15">
      <c r="B6" s="238"/>
      <c r="C6" s="236" t="s">
        <v>113</v>
      </c>
      <c r="D6" s="236" t="s">
        <v>114</v>
      </c>
      <c r="E6" s="236" t="s">
        <v>115</v>
      </c>
      <c r="F6" s="236" t="s">
        <v>116</v>
      </c>
      <c r="G6" s="236" t="s">
        <v>117</v>
      </c>
      <c r="H6" s="236" t="s">
        <v>118</v>
      </c>
      <c r="I6" s="236" t="s">
        <v>119</v>
      </c>
      <c r="J6" s="236" t="s">
        <v>120</v>
      </c>
      <c r="K6" s="236" t="s">
        <v>121</v>
      </c>
      <c r="L6" s="236" t="s">
        <v>122</v>
      </c>
      <c r="M6" s="236" t="s">
        <v>123</v>
      </c>
      <c r="N6" s="236" t="s">
        <v>124</v>
      </c>
      <c r="O6" s="241" t="s">
        <v>81</v>
      </c>
      <c r="Q6" s="282" t="s">
        <v>113</v>
      </c>
      <c r="R6" s="236" t="s">
        <v>114</v>
      </c>
      <c r="S6" s="236" t="s">
        <v>115</v>
      </c>
      <c r="T6" s="283"/>
      <c r="U6" s="106"/>
    </row>
    <row r="7" spans="2:21" s="77" customFormat="1" ht="17" customHeight="1" x14ac:dyDescent="0.15">
      <c r="B7" s="141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237"/>
      <c r="Q7" s="230"/>
      <c r="T7" s="242"/>
    </row>
    <row r="8" spans="2:21" s="77" customFormat="1" ht="17" customHeight="1" x14ac:dyDescent="0.15">
      <c r="B8" s="141" t="s">
        <v>131</v>
      </c>
      <c r="C8" s="233">
        <v>125000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237"/>
      <c r="Q8" s="230"/>
      <c r="T8" s="242"/>
    </row>
    <row r="9" spans="2:21" s="77" customFormat="1" ht="17" customHeight="1" x14ac:dyDescent="0.15">
      <c r="B9" s="141" t="s">
        <v>132</v>
      </c>
      <c r="C9" s="247">
        <v>6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237"/>
      <c r="Q9" s="230"/>
      <c r="T9" s="242"/>
    </row>
    <row r="10" spans="2:21" s="77" customFormat="1" ht="17" customHeight="1" x14ac:dyDescent="0.15">
      <c r="B10" s="141" t="s">
        <v>133</v>
      </c>
      <c r="C10" s="106">
        <f>1/C9*360</f>
        <v>60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237"/>
      <c r="Q10" s="230"/>
      <c r="T10" s="242"/>
    </row>
    <row r="11" spans="2:21" s="77" customFormat="1" ht="17" customHeight="1" x14ac:dyDescent="0.15">
      <c r="B11" s="141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237"/>
      <c r="Q11" s="230"/>
      <c r="T11" s="242"/>
    </row>
    <row r="12" spans="2:21" s="77" customFormat="1" ht="23" customHeight="1" x14ac:dyDescent="0.15">
      <c r="B12" s="141" t="s">
        <v>130</v>
      </c>
      <c r="C12" s="246">
        <f>+C8</f>
        <v>125000</v>
      </c>
      <c r="D12" s="231">
        <f>+C14</f>
        <v>125797.19690665754</v>
      </c>
      <c r="E12" s="231">
        <f t="shared" ref="E12:N12" si="0">+D14</f>
        <v>127814.97304613743</v>
      </c>
      <c r="F12" s="231">
        <f t="shared" si="0"/>
        <v>128409.79302550908</v>
      </c>
      <c r="G12" s="231">
        <f t="shared" si="0"/>
        <v>129339.85608327619</v>
      </c>
      <c r="H12" s="231">
        <f t="shared" si="0"/>
        <v>130269.91914104328</v>
      </c>
      <c r="I12" s="231">
        <f t="shared" si="0"/>
        <v>131244.27091584686</v>
      </c>
      <c r="J12" s="231">
        <f t="shared" si="0"/>
        <v>124378.62269065049</v>
      </c>
      <c r="K12" s="231">
        <f t="shared" si="0"/>
        <v>124910.08729508883</v>
      </c>
      <c r="L12" s="231">
        <f t="shared" si="0"/>
        <v>122005.20154404026</v>
      </c>
      <c r="M12" s="231">
        <f t="shared" si="0"/>
        <v>114812.44144985588</v>
      </c>
      <c r="N12" s="231">
        <f t="shared" si="0"/>
        <v>115742.50450762297</v>
      </c>
      <c r="O12" s="158"/>
      <c r="Q12" s="278">
        <f>+N14</f>
        <v>108433.96911206131</v>
      </c>
      <c r="T12" s="242"/>
    </row>
    <row r="13" spans="2:21" s="77" customFormat="1" ht="23" customHeight="1" x14ac:dyDescent="0.15">
      <c r="B13" s="239" t="s">
        <v>137</v>
      </c>
      <c r="C13" s="231">
        <f>QUANTITÀ!B11</f>
        <v>52287.943518874388</v>
      </c>
      <c r="D13" s="231">
        <f>QUANTITÀ!C11</f>
        <v>58097.71502097154</v>
      </c>
      <c r="E13" s="231">
        <f>QUANTITÀ!D11</f>
        <v>66812.372274117282</v>
      </c>
      <c r="F13" s="231">
        <f>QUANTITÀ!E11</f>
        <v>61002.600772020131</v>
      </c>
      <c r="G13" s="231">
        <f>QUANTITÀ!F11</f>
        <v>61002.600772020131</v>
      </c>
      <c r="H13" s="231">
        <f>QUANTITÀ!G11</f>
        <v>63907.486523068706</v>
      </c>
      <c r="I13" s="231">
        <f>QUANTITÀ!H11</f>
        <v>63907.486523068706</v>
      </c>
      <c r="J13" s="231">
        <f>QUANTITÀ!I11</f>
        <v>34858.629012582933</v>
      </c>
      <c r="K13" s="231">
        <f>QUANTITÀ!J11</f>
        <v>63907.486523068706</v>
      </c>
      <c r="L13" s="231">
        <f>QUANTITÀ!K11</f>
        <v>61002.600772020131</v>
      </c>
      <c r="M13" s="231">
        <f>QUANTITÀ!L11</f>
        <v>61002.600772020131</v>
      </c>
      <c r="N13" s="231">
        <f>QUANTITÀ!M11</f>
        <v>34858.629012582933</v>
      </c>
      <c r="O13" s="158">
        <f>SUM(C13:N13)</f>
        <v>682648.15149641572</v>
      </c>
      <c r="Q13" s="243">
        <f>QUANTITÀ!P11</f>
        <v>51363.459053081671</v>
      </c>
      <c r="R13" s="234">
        <f>QUANTITÀ!Q11</f>
        <v>57070.510058979649</v>
      </c>
      <c r="S13" s="234">
        <f>QUANTITÀ!R11</f>
        <v>65631.086567826584</v>
      </c>
      <c r="T13" s="244">
        <f>QUANTITÀ!S11</f>
        <v>59924.03556192862</v>
      </c>
      <c r="U13" s="234"/>
    </row>
    <row r="14" spans="2:21" s="77" customFormat="1" ht="23" customHeight="1" thickBot="1" x14ac:dyDescent="0.2">
      <c r="B14" s="239" t="s">
        <v>135</v>
      </c>
      <c r="C14" s="231">
        <f>+C12-C13+C15</f>
        <v>125797.19690665754</v>
      </c>
      <c r="D14" s="231">
        <f t="shared" ref="D14:N14" si="1">+D12-D13+D15</f>
        <v>127814.97304613743</v>
      </c>
      <c r="E14" s="231">
        <f t="shared" si="1"/>
        <v>128409.79302550908</v>
      </c>
      <c r="F14" s="231">
        <f t="shared" si="1"/>
        <v>129339.85608327619</v>
      </c>
      <c r="G14" s="231">
        <f t="shared" si="1"/>
        <v>130269.91914104328</v>
      </c>
      <c r="H14" s="231">
        <f t="shared" si="1"/>
        <v>131244.27091584686</v>
      </c>
      <c r="I14" s="231">
        <f t="shared" si="1"/>
        <v>124378.62269065049</v>
      </c>
      <c r="J14" s="231">
        <f t="shared" si="1"/>
        <v>124910.08729508883</v>
      </c>
      <c r="K14" s="231">
        <f t="shared" si="1"/>
        <v>122005.20154404026</v>
      </c>
      <c r="L14" s="231">
        <f t="shared" si="1"/>
        <v>114812.44144985588</v>
      </c>
      <c r="M14" s="231">
        <f t="shared" si="1"/>
        <v>115742.50450762297</v>
      </c>
      <c r="N14" s="231">
        <f t="shared" si="1"/>
        <v>108433.96911206131</v>
      </c>
      <c r="O14" s="158"/>
      <c r="Q14" s="243">
        <f>(R13+S13)</f>
        <v>122701.59662680623</v>
      </c>
      <c r="T14" s="242"/>
    </row>
    <row r="15" spans="2:21" s="77" customFormat="1" ht="19" customHeight="1" thickBot="1" x14ac:dyDescent="0.2">
      <c r="B15" s="240" t="s">
        <v>136</v>
      </c>
      <c r="C15" s="463">
        <v>53085.140425531914</v>
      </c>
      <c r="D15" s="463">
        <v>60115.491160451427</v>
      </c>
      <c r="E15" s="463">
        <v>67407.192253488931</v>
      </c>
      <c r="F15" s="463">
        <v>61932.663829787234</v>
      </c>
      <c r="G15" s="463">
        <v>61932.663829787227</v>
      </c>
      <c r="H15" s="463">
        <v>64881.83829787228</v>
      </c>
      <c r="I15" s="463">
        <v>57041.838297872338</v>
      </c>
      <c r="J15" s="463">
        <v>35390.093617021274</v>
      </c>
      <c r="K15" s="463">
        <v>61002.600772020145</v>
      </c>
      <c r="L15" s="463">
        <v>53809.840677835746</v>
      </c>
      <c r="M15" s="463">
        <v>61932.663829787227</v>
      </c>
      <c r="N15" s="463">
        <v>27550.093617021277</v>
      </c>
      <c r="O15" s="245">
        <f>SUM(C15:N15)</f>
        <v>666082.12060847704</v>
      </c>
      <c r="Q15" s="279">
        <f t="shared" ref="Q15" si="2">(Q14-Q12+Q13)</f>
        <v>65631.086567826598</v>
      </c>
      <c r="R15" s="280"/>
      <c r="S15" s="280"/>
      <c r="T15" s="281"/>
    </row>
    <row r="16" spans="2:21" s="77" customFormat="1" ht="17" customHeight="1" thickBot="1" x14ac:dyDescent="0.2"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 t="e">
        <f>O15*#REF!</f>
        <v>#REF!</v>
      </c>
    </row>
    <row r="17" spans="2:21" ht="17" customHeight="1" thickBot="1" x14ac:dyDescent="0.2">
      <c r="B17" s="232" t="s">
        <v>140</v>
      </c>
      <c r="U17" s="77"/>
    </row>
    <row r="18" spans="2:21" s="77" customFormat="1" ht="17" customHeight="1" x14ac:dyDescent="0.15">
      <c r="B18" s="229"/>
      <c r="C18" s="695" t="s">
        <v>98</v>
      </c>
      <c r="D18" s="653"/>
      <c r="E18" s="653"/>
      <c r="F18" s="653"/>
      <c r="G18" s="653"/>
      <c r="H18" s="653"/>
      <c r="I18" s="653"/>
      <c r="J18" s="653"/>
      <c r="K18" s="653"/>
      <c r="L18" s="653"/>
      <c r="M18" s="653"/>
      <c r="N18" s="653"/>
      <c r="O18" s="654"/>
      <c r="Q18" s="696" t="s">
        <v>134</v>
      </c>
      <c r="R18" s="697"/>
      <c r="S18" s="697"/>
      <c r="T18" s="698"/>
    </row>
    <row r="19" spans="2:21" s="77" customFormat="1" ht="17" customHeight="1" x14ac:dyDescent="0.15">
      <c r="B19" s="238"/>
      <c r="C19" s="236" t="s">
        <v>113</v>
      </c>
      <c r="D19" s="236" t="s">
        <v>114</v>
      </c>
      <c r="E19" s="236" t="s">
        <v>115</v>
      </c>
      <c r="F19" s="236" t="s">
        <v>116</v>
      </c>
      <c r="G19" s="236" t="s">
        <v>117</v>
      </c>
      <c r="H19" s="236" t="s">
        <v>118</v>
      </c>
      <c r="I19" s="236" t="s">
        <v>119</v>
      </c>
      <c r="J19" s="236" t="s">
        <v>120</v>
      </c>
      <c r="K19" s="236" t="s">
        <v>121</v>
      </c>
      <c r="L19" s="236" t="s">
        <v>122</v>
      </c>
      <c r="M19" s="236" t="s">
        <v>123</v>
      </c>
      <c r="N19" s="236" t="s">
        <v>124</v>
      </c>
      <c r="O19" s="241" t="s">
        <v>81</v>
      </c>
      <c r="Q19" s="282" t="s">
        <v>113</v>
      </c>
      <c r="R19" s="236" t="s">
        <v>114</v>
      </c>
      <c r="S19" s="236" t="s">
        <v>115</v>
      </c>
      <c r="T19" s="283" t="s">
        <v>116</v>
      </c>
    </row>
    <row r="20" spans="2:21" s="77" customFormat="1" ht="17" customHeight="1" x14ac:dyDescent="0.15">
      <c r="B20" s="141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237"/>
      <c r="Q20" s="230"/>
      <c r="T20" s="242"/>
    </row>
    <row r="21" spans="2:21" s="77" customFormat="1" ht="17" customHeight="1" x14ac:dyDescent="0.15">
      <c r="B21" s="141" t="s">
        <v>131</v>
      </c>
      <c r="C21" s="233">
        <v>11000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237"/>
      <c r="Q21" s="230"/>
      <c r="T21" s="242"/>
    </row>
    <row r="22" spans="2:21" s="77" customFormat="1" ht="17" customHeight="1" x14ac:dyDescent="0.15">
      <c r="B22" s="141" t="s">
        <v>132</v>
      </c>
      <c r="C22" s="247">
        <v>4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237"/>
      <c r="Q22" s="230"/>
      <c r="T22" s="242"/>
    </row>
    <row r="23" spans="2:21" s="77" customFormat="1" ht="17" customHeight="1" x14ac:dyDescent="0.15">
      <c r="B23" s="141" t="s">
        <v>133</v>
      </c>
      <c r="C23" s="106">
        <f>1/C22*360</f>
        <v>90</v>
      </c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237"/>
      <c r="Q23" s="230"/>
      <c r="T23" s="242"/>
    </row>
    <row r="24" spans="2:21" s="77" customFormat="1" ht="17" customHeight="1" x14ac:dyDescent="0.15">
      <c r="B24" s="141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237"/>
      <c r="Q24" s="230"/>
      <c r="T24" s="242"/>
    </row>
    <row r="25" spans="2:21" s="77" customFormat="1" ht="23" customHeight="1" x14ac:dyDescent="0.15">
      <c r="B25" s="141" t="s">
        <v>130</v>
      </c>
      <c r="C25" s="246">
        <f>+C21</f>
        <v>11000</v>
      </c>
      <c r="D25" s="231">
        <f>+C27</f>
        <v>11401.657185339744</v>
      </c>
      <c r="E25" s="231">
        <f t="shared" ref="E25:N25" si="3">+D27</f>
        <v>11579.808078860689</v>
      </c>
      <c r="F25" s="231">
        <f t="shared" si="3"/>
        <v>11401.657185339765</v>
      </c>
      <c r="G25" s="231">
        <f t="shared" si="3"/>
        <v>11579.808078860695</v>
      </c>
      <c r="H25" s="231">
        <f t="shared" si="3"/>
        <v>10342.064669320549</v>
      </c>
      <c r="I25" s="231">
        <f t="shared" si="3"/>
        <v>10974.404586328095</v>
      </c>
      <c r="J25" s="231">
        <f t="shared" si="3"/>
        <v>11056.744503335645</v>
      </c>
      <c r="K25" s="231">
        <f t="shared" si="3"/>
        <v>11401.657185339764</v>
      </c>
      <c r="L25" s="231">
        <f t="shared" si="3"/>
        <v>10490.80407904546</v>
      </c>
      <c r="M25" s="231">
        <f t="shared" si="3"/>
        <v>11094.401272552666</v>
      </c>
      <c r="N25" s="231">
        <f t="shared" si="3"/>
        <v>11697.998466059871</v>
      </c>
      <c r="O25" s="158"/>
      <c r="Q25" s="278">
        <f>+N27</f>
        <v>11492.911148063989</v>
      </c>
      <c r="T25" s="242"/>
    </row>
    <row r="26" spans="2:21" s="77" customFormat="1" ht="23" customHeight="1" x14ac:dyDescent="0.15">
      <c r="B26" s="239" t="s">
        <v>137</v>
      </c>
      <c r="C26" s="231">
        <f>QUANTITÀ!B18</f>
        <v>3206.7160833768021</v>
      </c>
      <c r="D26" s="231">
        <f>QUANTITÀ!C18</f>
        <v>3563.0178704186692</v>
      </c>
      <c r="E26" s="231">
        <f>QUANTITÀ!D18</f>
        <v>4097.4705509814694</v>
      </c>
      <c r="F26" s="231">
        <f>QUANTITÀ!E18</f>
        <v>3741.1687639396023</v>
      </c>
      <c r="G26" s="231">
        <f>QUANTITÀ!F18</f>
        <v>3741.1687639396023</v>
      </c>
      <c r="H26" s="231">
        <f>QUANTITÀ!G18</f>
        <v>3919.3196574605354</v>
      </c>
      <c r="I26" s="231">
        <f>QUANTITÀ!H18</f>
        <v>3919.3196574605354</v>
      </c>
      <c r="J26" s="231">
        <f>QUANTITÀ!I18</f>
        <v>2137.8107222512012</v>
      </c>
      <c r="K26" s="231">
        <f>QUANTITÀ!J18</f>
        <v>3919.3196574605354</v>
      </c>
      <c r="L26" s="231">
        <f>QUANTITÀ!K18</f>
        <v>3741.1687639396023</v>
      </c>
      <c r="M26" s="231">
        <f>QUANTITÀ!L18</f>
        <v>3741.1687639396023</v>
      </c>
      <c r="N26" s="231">
        <f>QUANTITÀ!M18</f>
        <v>2137.8107222512012</v>
      </c>
      <c r="O26" s="158">
        <f>SUM(C26:N26)</f>
        <v>41865.459977419363</v>
      </c>
      <c r="Q26" s="243">
        <f>QUANTITÀ!P18</f>
        <v>3391.3508305762525</v>
      </c>
      <c r="R26" s="234">
        <f>QUANTITÀ!Q18</f>
        <v>3768.1675895291692</v>
      </c>
      <c r="S26" s="234">
        <f>QUANTITÀ!R18</f>
        <v>4333.392727958545</v>
      </c>
      <c r="T26" s="284">
        <f>QUANTITÀ!S18</f>
        <v>3956.5759690056279</v>
      </c>
      <c r="U26" s="234"/>
    </row>
    <row r="27" spans="2:21" s="77" customFormat="1" ht="23" customHeight="1" thickBot="1" x14ac:dyDescent="0.2">
      <c r="B27" s="239" t="s">
        <v>135</v>
      </c>
      <c r="C27" s="231">
        <f>+C25-C26+C28</f>
        <v>11401.657185339744</v>
      </c>
      <c r="D27" s="231">
        <f t="shared" ref="D27" si="4">+D25-D26+D28</f>
        <v>11579.808078860689</v>
      </c>
      <c r="E27" s="231">
        <f t="shared" ref="E27" si="5">+E25-E26+E28</f>
        <v>11401.657185339765</v>
      </c>
      <c r="F27" s="231">
        <f t="shared" ref="F27" si="6">+F25-F26+F28</f>
        <v>11579.808078860695</v>
      </c>
      <c r="G27" s="231">
        <f t="shared" ref="G27" si="7">+G25-G26+G28</f>
        <v>10342.064669320549</v>
      </c>
      <c r="H27" s="231">
        <f t="shared" ref="H27" si="8">+H25-H26+H28</f>
        <v>10974.404586328095</v>
      </c>
      <c r="I27" s="231">
        <f t="shared" ref="I27" si="9">+I25-I26+I28</f>
        <v>11056.744503335645</v>
      </c>
      <c r="J27" s="231">
        <f t="shared" ref="J27" si="10">+J25-J26+J28</f>
        <v>11401.657185339764</v>
      </c>
      <c r="K27" s="231">
        <f t="shared" ref="K27" si="11">+K25-K26+K28</f>
        <v>10490.80407904546</v>
      </c>
      <c r="L27" s="231">
        <f t="shared" ref="L27" si="12">+L25-L26+L28</f>
        <v>11094.401272552666</v>
      </c>
      <c r="M27" s="231">
        <f t="shared" ref="M27" si="13">+M25-M26+M28</f>
        <v>11697.998466059871</v>
      </c>
      <c r="N27" s="231">
        <f t="shared" ref="N27" si="14">+N25-N26+N28</f>
        <v>11492.911148063989</v>
      </c>
      <c r="O27" s="158"/>
      <c r="Q27" s="243">
        <f>(R26+S26+T26)</f>
        <v>12058.136286493342</v>
      </c>
      <c r="T27" s="242"/>
    </row>
    <row r="28" spans="2:21" s="77" customFormat="1" ht="19" customHeight="1" thickBot="1" x14ac:dyDescent="0.2">
      <c r="B28" s="240" t="s">
        <v>136</v>
      </c>
      <c r="C28" s="463">
        <v>3608.3732687165466</v>
      </c>
      <c r="D28" s="463">
        <v>3741.1687639396141</v>
      </c>
      <c r="E28" s="463">
        <v>3919.3196574605463</v>
      </c>
      <c r="F28" s="463">
        <v>3919.3196574605317</v>
      </c>
      <c r="G28" s="463">
        <v>2503.4253543994564</v>
      </c>
      <c r="H28" s="463">
        <v>4551.6595744680817</v>
      </c>
      <c r="I28" s="463">
        <v>4001.6595744680844</v>
      </c>
      <c r="J28" s="463">
        <v>2482.7234042553191</v>
      </c>
      <c r="K28" s="463">
        <v>3008.4665511662315</v>
      </c>
      <c r="L28" s="463">
        <v>4344.765957446808</v>
      </c>
      <c r="M28" s="463">
        <v>4344.765957446808</v>
      </c>
      <c r="N28" s="463">
        <v>1932.7234042553191</v>
      </c>
      <c r="O28" s="245">
        <f>SUM(C28:N28)</f>
        <v>42358.37112548334</v>
      </c>
      <c r="Q28" s="279">
        <f t="shared" ref="Q28" si="15">Q27-Q25+Q26</f>
        <v>3956.5759690056047</v>
      </c>
      <c r="R28" s="280"/>
      <c r="S28" s="280"/>
      <c r="T28" s="281"/>
    </row>
    <row r="29" spans="2:21" s="77" customFormat="1" ht="17" customHeight="1" x14ac:dyDescent="0.15"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</row>
    <row r="30" spans="2:21" ht="17" customHeight="1" x14ac:dyDescent="0.15">
      <c r="B30" s="299"/>
    </row>
  </sheetData>
  <mergeCells count="4">
    <mergeCell ref="C5:O5"/>
    <mergeCell ref="Q5:T5"/>
    <mergeCell ref="C18:O18"/>
    <mergeCell ref="Q18:T18"/>
  </mergeCells>
  <pageMargins left="0.25" right="0.25" top="0.75" bottom="0.75" header="0.3" footer="0.3"/>
  <pageSetup paperSize="9" scale="54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7007851EFCF942AE4CBDCC8CDD254B" ma:contentTypeVersion="19" ma:contentTypeDescription="Creare un nuovo documento." ma:contentTypeScope="" ma:versionID="0af55ce90be9bd9eef0eedcf9903192c">
  <xsd:schema xmlns:xsd="http://www.w3.org/2001/XMLSchema" xmlns:xs="http://www.w3.org/2001/XMLSchema" xmlns:p="http://schemas.microsoft.com/office/2006/metadata/properties" xmlns:ns2="319472de-1d3c-4843-a956-f9f5cc4d2e90" xmlns:ns3="217686c3-c55b-4707-b33a-46d6e4dba578" targetNamespace="http://schemas.microsoft.com/office/2006/metadata/properties" ma:root="true" ma:fieldsID="cfda77b62831cf17bc74b4ed6303dff6" ns2:_="" ns3:_="">
    <xsd:import namespace="319472de-1d3c-4843-a956-f9f5cc4d2e90"/>
    <xsd:import namespace="217686c3-c55b-4707-b33a-46d6e4dba5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472de-1d3c-4843-a956-f9f5cc4d2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1043bfa3-ab0e-40a1-8638-70d8e4c142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686c3-c55b-4707-b33a-46d6e4dba5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c959d57-932c-4b93-9c1b-c90f76c5f68c}" ma:internalName="TaxCatchAll" ma:showField="CatchAllData" ma:web="217686c3-c55b-4707-b33a-46d6e4dba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7686c3-c55b-4707-b33a-46d6e4dba578" xsi:nil="true"/>
    <lcf76f155ced4ddcb4097134ff3c332f xmlns="319472de-1d3c-4843-a956-f9f5cc4d2e9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A8E5C8-CA04-43F3-A836-4CC634C5B7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9472de-1d3c-4843-a956-f9f5cc4d2e90"/>
    <ds:schemaRef ds:uri="217686c3-c55b-4707-b33a-46d6e4dba5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F5B540-81FC-4352-878E-2819DA1527C6}">
  <ds:schemaRefs>
    <ds:schemaRef ds:uri="319472de-1d3c-4843-a956-f9f5cc4d2e90"/>
    <ds:schemaRef ds:uri="217686c3-c55b-4707-b33a-46d6e4dba578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1C6DF4E-ADB0-4583-A946-EABB2FE7A0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31</vt:i4>
      </vt:variant>
    </vt:vector>
  </HeadingPairs>
  <TitlesOfParts>
    <vt:vector size="31" baseType="lpstr">
      <vt:lpstr>Tab 0</vt:lpstr>
      <vt:lpstr>Tab 1</vt:lpstr>
      <vt:lpstr>Tab 2</vt:lpstr>
      <vt:lpstr>Tab 3</vt:lpstr>
      <vt:lpstr>QUANTITÀ</vt:lpstr>
      <vt:lpstr>PREZZI</vt:lpstr>
      <vt:lpstr>MOLLE</vt:lpstr>
      <vt:lpstr>POLIUR</vt:lpstr>
      <vt:lpstr>Tab 4 v2</vt:lpstr>
      <vt:lpstr>All. 1</vt:lpstr>
      <vt:lpstr>All. 2</vt:lpstr>
      <vt:lpstr>All. 3</vt:lpstr>
      <vt:lpstr>Tab. 5</vt:lpstr>
      <vt:lpstr>Tab. 6</vt:lpstr>
      <vt:lpstr>All. 4-5-6</vt:lpstr>
      <vt:lpstr>Distinta base agg</vt:lpstr>
      <vt:lpstr>Tab.7</vt:lpstr>
      <vt:lpstr>Tab. 8</vt:lpstr>
      <vt:lpstr>Tab. 9</vt:lpstr>
      <vt:lpstr>Tab. 10</vt:lpstr>
      <vt:lpstr>Tab. 11</vt:lpstr>
      <vt:lpstr>Tab 12</vt:lpstr>
      <vt:lpstr>All. 7</vt:lpstr>
      <vt:lpstr>Tab. 13</vt:lpstr>
      <vt:lpstr>Tab. 14</vt:lpstr>
      <vt:lpstr>Tab. 15</vt:lpstr>
      <vt:lpstr>All. 9</vt:lpstr>
      <vt:lpstr>All. 10</vt:lpstr>
      <vt:lpstr>Tab. 16</vt:lpstr>
      <vt:lpstr>Tab. 17</vt:lpstr>
      <vt:lpstr>Mens costi industriali DIR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01) Mozart vendite</dc:title>
  <dc:subject>budget vendite- provv - costo vend - premi</dc:subject>
  <dc:creator>barbara</dc:creator>
  <cp:lastModifiedBy>Federica Marini</cp:lastModifiedBy>
  <cp:lastPrinted>2022-03-21T18:18:28Z</cp:lastPrinted>
  <dcterms:created xsi:type="dcterms:W3CDTF">2004-01-02T13:31:21Z</dcterms:created>
  <dcterms:modified xsi:type="dcterms:W3CDTF">2026-05-20T11:37:33Z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0x010100337007851EFCF942AE4CBDCC8CDD254B</vt:lpwstr>
  </property>
  <property fmtid="{D5CDD505-2E9C-101B-9397-08002B2CF9AE}" pid="3" name="MediaServiceImageTags">
    <vt:lpwstr/>
  </property>
</Properties>
</file>