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6814\Desktop\"/>
    </mc:Choice>
  </mc:AlternateContent>
  <xr:revisionPtr revIDLastSave="0" documentId="13_ncr:1_{E99E6A2A-A6C4-47BF-8077-AE253EA6285C}" xr6:coauthVersionLast="47" xr6:coauthVersionMax="47" xr10:uidLastSave="{00000000-0000-0000-0000-000000000000}"/>
  <bookViews>
    <workbookView xWindow="-103" yWindow="-103" windowWidth="24892" windowHeight="16303" tabRatio="855" xr2:uid="{00000000-000D-0000-FFFF-FFFF00000000}"/>
  </bookViews>
  <sheets>
    <sheet name="Summarizing tables" sheetId="1" r:id="rId1"/>
    <sheet name="Data without" sheetId="2" r:id="rId2"/>
    <sheet name="Rates without" sheetId="3" r:id="rId3"/>
    <sheet name="Data with" sheetId="7" r:id="rId4"/>
    <sheet name="Rates with" sheetId="9" r:id="rId5"/>
    <sheet name="Demand functions" sheetId="4" r:id="rId6"/>
  </sheets>
  <definedNames>
    <definedName name="_xlfn_SINGLE">none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7" l="1"/>
  <c r="C28" i="7"/>
  <c r="E28" i="7" s="1"/>
  <c r="D27" i="7"/>
  <c r="C27" i="7"/>
  <c r="E27" i="7" s="1"/>
  <c r="D26" i="7"/>
  <c r="C26" i="7"/>
  <c r="E26" i="7" s="1"/>
  <c r="D25" i="7"/>
  <c r="C25" i="7"/>
  <c r="E25" i="7" s="1"/>
  <c r="D24" i="7"/>
  <c r="C24" i="7"/>
  <c r="E24" i="7" s="1"/>
  <c r="D23" i="7"/>
  <c r="C23" i="7"/>
  <c r="E23" i="7" s="1"/>
  <c r="D22" i="7"/>
  <c r="C22" i="7"/>
  <c r="E22" i="7" s="1"/>
  <c r="D21" i="7"/>
  <c r="C21" i="7"/>
  <c r="E21" i="7" s="1"/>
  <c r="E29" i="7" s="1"/>
  <c r="D13" i="7"/>
  <c r="G15" i="7" s="1"/>
  <c r="L12" i="7"/>
  <c r="K12" i="7"/>
  <c r="E12" i="7"/>
  <c r="B12" i="7"/>
  <c r="I12" i="7" s="1"/>
  <c r="E11" i="7"/>
  <c r="L11" i="7" s="1"/>
  <c r="B11" i="7"/>
  <c r="E10" i="7"/>
  <c r="B10" i="7"/>
  <c r="E9" i="7"/>
  <c r="L9" i="7" s="1"/>
  <c r="B9" i="7"/>
  <c r="E8" i="7"/>
  <c r="L8" i="7" s="1"/>
  <c r="B8" i="7"/>
  <c r="E7" i="7"/>
  <c r="L7" i="7" s="1"/>
  <c r="B7" i="7"/>
  <c r="E6" i="7"/>
  <c r="L6" i="7" s="1"/>
  <c r="B6" i="7"/>
  <c r="E5" i="7"/>
  <c r="L5" i="7" s="1"/>
  <c r="B5" i="7"/>
  <c r="E4" i="7"/>
  <c r="L4" i="7" s="1"/>
  <c r="B4" i="7"/>
  <c r="E3" i="7"/>
  <c r="L3" i="7" s="1"/>
  <c r="B3" i="7"/>
  <c r="O2" i="7"/>
  <c r="G30" i="2"/>
  <c r="H30" i="2" s="1"/>
  <c r="D30" i="2"/>
  <c r="C30" i="2"/>
  <c r="G29" i="2"/>
  <c r="H29" i="2" s="1"/>
  <c r="F29" i="2"/>
  <c r="D29" i="2"/>
  <c r="C29" i="2"/>
  <c r="G28" i="2"/>
  <c r="H28" i="2" s="1"/>
  <c r="F28" i="2"/>
  <c r="D28" i="2"/>
  <c r="C28" i="2"/>
  <c r="G27" i="2"/>
  <c r="H27" i="2" s="1"/>
  <c r="F27" i="2"/>
  <c r="D27" i="2"/>
  <c r="C27" i="2"/>
  <c r="H26" i="2"/>
  <c r="G26" i="2"/>
  <c r="F26" i="2"/>
  <c r="D26" i="2"/>
  <c r="C26" i="2"/>
  <c r="G25" i="2"/>
  <c r="H25" i="2" s="1"/>
  <c r="F25" i="2"/>
  <c r="D25" i="2"/>
  <c r="C25" i="2"/>
  <c r="G24" i="2"/>
  <c r="H24" i="2" s="1"/>
  <c r="F24" i="2"/>
  <c r="D24" i="2"/>
  <c r="C24" i="2"/>
  <c r="G23" i="2"/>
  <c r="H23" i="2" s="1"/>
  <c r="H31" i="2" s="1"/>
  <c r="E30" i="7" s="1"/>
  <c r="D23" i="2"/>
  <c r="C23" i="2"/>
  <c r="T19" i="2"/>
  <c r="S19" i="2"/>
  <c r="T18" i="2"/>
  <c r="S18" i="2"/>
  <c r="T17" i="2"/>
  <c r="S17" i="2"/>
  <c r="T16" i="2"/>
  <c r="S16" i="2"/>
  <c r="T15" i="2"/>
  <c r="S15" i="2"/>
  <c r="T14" i="2"/>
  <c r="S14" i="2"/>
  <c r="T13" i="2"/>
  <c r="S13" i="2"/>
  <c r="D13" i="2"/>
  <c r="G15" i="2" s="1"/>
  <c r="C13" i="2"/>
  <c r="T12" i="2"/>
  <c r="S12" i="2"/>
  <c r="E12" i="2"/>
  <c r="L12" i="2" s="1"/>
  <c r="B12" i="2"/>
  <c r="T11" i="2"/>
  <c r="S11" i="2"/>
  <c r="E11" i="2"/>
  <c r="L11" i="2" s="1"/>
  <c r="B11" i="2"/>
  <c r="T10" i="2"/>
  <c r="S10" i="2"/>
  <c r="E10" i="2"/>
  <c r="L10" i="2" s="1"/>
  <c r="B10" i="2"/>
  <c r="T9" i="2"/>
  <c r="S9" i="2"/>
  <c r="E9" i="2"/>
  <c r="L9" i="2" s="1"/>
  <c r="B9" i="2"/>
  <c r="T8" i="2"/>
  <c r="S8" i="2"/>
  <c r="E8" i="2"/>
  <c r="L8" i="2" s="1"/>
  <c r="B8" i="2"/>
  <c r="T7" i="2"/>
  <c r="S7" i="2"/>
  <c r="E7" i="2"/>
  <c r="L7" i="2" s="1"/>
  <c r="B7" i="2"/>
  <c r="T6" i="2"/>
  <c r="S6" i="2"/>
  <c r="L6" i="2"/>
  <c r="K6" i="2"/>
  <c r="I6" i="2"/>
  <c r="E6" i="2"/>
  <c r="B6" i="2"/>
  <c r="T5" i="2"/>
  <c r="S5" i="2"/>
  <c r="E5" i="2"/>
  <c r="L5" i="2" s="1"/>
  <c r="B5" i="2"/>
  <c r="T4" i="2"/>
  <c r="S4" i="2"/>
  <c r="E4" i="2"/>
  <c r="L4" i="2" s="1"/>
  <c r="B4" i="2"/>
  <c r="T3" i="2"/>
  <c r="S3" i="2"/>
  <c r="E3" i="2"/>
  <c r="L3" i="2" s="1"/>
  <c r="B3" i="2"/>
  <c r="O2" i="2"/>
  <c r="G12" i="1"/>
  <c r="F12" i="1"/>
  <c r="E12" i="1"/>
  <c r="D12" i="1"/>
  <c r="C12" i="1"/>
  <c r="B12" i="1"/>
  <c r="A12" i="1"/>
  <c r="G11" i="1"/>
  <c r="F11" i="1"/>
  <c r="F13" i="1" s="1"/>
  <c r="E11" i="1"/>
  <c r="D11" i="1"/>
  <c r="D13" i="1" s="1"/>
  <c r="C11" i="1"/>
  <c r="C13" i="1" s="1"/>
  <c r="B11" i="1"/>
  <c r="A11" i="1"/>
  <c r="F10" i="1"/>
  <c r="E10" i="1"/>
  <c r="D10" i="1"/>
  <c r="C10" i="1"/>
  <c r="B10" i="1"/>
  <c r="A10" i="1"/>
  <c r="G9" i="1"/>
  <c r="F9" i="1"/>
  <c r="E9" i="1"/>
  <c r="D9" i="1"/>
  <c r="C9" i="1"/>
  <c r="B9" i="1"/>
  <c r="A9" i="1"/>
  <c r="G8" i="1"/>
  <c r="F8" i="1"/>
  <c r="E8" i="1"/>
  <c r="D8" i="1"/>
  <c r="C8" i="1"/>
  <c r="B8" i="1"/>
  <c r="A8" i="1"/>
  <c r="G7" i="1"/>
  <c r="F7" i="1"/>
  <c r="E7" i="1"/>
  <c r="D7" i="1"/>
  <c r="C7" i="1"/>
  <c r="B7" i="1"/>
  <c r="A7" i="1"/>
  <c r="G6" i="1"/>
  <c r="F6" i="1"/>
  <c r="E6" i="1"/>
  <c r="D6" i="1"/>
  <c r="C6" i="1"/>
  <c r="B6" i="1"/>
  <c r="A6" i="1"/>
  <c r="G5" i="1"/>
  <c r="F5" i="1"/>
  <c r="E5" i="1"/>
  <c r="D5" i="1"/>
  <c r="C5" i="1"/>
  <c r="B5" i="1"/>
  <c r="A5" i="1"/>
  <c r="G4" i="1"/>
  <c r="F4" i="1"/>
  <c r="E4" i="1"/>
  <c r="D4" i="1"/>
  <c r="C4" i="1"/>
  <c r="B4" i="1"/>
  <c r="A4" i="1"/>
  <c r="G3" i="1"/>
  <c r="F3" i="1"/>
  <c r="E3" i="1"/>
  <c r="D3" i="1"/>
  <c r="C3" i="1"/>
  <c r="B3" i="1"/>
  <c r="A3" i="1"/>
  <c r="K11" i="7" l="1"/>
  <c r="I11" i="7"/>
  <c r="G10" i="1"/>
  <c r="L10" i="7"/>
  <c r="K10" i="7"/>
  <c r="I10" i="7"/>
  <c r="K9" i="7"/>
  <c r="I9" i="7"/>
  <c r="K8" i="7"/>
  <c r="I8" i="7"/>
  <c r="K7" i="7"/>
  <c r="I7" i="7"/>
  <c r="K6" i="7"/>
  <c r="I6" i="7"/>
  <c r="K5" i="7"/>
  <c r="I5" i="7"/>
  <c r="K4" i="7"/>
  <c r="I4" i="7"/>
  <c r="K3" i="7"/>
  <c r="I3" i="7"/>
  <c r="K12" i="2"/>
  <c r="I12" i="2"/>
  <c r="K11" i="2"/>
  <c r="I11" i="2"/>
  <c r="K10" i="2"/>
  <c r="I10" i="2"/>
  <c r="K9" i="2"/>
  <c r="I9" i="2"/>
  <c r="K8" i="2"/>
  <c r="I8" i="2"/>
  <c r="K7" i="2"/>
  <c r="I7" i="2"/>
  <c r="K5" i="2"/>
  <c r="I5" i="2"/>
  <c r="K4" i="2"/>
  <c r="I4" i="2"/>
  <c r="K3" i="2"/>
  <c r="I3" i="2"/>
  <c r="L17" i="7" l="1"/>
  <c r="C15" i="7" s="1"/>
  <c r="L16" i="7"/>
  <c r="L18" i="2"/>
  <c r="L19" i="2"/>
  <c r="C17" i="2" s="1"/>
  <c r="P13" i="7" l="1"/>
  <c r="P14" i="7"/>
  <c r="B15" i="7"/>
  <c r="P15" i="7"/>
  <c r="P16" i="7"/>
  <c r="P17" i="7"/>
  <c r="P21" i="7"/>
  <c r="P12" i="7"/>
  <c r="F6" i="7"/>
  <c r="F3" i="7"/>
  <c r="P3" i="7"/>
  <c r="F4" i="7"/>
  <c r="P4" i="7"/>
  <c r="F5" i="7"/>
  <c r="P5" i="7"/>
  <c r="P6" i="7"/>
  <c r="F7" i="7"/>
  <c r="P7" i="7"/>
  <c r="F8" i="7"/>
  <c r="P8" i="7"/>
  <c r="F9" i="7"/>
  <c r="P9" i="7"/>
  <c r="F10" i="7"/>
  <c r="P10" i="7"/>
  <c r="F11" i="7"/>
  <c r="P11" i="7"/>
  <c r="F12" i="7"/>
  <c r="P29" i="7"/>
  <c r="P18" i="7"/>
  <c r="P19" i="7"/>
  <c r="P20" i="7"/>
  <c r="P22" i="7"/>
  <c r="P23" i="7"/>
  <c r="P24" i="7"/>
  <c r="P25" i="7"/>
  <c r="P26" i="7"/>
  <c r="P27" i="7"/>
  <c r="P28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18" i="2"/>
  <c r="P19" i="2"/>
  <c r="P10" i="2"/>
  <c r="F11" i="2"/>
  <c r="P11" i="2"/>
  <c r="F12" i="2"/>
  <c r="P12" i="2"/>
  <c r="P31" i="2"/>
  <c r="P32" i="2"/>
  <c r="P33" i="2"/>
  <c r="P34" i="2"/>
  <c r="P35" i="2"/>
  <c r="P13" i="2"/>
  <c r="P14" i="2"/>
  <c r="P15" i="2"/>
  <c r="P16" i="2"/>
  <c r="B17" i="2"/>
  <c r="P17" i="2"/>
  <c r="P20" i="2"/>
  <c r="P21" i="2"/>
  <c r="P22" i="2"/>
  <c r="P23" i="2"/>
  <c r="P24" i="2"/>
  <c r="P25" i="2"/>
  <c r="P26" i="2"/>
  <c r="P27" i="2"/>
  <c r="P28" i="2"/>
  <c r="P29" i="2"/>
  <c r="P30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F3" i="2"/>
  <c r="P3" i="2"/>
  <c r="F4" i="2"/>
  <c r="P4" i="2"/>
  <c r="F5" i="2"/>
  <c r="P5" i="2"/>
  <c r="F6" i="2"/>
  <c r="P6" i="2"/>
  <c r="F7" i="2"/>
  <c r="P7" i="2"/>
  <c r="F8" i="2"/>
  <c r="P8" i="2"/>
  <c r="F9" i="2"/>
  <c r="P9" i="2"/>
  <c r="F10" i="2"/>
  <c r="J6" i="7" l="1"/>
  <c r="G6" i="7" s="1"/>
  <c r="M6" i="7"/>
  <c r="J3" i="7"/>
  <c r="G3" i="7" s="1"/>
  <c r="M3" i="7"/>
  <c r="J4" i="7"/>
  <c r="G4" i="7" s="1"/>
  <c r="M4" i="7"/>
  <c r="J5" i="7"/>
  <c r="G5" i="7" s="1"/>
  <c r="M5" i="7"/>
  <c r="J7" i="7"/>
  <c r="G7" i="7" s="1"/>
  <c r="M7" i="7"/>
  <c r="J8" i="7"/>
  <c r="G8" i="7" s="1"/>
  <c r="M8" i="7"/>
  <c r="J9" i="7"/>
  <c r="G9" i="7" s="1"/>
  <c r="M9" i="7"/>
  <c r="J10" i="7"/>
  <c r="G10" i="7" s="1"/>
  <c r="M10" i="7"/>
  <c r="J11" i="7"/>
  <c r="G11" i="7" s="1"/>
  <c r="M11" i="7"/>
  <c r="J12" i="7"/>
  <c r="G12" i="7" s="1"/>
  <c r="M12" i="7"/>
  <c r="J11" i="2"/>
  <c r="G11" i="2" s="1"/>
  <c r="M11" i="2"/>
  <c r="J12" i="2"/>
  <c r="G12" i="2" s="1"/>
  <c r="M12" i="2"/>
  <c r="J3" i="2"/>
  <c r="G3" i="2" s="1"/>
  <c r="M3" i="2"/>
  <c r="J4" i="2"/>
  <c r="G4" i="2" s="1"/>
  <c r="M4" i="2"/>
  <c r="J5" i="2"/>
  <c r="G5" i="2" s="1"/>
  <c r="M5" i="2"/>
  <c r="J6" i="2"/>
  <c r="G6" i="2" s="1"/>
  <c r="M6" i="2"/>
  <c r="J7" i="2"/>
  <c r="G7" i="2" s="1"/>
  <c r="M7" i="2"/>
  <c r="J8" i="2"/>
  <c r="G8" i="2" s="1"/>
  <c r="M8" i="2"/>
  <c r="J9" i="2"/>
  <c r="G9" i="2" s="1"/>
  <c r="M9" i="2"/>
  <c r="J10" i="2"/>
  <c r="G10" i="2" s="1"/>
  <c r="M10" i="2"/>
  <c r="G13" i="7" l="1"/>
  <c r="C18" i="7" s="1"/>
  <c r="G13" i="2"/>
  <c r="C20" i="2" s="1"/>
</calcChain>
</file>

<file path=xl/sharedStrings.xml><?xml version="1.0" encoding="utf-8"?>
<sst xmlns="http://schemas.openxmlformats.org/spreadsheetml/2006/main" count="73" uniqueCount="37">
  <si>
    <t>Distance from the site (km)</t>
  </si>
  <si>
    <t>Cost per visit (€)</t>
  </si>
  <si>
    <t>Population</t>
  </si>
  <si>
    <t>Visits (without damage)</t>
  </si>
  <si>
    <t>Frequency rate (without damage) (%)</t>
  </si>
  <si>
    <t>Visits (with damage)</t>
  </si>
  <si>
    <t>Frequency rate (with damage) (%)</t>
  </si>
  <si>
    <t>Travel cost method - zonal variant</t>
  </si>
  <si>
    <t>Estimated rate</t>
  </si>
  <si>
    <t>Estimated visits</t>
  </si>
  <si>
    <t>ln(cost)</t>
  </si>
  <si>
    <t>Cost</t>
  </si>
  <si>
    <t>Observed</t>
  </si>
  <si>
    <t>Estimated</t>
  </si>
  <si>
    <t>Frequency rate (%)</t>
  </si>
  <si>
    <t>Number of visits</t>
  </si>
  <si>
    <t>Additional cost per visit "without damage"</t>
  </si>
  <si>
    <t>Additional cost per visit "with damage"</t>
  </si>
  <si>
    <t>Max estimated visits</t>
  </si>
  <si>
    <t>Actual/Estimated</t>
  </si>
  <si>
    <t>Rate =</t>
  </si>
  <si>
    <t>Intercept</t>
  </si>
  <si>
    <t>Additional cost</t>
  </si>
  <si>
    <t>Beta</t>
  </si>
  <si>
    <t>Total visits</t>
  </si>
  <si>
    <t>ln(CA)</t>
  </si>
  <si>
    <t>ln(VT)</t>
  </si>
  <si>
    <t>Surplus estimate</t>
  </si>
  <si>
    <t>Total surplus</t>
  </si>
  <si>
    <t>Distance</t>
  </si>
  <si>
    <t>Visits</t>
  </si>
  <si>
    <t>Observed rate</t>
  </si>
  <si>
    <t>Total</t>
  </si>
  <si>
    <t>Estimated total</t>
  </si>
  <si>
    <t>Estimated max</t>
  </si>
  <si>
    <t>Observed/Estimated</t>
  </si>
  <si>
    <t>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</si>
</sst>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\-??_-;_-@_-"/>
    <numFmt numFmtId="165" formatCode="0.0"/>
    <numFmt numFmtId="166" formatCode="_-* #,##0.0_-;\-* #,##0.0_-;_-* \-??_-;_-@_-"/>
    <numFmt numFmtId="167" formatCode="_-* #,##0.00_-;\-* #,##0.00_-;_-* \-??_-;_-@_-"/>
    <numFmt numFmtId="168" formatCode="_-* #,##0.000_-;\-* #,##0.000_-;_-* \-??_-;_-@_-"/>
    <numFmt numFmtId="169" formatCode="_-* #,##0.0000_-;\-* #,##0.0000_-;_-* \-??_-;_-@_-"/>
  </numFmts>
  <fonts count="3" x14ac:knownFonts="1">
    <font>
      <sz val="12"/>
      <name val="Times New Roman"/>
    </font>
    <font>
      <sz val="10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5" xfId="0" applyBorder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5" xfId="0" applyNumberFormat="1" applyBorder="1"/>
    <xf numFmtId="164" fontId="0" fillId="0" borderId="0" xfId="0" applyNumberFormat="1"/>
    <xf numFmtId="10" fontId="0" fillId="0" borderId="5" xfId="0" applyNumberForma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5" fontId="0" fillId="0" borderId="0" xfId="0" applyNumberFormat="1" applyAlignment="1">
      <alignment horizontal="center" vertical="center"/>
    </xf>
    <xf numFmtId="10" fontId="0" fillId="0" borderId="5" xfId="0" applyNumberFormat="1" applyBorder="1"/>
    <xf numFmtId="164" fontId="0" fillId="0" borderId="6" xfId="0" applyNumberFormat="1" applyBorder="1"/>
    <xf numFmtId="165" fontId="0" fillId="0" borderId="0" xfId="0" applyNumberFormat="1"/>
    <xf numFmtId="0" fontId="0" fillId="0" borderId="8" xfId="0" applyBorder="1"/>
    <xf numFmtId="0" fontId="0" fillId="0" borderId="9" xfId="0" applyBorder="1"/>
    <xf numFmtId="164" fontId="0" fillId="0" borderId="8" xfId="0" applyNumberFormat="1" applyBorder="1"/>
    <xf numFmtId="164" fontId="0" fillId="0" borderId="9" xfId="0" applyNumberFormat="1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164" fontId="0" fillId="0" borderId="8" xfId="0" applyNumberFormat="1" applyBorder="1" applyAlignment="1">
      <alignment horizontal="right"/>
    </xf>
    <xf numFmtId="164" fontId="0" fillId="0" borderId="10" xfId="0" applyNumberFormat="1" applyBorder="1"/>
    <xf numFmtId="164" fontId="1" fillId="0" borderId="0" xfId="0" applyNumberFormat="1" applyFont="1"/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/>
    <xf numFmtId="167" fontId="1" fillId="0" borderId="0" xfId="0" applyNumberFormat="1" applyFont="1"/>
    <xf numFmtId="166" fontId="1" fillId="0" borderId="0" xfId="0" applyNumberFormat="1" applyFont="1"/>
    <xf numFmtId="168" fontId="1" fillId="0" borderId="0" xfId="0" applyNumberFormat="1" applyFont="1" applyAlignment="1">
      <alignment horizontal="center"/>
    </xf>
    <xf numFmtId="168" fontId="1" fillId="0" borderId="0" xfId="0" applyNumberFormat="1" applyFont="1"/>
    <xf numFmtId="169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wrapText="1"/>
    </xf>
    <xf numFmtId="166" fontId="0" fillId="0" borderId="0" xfId="0" applyNumberFormat="1"/>
    <xf numFmtId="169" fontId="0" fillId="0" borderId="0" xfId="0" applyNumberFormat="1"/>
    <xf numFmtId="167" fontId="0" fillId="0" borderId="0" xfId="0" applyNumberFormat="1"/>
    <xf numFmtId="9" fontId="1" fillId="0" borderId="0" xfId="0" applyNumberFormat="1" applyFont="1"/>
    <xf numFmtId="164" fontId="0" fillId="0" borderId="0" xfId="0" applyNumberFormat="1" applyAlignment="1">
      <alignment horizontal="left"/>
    </xf>
    <xf numFmtId="164" fontId="2" fillId="0" borderId="0" xfId="0" applyNumberFormat="1" applyFont="1"/>
    <xf numFmtId="168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993366"/>
      <rgbColor rgb="FFFFFFCC"/>
      <rgbColor rgb="FFCCFFFF"/>
      <rgbColor rgb="FF660066"/>
      <rgbColor rgb="FFFF8080"/>
      <rgbColor rgb="FF0066CC"/>
      <rgbColor rgb="FFE3E3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300" b="0" strike="noStrike">
                <a:uFillTx/>
                <a:latin typeface="Arial"/>
              </a:defRPr>
            </a:pPr>
            <a:r>
              <a:rPr lang="en-GB" sz="1400" b="0" strike="noStrike">
                <a:solidFill>
                  <a:srgbClr val="424242"/>
                </a:solidFill>
                <a:uFillTx/>
                <a:latin typeface="Calibri"/>
              </a:rPr>
              <a:t>Chart Title</a:t>
            </a:r>
          </a:p>
        </c:rich>
      </c:tx>
      <c:layout>
        <c:manualLayout>
          <c:xMode val="edge"/>
          <c:yMode val="edge"/>
          <c:x val="0.41143577222966099"/>
          <c:y val="4.4589450788471999E-2"/>
        </c:manualLayout>
      </c:layout>
      <c:overlay val="0"/>
      <c:spPr>
        <a:noFill/>
        <a:ln w="0">
          <a:noFill/>
          <a:prstDash val="solid"/>
        </a:ln>
      </c:spPr>
    </c:title>
    <c:autoTitleDeleted val="0"/>
    <c:plotArea>
      <c:layout>
        <c:manualLayout>
          <c:xMode val="edge"/>
          <c:yMode val="edge"/>
          <c:x val="2.3076317240293E-2"/>
          <c:y val="0.14980967917346399"/>
          <c:w val="0.958730408757974"/>
          <c:h val="0.84787928221859699"/>
        </c:manualLayout>
      </c:layout>
      <c:scatterChart>
        <c:scatterStyle val="lineMarker"/>
        <c:varyColors val="0"/>
        <c:ser>
          <c:idx val="0"/>
          <c:order val="0"/>
          <c:spPr>
            <a:ln w="0">
              <a:noFill/>
              <a:prstDash val="solid"/>
            </a:ln>
          </c:spPr>
          <c:marker>
            <c:symbol val="circle"/>
            <c:size val="5"/>
            <c:spPr>
              <a:solidFill>
                <a:srgbClr val="33CCCC"/>
              </a:solidFill>
              <a:ln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2600">
                <a:solidFill>
                  <a:srgbClr val="8080FF"/>
                </a:solidFill>
                <a:prstDash val="solid"/>
                <a:round/>
              </a:ln>
            </c:spPr>
            <c:trendlineType val="log"/>
            <c:dispRSqr val="0"/>
            <c:dispEq val="1"/>
            <c:trendlineLbl>
              <c:numFmt formatCode="General" sourceLinked="0"/>
            </c:trendlineLbl>
          </c:trendline>
          <c:xVal>
            <c:numRef>
              <c:f>'Data without'!$B$3:$B$12</c:f>
              <c:numCache>
                <c:formatCode>_-* #,##0.0_-;\-* #,##0.0_-;_-* \-??_-;_-@_-</c:formatCode>
                <c:ptCount val="10"/>
                <c:pt idx="0">
                  <c:v>5.24</c:v>
                </c:pt>
                <c:pt idx="1">
                  <c:v>5.4124683024578184</c:v>
                </c:pt>
                <c:pt idx="2">
                  <c:v>8.118702453686728</c:v>
                </c:pt>
                <c:pt idx="3">
                  <c:v>10.824936604915637</c:v>
                </c:pt>
                <c:pt idx="4">
                  <c:v>13.531170756144546</c:v>
                </c:pt>
                <c:pt idx="5">
                  <c:v>16.237404907373456</c:v>
                </c:pt>
                <c:pt idx="6">
                  <c:v>18.943639058602365</c:v>
                </c:pt>
                <c:pt idx="7">
                  <c:v>21.649873209831274</c:v>
                </c:pt>
                <c:pt idx="8">
                  <c:v>24.356107361060182</c:v>
                </c:pt>
                <c:pt idx="9">
                  <c:v>27.062341512289091</c:v>
                </c:pt>
              </c:numCache>
            </c:numRef>
          </c:xVal>
          <c:yVal>
            <c:numRef>
              <c:f>'Data without'!$E$3:$E$12</c:f>
              <c:numCache>
                <c:formatCode>0.00%</c:formatCode>
                <c:ptCount val="10"/>
                <c:pt idx="0">
                  <c:v>0.12540000000000001</c:v>
                </c:pt>
                <c:pt idx="1">
                  <c:v>7.8700000000000006E-2</c:v>
                </c:pt>
                <c:pt idx="2">
                  <c:v>5.2240000000000002E-2</c:v>
                </c:pt>
                <c:pt idx="3">
                  <c:v>3.1766000000000003E-2</c:v>
                </c:pt>
                <c:pt idx="4">
                  <c:v>1.8100000000000002E-2</c:v>
                </c:pt>
                <c:pt idx="5">
                  <c:v>1.9084799999999999E-2</c:v>
                </c:pt>
                <c:pt idx="6">
                  <c:v>1.0172499999999999E-2</c:v>
                </c:pt>
                <c:pt idx="7">
                  <c:v>1.38E-2</c:v>
                </c:pt>
                <c:pt idx="8">
                  <c:v>4.3343333333333333E-3</c:v>
                </c:pt>
                <c:pt idx="9">
                  <c:v>9.2166666666666664E-3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B3-4AEC-AA3E-0B6173DE7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77266"/>
        <c:axId val="9734180"/>
      </c:scatterChart>
      <c:valAx>
        <c:axId val="47777266"/>
        <c:scaling>
          <c:orientation val="minMax"/>
        </c:scaling>
        <c:delete val="0"/>
        <c:axPos val="b"/>
        <c:majorGridlines>
          <c:spPr>
            <a:ln w="0">
              <a:solidFill>
                <a:srgbClr val="E3E3E3"/>
              </a:solidFill>
              <a:prstDash val="solid"/>
            </a:ln>
          </c:spPr>
        </c:majorGridlines>
        <c:numFmt formatCode="_-* #,##0.0_-;\-* #,##0.0_-;_-* \-??_-;_-@_-" sourceLinked="1"/>
        <c:majorTickMark val="none"/>
        <c:minorTickMark val="none"/>
        <c:tickLblPos val="nextTo"/>
        <c:spPr>
          <a:ln w="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 b="0" strike="noStrike">
                <a:solidFill>
                  <a:srgbClr val="424242"/>
                </a:solidFill>
                <a:uFillTx/>
                <a:latin typeface="Calibri"/>
              </a:defRPr>
            </a:pPr>
            <a:endParaRPr lang="en-US"/>
          </a:p>
        </c:txPr>
        <c:crossAx val="9734180"/>
        <c:crossesAt val="0"/>
        <c:crossBetween val="midCat"/>
      </c:valAx>
      <c:valAx>
        <c:axId val="9734180"/>
        <c:scaling>
          <c:orientation val="minMax"/>
        </c:scaling>
        <c:delete val="0"/>
        <c:axPos val="l"/>
        <c:majorGridlines>
          <c:spPr>
            <a:ln w="0">
              <a:solidFill>
                <a:srgbClr val="E3E3E3"/>
              </a:solidFill>
              <a:prstDash val="solid"/>
            </a:ln>
          </c:spPr>
        </c:majorGridlines>
        <c:numFmt formatCode="0.00%" sourceLinked="1"/>
        <c:majorTickMark val="none"/>
        <c:minorTickMark val="none"/>
        <c:tickLblPos val="nextTo"/>
        <c:spPr>
          <a:ln w="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 b="0" strike="noStrike">
                <a:solidFill>
                  <a:srgbClr val="424242"/>
                </a:solidFill>
                <a:uFillTx/>
                <a:latin typeface="Calibri"/>
              </a:defRPr>
            </a:pPr>
            <a:endParaRPr lang="en-US"/>
          </a:p>
        </c:txPr>
        <c:crossAx val="47777266"/>
        <c:crossesAt val="0"/>
        <c:crossBetween val="midCat"/>
      </c:valAx>
    </c:plotArea>
    <c:plotVisOnly val="1"/>
    <c:dispBlanksAs val="gap"/>
    <c:showDLblsOverMax val="1"/>
  </c:chart>
  <c:spPr>
    <a:solidFill>
      <a:srgbClr val="FFFFFF"/>
    </a:solidFill>
    <a:ln w="0">
      <a:solidFill>
        <a:srgbClr val="E3E3E3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300" b="0" strike="noStrike">
                <a:uFillTx/>
                <a:latin typeface="Arial"/>
              </a:defRPr>
            </a:pPr>
            <a:r>
              <a:rPr lang="en-GB" sz="1400" b="0" strike="noStrike">
                <a:solidFill>
                  <a:srgbClr val="424242"/>
                </a:solidFill>
                <a:uFillTx/>
                <a:latin typeface="Calibri"/>
              </a:rPr>
              <a:t>Frequency rate without damage</a:t>
            </a:r>
          </a:p>
        </c:rich>
      </c:tx>
      <c:layout>
        <c:manualLayout>
          <c:xMode val="edge"/>
          <c:yMode val="edge"/>
          <c:x val="0.45625405055087498"/>
          <c:y val="2.8101701395526701E-2"/>
        </c:manualLayout>
      </c:layout>
      <c:overlay val="0"/>
      <c:spPr>
        <a:noFill/>
        <a:ln w="0">
          <a:noFill/>
          <a:prstDash val="solid"/>
        </a:ln>
      </c:spPr>
    </c:title>
    <c:autoTitleDeleted val="0"/>
    <c:plotArea>
      <c:layout>
        <c:manualLayout>
          <c:xMode val="edge"/>
          <c:yMode val="edge"/>
          <c:x val="4.6014257939079699E-2"/>
          <c:y val="7.3026190021028503E-2"/>
          <c:w val="0.94270900842514604"/>
          <c:h val="0.8814758172433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'Data without'!$P$2</c:f>
              <c:strCache>
                <c:ptCount val="1"/>
                <c:pt idx="0">
                  <c:v> Frequency rate (%) </c:v>
                </c:pt>
              </c:strCache>
            </c:strRef>
          </c:tx>
          <c:spPr>
            <a:ln w="12600">
              <a:solidFill>
                <a:srgbClr val="8080FF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1"/>
            <c:trendlineLbl>
              <c:numFmt formatCode="General" sourceLinked="0"/>
            </c:trendlineLbl>
          </c:trendline>
          <c:xVal>
            <c:numRef>
              <c:f>'Data without'!$O$3:$O$50</c:f>
              <c:numCache>
                <c:formatCode>_-* #,##0_-;\-* #,##0_-;_-* \-??_-;_-@_-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</c:numCache>
            </c:numRef>
          </c:xVal>
          <c:yVal>
            <c:numRef>
              <c:f>'Data without'!$P$3:$P$50</c:f>
              <c:numCache>
                <c:formatCode>0.00%</c:formatCode>
                <c:ptCount val="48"/>
                <c:pt idx="0">
                  <c:v>9.9988297033499887E-2</c:v>
                </c:pt>
                <c:pt idx="1">
                  <c:v>9.2423893795553685E-2</c:v>
                </c:pt>
                <c:pt idx="2">
                  <c:v>8.5871309662494344E-2</c:v>
                </c:pt>
                <c:pt idx="3">
                  <c:v>8.0091520839683475E-2</c:v>
                </c:pt>
                <c:pt idx="4">
                  <c:v>7.4921323558122019E-2</c:v>
                </c:pt>
                <c:pt idx="5">
                  <c:v>7.0244311211961841E-2</c:v>
                </c:pt>
                <c:pt idx="6">
                  <c:v>6.5974533468677918E-2</c:v>
                </c:pt>
                <c:pt idx="7">
                  <c:v>6.2046718698232695E-2</c:v>
                </c:pt>
                <c:pt idx="8">
                  <c:v>5.8410130230731744E-2</c:v>
                </c:pt>
                <c:pt idx="9">
                  <c:v>5.502454736430562E-2</c:v>
                </c:pt>
                <c:pt idx="10">
                  <c:v>5.1857546097672375E-2</c:v>
                </c:pt>
                <c:pt idx="11">
                  <c:v>4.8882605694675757E-2</c:v>
                </c:pt>
                <c:pt idx="12">
                  <c:v>4.6077757274861547E-2</c:v>
                </c:pt>
                <c:pt idx="13">
                  <c:v>4.3424598274188042E-2</c:v>
                </c:pt>
                <c:pt idx="14">
                  <c:v>4.0907559993300063E-2</c:v>
                </c:pt>
                <c:pt idx="15">
                  <c:v>3.8513354036915332E-2</c:v>
                </c:pt>
                <c:pt idx="16">
                  <c:v>3.6230547647139871E-2</c:v>
                </c:pt>
                <c:pt idx="17">
                  <c:v>3.4049233512813443E-2</c:v>
                </c:pt>
                <c:pt idx="18">
                  <c:v>3.1960769903855962E-2</c:v>
                </c:pt>
                <c:pt idx="19">
                  <c:v>2.9957573888927752E-2</c:v>
                </c:pt>
                <c:pt idx="20">
                  <c:v>2.8032955133410697E-2</c:v>
                </c:pt>
                <c:pt idx="21">
                  <c:v>2.6180981081045107E-2</c:v>
                </c:pt>
                <c:pt idx="22">
                  <c:v>2.4396366665909774E-2</c:v>
                </c:pt>
                <c:pt idx="23">
                  <c:v>2.2674383386292463E-2</c:v>
                </c:pt>
                <c:pt idx="24">
                  <c:v>2.1010783799483651E-2</c:v>
                </c:pt>
                <c:pt idx="25">
                  <c:v>1.940173840174772E-2</c:v>
                </c:pt>
                <c:pt idx="26">
                  <c:v>1.7843782532850405E-2</c:v>
                </c:pt>
                <c:pt idx="27">
                  <c:v>1.6333771453323459E-2</c:v>
                </c:pt>
                <c:pt idx="28">
                  <c:v>1.4868842129853788E-2</c:v>
                </c:pt>
                <c:pt idx="29">
                  <c:v>1.3446380561537463E-2</c:v>
                </c:pt>
                <c:pt idx="30">
                  <c:v>1.206399371003955E-2</c:v>
                </c:pt>
                <c:pt idx="31">
                  <c:v>1.0719485276491081E-2</c:v>
                </c:pt>
                <c:pt idx="32">
                  <c:v>9.4108347093660727E-3</c:v>
                </c:pt>
                <c:pt idx="33">
                  <c:v>8.1361789395943129E-3</c:v>
                </c:pt>
                <c:pt idx="34">
                  <c:v>6.8937964284780939E-3</c:v>
                </c:pt>
                <c:pt idx="35">
                  <c:v>5.6820931856427503E-3</c:v>
                </c:pt>
                <c:pt idx="36">
                  <c:v>4.4995904720933344E-3</c:v>
                </c:pt>
                <c:pt idx="37">
                  <c:v>3.3449139503964054E-3</c:v>
                </c:pt>
                <c:pt idx="38">
                  <c:v>2.2167840823179297E-3</c:v>
                </c:pt>
                <c:pt idx="39">
                  <c:v>1.1140076056672388E-3</c:v>
                </c:pt>
                <c:pt idx="40">
                  <c:v>3.5469947991445538E-5</c:v>
                </c:pt>
                <c:pt idx="41">
                  <c:v>-1.0198715437988448E-3</c:v>
                </c:pt>
                <c:pt idx="42">
                  <c:v>-2.0529936609660071E-3</c:v>
                </c:pt>
                <c:pt idx="43">
                  <c:v>-3.0648127658528534E-3</c:v>
                </c:pt>
                <c:pt idx="44">
                  <c:v>-4.0561896758942173E-3</c:v>
                </c:pt>
                <c:pt idx="45">
                  <c:v>-5.0279340639625969E-3</c:v>
                </c:pt>
                <c:pt idx="46">
                  <c:v>-5.9808084314112442E-3</c:v>
                </c:pt>
                <c:pt idx="47">
                  <c:v>-6.9155317026599883E-3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5F3-4D47-BEC5-E5C1315D0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04992"/>
        <c:axId val="6049464"/>
      </c:scatterChart>
      <c:valAx>
        <c:axId val="25404992"/>
        <c:scaling>
          <c:orientation val="minMax"/>
          <c:max val="50"/>
        </c:scaling>
        <c:delete val="0"/>
        <c:axPos val="b"/>
        <c:majorGridlines>
          <c:spPr>
            <a:ln w="0">
              <a:solidFill>
                <a:srgbClr val="E3E3E3"/>
              </a:solidFill>
              <a:prstDash val="solid"/>
            </a:ln>
          </c:spPr>
        </c:majorGridlines>
        <c:title>
          <c:tx>
            <c:rich>
              <a:bodyPr rot="0"/>
              <a:lstStyle/>
              <a:p>
                <a:pPr>
                  <a:defRPr sz="1300" b="0" strike="noStrike">
                    <a:uFillTx/>
                    <a:latin typeface="Arial"/>
                  </a:defRPr>
                </a:pPr>
                <a:r>
                  <a:rPr lang="en-GB" sz="1000" b="0" strike="noStrike">
                    <a:solidFill>
                      <a:srgbClr val="424242"/>
                    </a:solidFill>
                    <a:uFillTx/>
                    <a:latin typeface="Calibri"/>
                  </a:rPr>
                  <a:t>Cost per trip(€)</a:t>
                </a:r>
              </a:p>
            </c:rich>
          </c:tx>
          <c:layout>
            <c:manualLayout>
              <c:xMode val="edge"/>
              <c:yMode val="edge"/>
              <c:x val="0.47388204795852201"/>
              <c:y val="0.94564455489708799"/>
            </c:manualLayout>
          </c:layout>
          <c:overlay val="0"/>
          <c:spPr>
            <a:noFill/>
            <a:ln w="0">
              <a:noFill/>
              <a:prstDash val="solid"/>
            </a:ln>
          </c:spPr>
        </c:title>
        <c:numFmt formatCode="_-* #,##0_-;\-* #,##0_-;_-* \-??_-;_-@_-" sourceLinked="1"/>
        <c:majorTickMark val="none"/>
        <c:minorTickMark val="none"/>
        <c:tickLblPos val="nextTo"/>
        <c:spPr>
          <a:ln w="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 b="0" strike="noStrike">
                <a:solidFill>
                  <a:srgbClr val="424242"/>
                </a:solidFill>
                <a:uFillTx/>
                <a:latin typeface="Calibri"/>
              </a:defRPr>
            </a:pPr>
            <a:endParaRPr lang="en-US"/>
          </a:p>
        </c:txPr>
        <c:crossAx val="6049464"/>
        <c:crossesAt val="0"/>
        <c:crossBetween val="midCat"/>
      </c:valAx>
      <c:valAx>
        <c:axId val="6049464"/>
        <c:scaling>
          <c:orientation val="minMax"/>
          <c:min val="0"/>
        </c:scaling>
        <c:delete val="0"/>
        <c:axPos val="l"/>
        <c:majorGridlines>
          <c:spPr>
            <a:ln w="0">
              <a:solidFill>
                <a:srgbClr val="E3E3E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strike="noStrike">
                    <a:uFillTx/>
                    <a:latin typeface="Arial"/>
                  </a:defRPr>
                </a:pPr>
                <a:r>
                  <a:rPr lang="en-GB" sz="1000" b="0" strike="noStrike">
                    <a:solidFill>
                      <a:srgbClr val="424242"/>
                    </a:solidFill>
                    <a:uFillTx/>
                    <a:latin typeface="Calibri"/>
                  </a:rPr>
                  <a:t>Frequqency rate</a:t>
                </a:r>
              </a:p>
            </c:rich>
          </c:tx>
          <c:layout>
            <c:manualLayout>
              <c:xMode val="edge"/>
              <c:yMode val="edge"/>
              <c:x val="1.0844674875783099E-2"/>
              <c:y val="0.23520040782514501"/>
            </c:manualLayout>
          </c:layout>
          <c:overlay val="0"/>
          <c:spPr>
            <a:noFill/>
            <a:ln w="0">
              <a:noFill/>
              <a:prstDash val="solid"/>
            </a:ln>
          </c:spPr>
        </c:title>
        <c:numFmt formatCode="0.00%" sourceLinked="1"/>
        <c:majorTickMark val="none"/>
        <c:minorTickMark val="none"/>
        <c:tickLblPos val="nextTo"/>
        <c:spPr>
          <a:ln w="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 b="0" strike="noStrike">
                <a:solidFill>
                  <a:srgbClr val="424242"/>
                </a:solidFill>
                <a:uFillTx/>
                <a:latin typeface="Calibri"/>
              </a:defRPr>
            </a:pPr>
            <a:endParaRPr lang="en-US"/>
          </a:p>
        </c:txPr>
        <c:crossAx val="25404992"/>
        <c:crossesAt val="0"/>
        <c:crossBetween val="midCat"/>
      </c:valAx>
    </c:plotArea>
    <c:plotVisOnly val="1"/>
    <c:dispBlanksAs val="gap"/>
    <c:showDLblsOverMax val="1"/>
  </c:chart>
  <c:spPr>
    <a:solidFill>
      <a:srgbClr val="FFFFFF"/>
    </a:solidFill>
    <a:ln w="0">
      <a:solidFill>
        <a:srgbClr val="E3E3E3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300" b="0" strike="noStrike">
                <a:uFillTx/>
                <a:latin typeface="Arial"/>
              </a:defRPr>
            </a:pPr>
            <a:r>
              <a:rPr lang="en-GB" sz="1400" b="0" strike="noStrike">
                <a:solidFill>
                  <a:srgbClr val="424242"/>
                </a:solidFill>
                <a:uFillTx/>
                <a:latin typeface="Calibri"/>
              </a:rPr>
              <a:t>Frequency</a:t>
            </a:r>
            <a:r>
              <a:rPr lang="en-GB" sz="1400" b="0" strike="noStrike" baseline="0">
                <a:solidFill>
                  <a:srgbClr val="424242"/>
                </a:solidFill>
                <a:uFillTx/>
                <a:latin typeface="Calibri"/>
              </a:rPr>
              <a:t> rate with damage</a:t>
            </a:r>
            <a:endParaRPr lang="en-GB" sz="1400" b="0" strike="noStrike">
              <a:solidFill>
                <a:srgbClr val="424242"/>
              </a:solidFill>
              <a:uFillTx/>
              <a:latin typeface="Calibri"/>
            </a:endParaRPr>
          </a:p>
        </c:rich>
      </c:tx>
      <c:layout>
        <c:manualLayout>
          <c:xMode val="edge"/>
          <c:yMode val="edge"/>
          <c:x val="0.45625405055087498"/>
          <c:y val="2.8101701395526701E-2"/>
        </c:manualLayout>
      </c:layout>
      <c:overlay val="0"/>
      <c:spPr>
        <a:noFill/>
        <a:ln w="0">
          <a:noFill/>
          <a:prstDash val="solid"/>
        </a:ln>
      </c:spPr>
    </c:title>
    <c:autoTitleDeleted val="0"/>
    <c:plotArea>
      <c:layout>
        <c:manualLayout>
          <c:xMode val="edge"/>
          <c:yMode val="edge"/>
          <c:x val="4.6014257939079699E-2"/>
          <c:y val="7.3281080736634197E-2"/>
          <c:w val="0.94270900842514604"/>
          <c:h val="0.881666985280061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'Data with'!$P$2</c:f>
              <c:strCache>
                <c:ptCount val="1"/>
                <c:pt idx="0">
                  <c:v> Frequency rate (%) </c:v>
                </c:pt>
              </c:strCache>
            </c:strRef>
          </c:tx>
          <c:spPr>
            <a:ln w="12600">
              <a:solidFill>
                <a:srgbClr val="8080FF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0">
                <a:solidFill>
                  <a:srgbClr val="000000"/>
                </a:solidFill>
                <a:prstDash val="solid"/>
              </a:ln>
            </c:spPr>
            <c:trendlineType val="log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'Data with'!$O$3:$O$50</c:f>
              <c:numCache>
                <c:formatCode>_-* #,##0_-;\-* #,##0_-;_-* \-??_-;_-@_-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</c:numCache>
            </c:numRef>
          </c:xVal>
          <c:yVal>
            <c:numRef>
              <c:f>'Data with'!$P$3:$P$50</c:f>
              <c:numCache>
                <c:formatCode>0%</c:formatCode>
                <c:ptCount val="48"/>
                <c:pt idx="0">
                  <c:v>0.14899981428840781</c:v>
                </c:pt>
                <c:pt idx="1">
                  <c:v>0.12108448916865122</c:v>
                </c:pt>
                <c:pt idx="2">
                  <c:v>0.1047550707781543</c:v>
                </c:pt>
                <c:pt idx="3">
                  <c:v>9.3169164048894637E-2</c:v>
                </c:pt>
                <c:pt idx="4">
                  <c:v>8.4182436614930065E-2</c:v>
                </c:pt>
                <c:pt idx="5">
                  <c:v>7.6839745658397712E-2</c:v>
                </c:pt>
                <c:pt idx="6">
                  <c:v>7.0631588912620877E-2</c:v>
                </c:pt>
                <c:pt idx="7">
                  <c:v>6.5253838929138039E-2</c:v>
                </c:pt>
                <c:pt idx="8">
                  <c:v>6.0510327267900774E-2</c:v>
                </c:pt>
                <c:pt idx="9">
                  <c:v>5.6267111495173466E-2</c:v>
                </c:pt>
                <c:pt idx="10">
                  <c:v>5.242865592458186E-2</c:v>
                </c:pt>
                <c:pt idx="11">
                  <c:v>4.8924420538641114E-2</c:v>
                </c:pt>
                <c:pt idx="12">
                  <c:v>4.5700836470438794E-2</c:v>
                </c:pt>
                <c:pt idx="13">
                  <c:v>4.2716263792864279E-2</c:v>
                </c:pt>
                <c:pt idx="14">
                  <c:v>3.9937693104676542E-2</c:v>
                </c:pt>
                <c:pt idx="15">
                  <c:v>3.7338513809381454E-2</c:v>
                </c:pt>
                <c:pt idx="16">
                  <c:v>3.4896960159980575E-2</c:v>
                </c:pt>
                <c:pt idx="17">
                  <c:v>3.2595002148144189E-2</c:v>
                </c:pt>
                <c:pt idx="18">
                  <c:v>3.0417536665470951E-2</c:v>
                </c:pt>
                <c:pt idx="19">
                  <c:v>2.8351786375416896E-2</c:v>
                </c:pt>
                <c:pt idx="20">
                  <c:v>2.6386845402367368E-2</c:v>
                </c:pt>
                <c:pt idx="21">
                  <c:v>2.4513330804825262E-2</c:v>
                </c:pt>
                <c:pt idx="22">
                  <c:v>2.2723111585714245E-2</c:v>
                </c:pt>
                <c:pt idx="23">
                  <c:v>2.1009095418884516E-2</c:v>
                </c:pt>
                <c:pt idx="24">
                  <c:v>1.9365058941452323E-2</c:v>
                </c:pt>
                <c:pt idx="25">
                  <c:v>1.7785511350682182E-2</c:v>
                </c:pt>
                <c:pt idx="26">
                  <c:v>1.6265583757647278E-2</c:v>
                </c:pt>
                <c:pt idx="27">
                  <c:v>1.4800938673107694E-2</c:v>
                </c:pt>
                <c:pt idx="28">
                  <c:v>1.3387695383822978E-2</c:v>
                </c:pt>
                <c:pt idx="29">
                  <c:v>1.2022367984919957E-2</c:v>
                </c:pt>
                <c:pt idx="30">
                  <c:v>1.0701813576859648E-2</c:v>
                </c:pt>
                <c:pt idx="31">
                  <c:v>9.423188689624884E-3</c:v>
                </c:pt>
                <c:pt idx="32">
                  <c:v>8.183912414328337E-3</c:v>
                </c:pt>
                <c:pt idx="33">
                  <c:v>6.9816350402239769E-3</c:v>
                </c:pt>
                <c:pt idx="34">
                  <c:v>5.8142112391431355E-3</c:v>
                </c:pt>
                <c:pt idx="35">
                  <c:v>4.6796770283876188E-3</c:v>
                </c:pt>
                <c:pt idx="36">
                  <c:v>3.5762298906654999E-3</c:v>
                </c:pt>
                <c:pt idx="37">
                  <c:v>2.5022115457143668E-3</c:v>
                </c:pt>
                <c:pt idx="38">
                  <c:v>1.4560929601852846E-3</c:v>
                </c:pt>
                <c:pt idx="39">
                  <c:v>4.3646125566029759E-4</c:v>
                </c:pt>
                <c:pt idx="40">
                  <c:v>-5.5799176650964122E-4</c:v>
                </c:pt>
                <c:pt idx="41">
                  <c:v>-1.5284797173892306E-3</c:v>
                </c:pt>
                <c:pt idx="42">
                  <c:v>-2.4761305249774712E-3</c:v>
                </c:pt>
                <c:pt idx="43">
                  <c:v>-3.4019943149312948E-3</c:v>
                </c:pt>
                <c:pt idx="44">
                  <c:v>-4.3070504055769676E-3</c:v>
                </c:pt>
                <c:pt idx="45">
                  <c:v>-5.192213534042367E-3</c:v>
                </c:pt>
                <c:pt idx="46">
                  <c:v>-6.058339412748831E-3</c:v>
                </c:pt>
                <c:pt idx="47">
                  <c:v>-6.9062297008720686E-3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073-4568-BCBB-94468BC41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548247"/>
        <c:axId val="35065375"/>
      </c:scatterChart>
      <c:valAx>
        <c:axId val="35548247"/>
        <c:scaling>
          <c:orientation val="minMax"/>
          <c:max val="50"/>
        </c:scaling>
        <c:delete val="0"/>
        <c:axPos val="b"/>
        <c:majorGridlines>
          <c:spPr>
            <a:ln w="0">
              <a:solidFill>
                <a:srgbClr val="E3E3E3"/>
              </a:solidFill>
              <a:prstDash val="solid"/>
            </a:ln>
          </c:spPr>
        </c:majorGridlines>
        <c:title>
          <c:tx>
            <c:rich>
              <a:bodyPr rot="0"/>
              <a:lstStyle/>
              <a:p>
                <a:pPr>
                  <a:defRPr sz="1300" b="0" strike="noStrike">
                    <a:uFillTx/>
                    <a:latin typeface="Arial"/>
                  </a:defRPr>
                </a:pPr>
                <a:r>
                  <a:rPr lang="en-GB" sz="1000" b="0" strike="noStrike">
                    <a:solidFill>
                      <a:srgbClr val="424242"/>
                    </a:solidFill>
                    <a:uFillTx/>
                    <a:latin typeface="Calibri"/>
                  </a:rPr>
                  <a:t>Cost per trip(€)</a:t>
                </a:r>
              </a:p>
            </c:rich>
          </c:tx>
          <c:layout>
            <c:manualLayout>
              <c:xMode val="edge"/>
              <c:yMode val="edge"/>
              <c:x val="0.46753078418664901"/>
              <c:y val="0.946600395080609"/>
            </c:manualLayout>
          </c:layout>
          <c:overlay val="0"/>
          <c:spPr>
            <a:noFill/>
            <a:ln w="0">
              <a:noFill/>
              <a:prstDash val="solid"/>
            </a:ln>
          </c:spPr>
        </c:title>
        <c:numFmt formatCode="_-* #,##0_-;\-* #,##0_-;_-* \-??_-;_-@_-" sourceLinked="1"/>
        <c:majorTickMark val="none"/>
        <c:minorTickMark val="none"/>
        <c:tickLblPos val="nextTo"/>
        <c:spPr>
          <a:ln w="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 b="0" strike="noStrike">
                <a:solidFill>
                  <a:srgbClr val="424242"/>
                </a:solidFill>
                <a:uFillTx/>
                <a:latin typeface="Calibri"/>
              </a:defRPr>
            </a:pPr>
            <a:endParaRPr lang="en-US"/>
          </a:p>
        </c:txPr>
        <c:crossAx val="35065375"/>
        <c:crossesAt val="0"/>
        <c:crossBetween val="midCat"/>
      </c:valAx>
      <c:valAx>
        <c:axId val="35065375"/>
        <c:scaling>
          <c:orientation val="minMax"/>
          <c:max val="0.2"/>
          <c:min val="0"/>
        </c:scaling>
        <c:delete val="0"/>
        <c:axPos val="l"/>
        <c:majorGridlines>
          <c:spPr>
            <a:ln w="0">
              <a:solidFill>
                <a:srgbClr val="E3E3E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strike="noStrike">
                    <a:uFillTx/>
                    <a:latin typeface="Arial"/>
                  </a:defRPr>
                </a:pPr>
                <a:r>
                  <a:rPr lang="en-GB" sz="1000" b="0" strike="noStrike">
                    <a:solidFill>
                      <a:srgbClr val="424242"/>
                    </a:solidFill>
                    <a:uFillTx/>
                    <a:latin typeface="Calibri"/>
                  </a:rPr>
                  <a:t>Frequency</a:t>
                </a:r>
                <a:r>
                  <a:rPr lang="en-GB" sz="1000" b="0" strike="noStrike" baseline="0">
                    <a:solidFill>
                      <a:srgbClr val="424242"/>
                    </a:solidFill>
                    <a:uFillTx/>
                    <a:latin typeface="Calibri"/>
                  </a:rPr>
                  <a:t> rate</a:t>
                </a:r>
                <a:endParaRPr lang="en-GB" sz="1000" b="0" strike="noStrike">
                  <a:solidFill>
                    <a:srgbClr val="424242"/>
                  </a:solidFill>
                  <a:uFillTx/>
                  <a:latin typeface="Calibri"/>
                </a:endParaRPr>
              </a:p>
            </c:rich>
          </c:tx>
          <c:layout>
            <c:manualLayout>
              <c:xMode val="edge"/>
              <c:yMode val="edge"/>
              <c:x val="1.0844674875783099E-2"/>
              <c:y val="0.23545529854075101"/>
            </c:manualLayout>
          </c:layout>
          <c:overlay val="0"/>
          <c:spPr>
            <a:noFill/>
            <a:ln w="0">
              <a:noFill/>
              <a:prstDash val="solid"/>
            </a:ln>
          </c:spPr>
        </c:title>
        <c:numFmt formatCode="0%" sourceLinked="1"/>
        <c:majorTickMark val="none"/>
        <c:minorTickMark val="none"/>
        <c:tickLblPos val="nextTo"/>
        <c:spPr>
          <a:ln w="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 b="0" strike="noStrike">
                <a:solidFill>
                  <a:srgbClr val="424242"/>
                </a:solidFill>
                <a:uFillTx/>
                <a:latin typeface="Calibri"/>
              </a:defRPr>
            </a:pPr>
            <a:endParaRPr lang="en-US"/>
          </a:p>
        </c:txPr>
        <c:crossAx val="35548247"/>
        <c:crossesAt val="0"/>
        <c:crossBetween val="midCat"/>
      </c:valAx>
    </c:plotArea>
    <c:plotVisOnly val="1"/>
    <c:dispBlanksAs val="gap"/>
    <c:showDLblsOverMax val="1"/>
  </c:chart>
  <c:spPr>
    <a:solidFill>
      <a:srgbClr val="FFFFFF"/>
    </a:solidFill>
    <a:ln w="0">
      <a:solidFill>
        <a:srgbClr val="E3E3E3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300" b="0" strike="noStrike">
                <a:uFillTx/>
                <a:latin typeface="Arial"/>
              </a:defRPr>
            </a:pPr>
            <a:r>
              <a:rPr lang="en-GB" sz="1440" b="0" strike="noStrike">
                <a:solidFill>
                  <a:srgbClr val="424242"/>
                </a:solidFill>
                <a:uFillTx/>
                <a:latin typeface="Arial"/>
              </a:rPr>
              <a:t>The</a:t>
            </a:r>
            <a:r>
              <a:rPr lang="en-GB" sz="1440" b="0" strike="noStrike" baseline="0">
                <a:solidFill>
                  <a:srgbClr val="424242"/>
                </a:solidFill>
                <a:uFillTx/>
                <a:latin typeface="Arial"/>
              </a:rPr>
              <a:t> demand functions "with" and "without" damage</a:t>
            </a:r>
            <a:endParaRPr lang="en-GB" sz="1440" b="0" strike="noStrike">
              <a:solidFill>
                <a:srgbClr val="424242"/>
              </a:solidFill>
              <a:uFillTx/>
              <a:latin typeface="Arial"/>
            </a:endParaRPr>
          </a:p>
        </c:rich>
      </c:tx>
      <c:layout>
        <c:manualLayout>
          <c:xMode val="edge"/>
          <c:yMode val="edge"/>
          <c:x val="0.30559516094188799"/>
          <c:y val="2.7783088001019599E-2"/>
        </c:manualLayout>
      </c:layout>
      <c:overlay val="0"/>
      <c:spPr>
        <a:noFill/>
        <a:ln w="0">
          <a:noFill/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8.9003349907614659E-2"/>
          <c:y val="8.5957440824276407E-2"/>
          <c:w val="0.71767038711712661"/>
          <c:h val="0.75103006604718769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'Data without'!$S$2</c:f>
              <c:strCache>
                <c:ptCount val="1"/>
                <c:pt idx="0">
                  <c:v> Additional cost per visit "without damage" </c:v>
                </c:pt>
              </c:strCache>
            </c:strRef>
          </c:tx>
          <c:spPr>
            <a:ln w="12600">
              <a:solidFill>
                <a:srgbClr val="8080FF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2600">
                <a:solidFill>
                  <a:srgbClr val="8080FF"/>
                </a:solidFill>
                <a:prstDash val="solid"/>
                <a:round/>
              </a:ln>
            </c:spPr>
            <c:trendlineType val="log"/>
            <c:dispRSqr val="0"/>
            <c:dispEq val="1"/>
            <c:trendlineLbl>
              <c:layout>
                <c:manualLayout>
                  <c:x val="-0.11197692619687842"/>
                  <c:y val="-9.1678176951220852E-2"/>
                </c:manualLayout>
              </c:layout>
              <c:numFmt formatCode="General" sourceLinked="0"/>
            </c:trendlineLbl>
          </c:trendline>
          <c:xVal>
            <c:numRef>
              <c:f>'Data without'!$R$3:$R$19</c:f>
              <c:numCache>
                <c:formatCode>_-* #,##0_-;\-* #,##0_-;_-* \-??_-;_-@_-</c:formatCode>
                <c:ptCount val="17"/>
                <c:pt idx="0">
                  <c:v>1</c:v>
                </c:pt>
                <c:pt idx="1">
                  <c:v>100</c:v>
                </c:pt>
                <c:pt idx="2">
                  <c:v>1000</c:v>
                </c:pt>
                <c:pt idx="3">
                  <c:v>2000</c:v>
                </c:pt>
                <c:pt idx="4">
                  <c:v>10000</c:v>
                </c:pt>
                <c:pt idx="5">
                  <c:v>20000</c:v>
                </c:pt>
                <c:pt idx="6">
                  <c:v>30000</c:v>
                </c:pt>
                <c:pt idx="7">
                  <c:v>40000</c:v>
                </c:pt>
                <c:pt idx="8">
                  <c:v>50000</c:v>
                </c:pt>
                <c:pt idx="9">
                  <c:v>60000</c:v>
                </c:pt>
                <c:pt idx="10">
                  <c:v>70000</c:v>
                </c:pt>
                <c:pt idx="11">
                  <c:v>80000</c:v>
                </c:pt>
                <c:pt idx="12">
                  <c:v>90000</c:v>
                </c:pt>
                <c:pt idx="13">
                  <c:v>100000</c:v>
                </c:pt>
                <c:pt idx="14">
                  <c:v>110000</c:v>
                </c:pt>
                <c:pt idx="15">
                  <c:v>120000</c:v>
                </c:pt>
                <c:pt idx="16">
                  <c:v>130000</c:v>
                </c:pt>
              </c:numCache>
            </c:numRef>
          </c:xVal>
          <c:yVal>
            <c:numRef>
              <c:f>'Data without'!$S$3:$S$19</c:f>
              <c:numCache>
                <c:formatCode>_-* #,##0_-;\-* #,##0_-;_-* \-??_-;_-@_-</c:formatCode>
                <c:ptCount val="17"/>
                <c:pt idx="0">
                  <c:v>45.720999999999997</c:v>
                </c:pt>
                <c:pt idx="1">
                  <c:v>28.018725805061774</c:v>
                </c:pt>
                <c:pt idx="2">
                  <c:v>19.167588707592664</c:v>
                </c:pt>
                <c:pt idx="3">
                  <c:v>16.503130945520233</c:v>
                </c:pt>
                <c:pt idx="4">
                  <c:v>10.316451610123551</c:v>
                </c:pt>
                <c:pt idx="5">
                  <c:v>7.6519938480511271</c:v>
                </c:pt>
                <c:pt idx="6">
                  <c:v>6.0933859724833397</c:v>
                </c:pt>
                <c:pt idx="7">
                  <c:v>4.9875360859786966</c:v>
                </c:pt>
                <c:pt idx="8">
                  <c:v>4.1297722747268679</c:v>
                </c:pt>
                <c:pt idx="9">
                  <c:v>3.4289282104109091</c:v>
                </c:pt>
                <c:pt idx="10">
                  <c:v>2.8363729971549319</c:v>
                </c:pt>
                <c:pt idx="11">
                  <c:v>2.323078323906266</c:v>
                </c:pt>
                <c:pt idx="12">
                  <c:v>1.8703203348431288</c:v>
                </c:pt>
                <c:pt idx="13">
                  <c:v>1.4653145126544374</c:v>
                </c:pt>
                <c:pt idx="14">
                  <c:v>1.0989421814866205</c:v>
                </c:pt>
                <c:pt idx="15">
                  <c:v>0.76447044833847855</c:v>
                </c:pt>
                <c:pt idx="16">
                  <c:v>0.4567862800414062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A29-48E4-A5D9-FDA0B2E3F94B}"/>
            </c:ext>
          </c:extLst>
        </c:ser>
        <c:ser>
          <c:idx val="1"/>
          <c:order val="1"/>
          <c:tx>
            <c:strRef>
              <c:f>'Data without'!$T$2</c:f>
              <c:strCache>
                <c:ptCount val="1"/>
                <c:pt idx="0">
                  <c:v> Additional cost per visit "with damage" </c:v>
                </c:pt>
              </c:strCache>
            </c:strRef>
          </c:tx>
          <c:spPr>
            <a:ln w="12600">
              <a:solidFill>
                <a:srgbClr val="FF808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2600">
                <a:solidFill>
                  <a:srgbClr val="FF8080"/>
                </a:solidFill>
                <a:prstDash val="solid"/>
                <a:round/>
              </a:ln>
            </c:spPr>
            <c:trendlineType val="log"/>
            <c:dispRSqr val="0"/>
            <c:dispEq val="1"/>
            <c:trendlineLbl>
              <c:layout>
                <c:manualLayout>
                  <c:x val="-0.44402481635596147"/>
                  <c:y val="-6.4201335295175105E-2"/>
                </c:manualLayout>
              </c:layout>
              <c:numFmt formatCode="General" sourceLinked="0"/>
            </c:trendlineLbl>
          </c:trendline>
          <c:xVal>
            <c:numRef>
              <c:f>'Data without'!$R$3:$R$19</c:f>
              <c:numCache>
                <c:formatCode>_-* #,##0_-;\-* #,##0_-;_-* \-??_-;_-@_-</c:formatCode>
                <c:ptCount val="17"/>
                <c:pt idx="0">
                  <c:v>1</c:v>
                </c:pt>
                <c:pt idx="1">
                  <c:v>100</c:v>
                </c:pt>
                <c:pt idx="2">
                  <c:v>1000</c:v>
                </c:pt>
                <c:pt idx="3">
                  <c:v>2000</c:v>
                </c:pt>
                <c:pt idx="4">
                  <c:v>10000</c:v>
                </c:pt>
                <c:pt idx="5">
                  <c:v>20000</c:v>
                </c:pt>
                <c:pt idx="6">
                  <c:v>30000</c:v>
                </c:pt>
                <c:pt idx="7">
                  <c:v>40000</c:v>
                </c:pt>
                <c:pt idx="8">
                  <c:v>50000</c:v>
                </c:pt>
                <c:pt idx="9">
                  <c:v>60000</c:v>
                </c:pt>
                <c:pt idx="10">
                  <c:v>70000</c:v>
                </c:pt>
                <c:pt idx="11">
                  <c:v>80000</c:v>
                </c:pt>
                <c:pt idx="12">
                  <c:v>90000</c:v>
                </c:pt>
                <c:pt idx="13">
                  <c:v>100000</c:v>
                </c:pt>
                <c:pt idx="14">
                  <c:v>110000</c:v>
                </c:pt>
                <c:pt idx="15">
                  <c:v>120000</c:v>
                </c:pt>
                <c:pt idx="16">
                  <c:v>130000</c:v>
                </c:pt>
              </c:numCache>
            </c:numRef>
          </c:xVal>
          <c:yVal>
            <c:numRef>
              <c:f>'Data without'!$T$3:$T$19</c:f>
              <c:numCache>
                <c:formatCode>_-* #,##0_-;\-* #,##0_-;_-* \-??_-;_-@_-</c:formatCode>
                <c:ptCount val="17"/>
                <c:pt idx="0">
                  <c:v>20.32</c:v>
                </c:pt>
                <c:pt idx="1">
                  <c:v>12.343845237868624</c:v>
                </c:pt>
                <c:pt idx="2">
                  <c:v>8.3557678568029399</c:v>
                </c:pt>
                <c:pt idx="3">
                  <c:v>7.1552369400731148</c:v>
                </c:pt>
                <c:pt idx="4">
                  <c:v>4.3676904757372501</c:v>
                </c:pt>
                <c:pt idx="5">
                  <c:v>3.1671595590074269</c:v>
                </c:pt>
                <c:pt idx="6">
                  <c:v>2.464893991764086</c:v>
                </c:pt>
                <c:pt idx="7">
                  <c:v>1.9666286422776018</c:v>
                </c:pt>
                <c:pt idx="8">
                  <c:v>1.5801440114013907</c:v>
                </c:pt>
                <c:pt idx="9">
                  <c:v>1.2643630750342609</c:v>
                </c:pt>
                <c:pt idx="10">
                  <c:v>0.99737409757345219</c:v>
                </c:pt>
                <c:pt idx="11">
                  <c:v>0.76609772554777678</c:v>
                </c:pt>
                <c:pt idx="12">
                  <c:v>0.56209750779092005</c:v>
                </c:pt>
                <c:pt idx="13">
                  <c:v>0.37961309467156568</c:v>
                </c:pt>
                <c:pt idx="14">
                  <c:v>0.21453586325047524</c:v>
                </c:pt>
                <c:pt idx="15">
                  <c:v>6.3832158304435893E-2</c:v>
                </c:pt>
                <c:pt idx="16">
                  <c:v>-7.4801811386130623E-2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A29-48E4-A5D9-FDA0B2E3F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08491"/>
        <c:axId val="80615709"/>
      </c:scatterChart>
      <c:valAx>
        <c:axId val="43108491"/>
        <c:scaling>
          <c:orientation val="minMax"/>
          <c:max val="130000"/>
          <c:min val="0"/>
        </c:scaling>
        <c:delete val="0"/>
        <c:axPos val="b"/>
        <c:majorGridlines>
          <c:spPr>
            <a:ln w="0">
              <a:solidFill>
                <a:srgbClr val="E3E3E3"/>
              </a:solidFill>
              <a:prstDash val="solid"/>
            </a:ln>
          </c:spPr>
        </c:majorGridlines>
        <c:title>
          <c:tx>
            <c:rich>
              <a:bodyPr rot="0"/>
              <a:lstStyle/>
              <a:p>
                <a:pPr>
                  <a:defRPr sz="1300" b="0" strike="noStrike">
                    <a:uFillTx/>
                    <a:latin typeface="Arial"/>
                  </a:defRPr>
                </a:pPr>
                <a:r>
                  <a:rPr lang="en-GB" sz="1200" b="0" strike="noStrike">
                    <a:solidFill>
                      <a:srgbClr val="424242"/>
                    </a:solidFill>
                    <a:uFillTx/>
                    <a:latin typeface="Arial"/>
                  </a:rPr>
                  <a:t>Total</a:t>
                </a:r>
                <a:r>
                  <a:rPr lang="en-GB" sz="1200" b="0" strike="noStrike" baseline="0">
                    <a:solidFill>
                      <a:srgbClr val="424242"/>
                    </a:solidFill>
                    <a:uFillTx/>
                    <a:latin typeface="Arial"/>
                  </a:rPr>
                  <a:t> visit</a:t>
                </a:r>
                <a:endParaRPr lang="en-GB" sz="1200" b="0" strike="noStrike">
                  <a:solidFill>
                    <a:srgbClr val="424242"/>
                  </a:solidFill>
                  <a:uFillTx/>
                  <a:latin typeface="Arial"/>
                </a:endParaRPr>
              </a:p>
            </c:rich>
          </c:tx>
          <c:layout>
            <c:manualLayout>
              <c:xMode val="edge"/>
              <c:yMode val="edge"/>
              <c:x val="0.33220998055735601"/>
              <c:y val="0.94341426113553795"/>
            </c:manualLayout>
          </c:layout>
          <c:overlay val="0"/>
          <c:spPr>
            <a:noFill/>
            <a:ln w="0">
              <a:noFill/>
              <a:prstDash val="solid"/>
            </a:ln>
          </c:spPr>
        </c:title>
        <c:numFmt formatCode="_-* #,##0_-;\-* #,##0_-;_-* \-??_-;_-@_-" sourceLinked="1"/>
        <c:majorTickMark val="none"/>
        <c:minorTickMark val="none"/>
        <c:tickLblPos val="nextTo"/>
        <c:spPr>
          <a:ln w="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1200" b="0" strike="noStrike">
                <a:solidFill>
                  <a:srgbClr val="424242"/>
                </a:solidFill>
                <a:uFillTx/>
                <a:latin typeface="Arial"/>
              </a:defRPr>
            </a:pPr>
            <a:endParaRPr lang="en-US"/>
          </a:p>
        </c:txPr>
        <c:crossAx val="80615709"/>
        <c:crossesAt val="0"/>
        <c:crossBetween val="midCat"/>
      </c:valAx>
      <c:valAx>
        <c:axId val="80615709"/>
        <c:scaling>
          <c:orientation val="minMax"/>
          <c:max val="30"/>
          <c:min val="0"/>
        </c:scaling>
        <c:delete val="0"/>
        <c:axPos val="l"/>
        <c:majorGridlines>
          <c:spPr>
            <a:ln w="0">
              <a:solidFill>
                <a:srgbClr val="E3E3E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strike="noStrike">
                    <a:uFillTx/>
                    <a:latin typeface="Arial"/>
                  </a:defRPr>
                </a:pPr>
                <a:r>
                  <a:rPr lang="en-GB" sz="1200" b="0" strike="noStrike">
                    <a:solidFill>
                      <a:srgbClr val="424242"/>
                    </a:solidFill>
                    <a:uFillTx/>
                    <a:latin typeface="Arial"/>
                  </a:rPr>
                  <a:t>Additional</a:t>
                </a:r>
                <a:r>
                  <a:rPr lang="en-GB" sz="1200" b="0" strike="noStrike" baseline="0">
                    <a:solidFill>
                      <a:srgbClr val="424242"/>
                    </a:solidFill>
                    <a:uFillTx/>
                    <a:latin typeface="Arial"/>
                  </a:rPr>
                  <a:t> cost per trip</a:t>
                </a:r>
                <a:r>
                  <a:rPr lang="en-GB" sz="1200" b="0" strike="noStrike">
                    <a:solidFill>
                      <a:srgbClr val="424242"/>
                    </a:solidFill>
                    <a:uFillTx/>
                    <a:latin typeface="Arial"/>
                  </a:rPr>
                  <a:t> (€)</a:t>
                </a:r>
              </a:p>
            </c:rich>
          </c:tx>
          <c:layout>
            <c:manualLayout>
              <c:xMode val="edge"/>
              <c:yMode val="edge"/>
              <c:x val="1.0801468999784E-2"/>
              <c:y val="0.118524182756643"/>
            </c:manualLayout>
          </c:layout>
          <c:overlay val="0"/>
          <c:spPr>
            <a:noFill/>
            <a:ln w="0">
              <a:noFill/>
              <a:prstDash val="solid"/>
            </a:ln>
          </c:spPr>
        </c:title>
        <c:numFmt formatCode="_-* #,##0_-;\-* #,##0_-;_-* \-??_-;_-@_-" sourceLinked="1"/>
        <c:majorTickMark val="none"/>
        <c:minorTickMark val="none"/>
        <c:tickLblPos val="nextTo"/>
        <c:spPr>
          <a:ln w="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1200" b="0" strike="noStrike">
                <a:solidFill>
                  <a:srgbClr val="424242"/>
                </a:solidFill>
                <a:uFillTx/>
                <a:latin typeface="Arial"/>
              </a:defRPr>
            </a:pPr>
            <a:endParaRPr lang="en-US"/>
          </a:p>
        </c:txPr>
        <c:crossAx val="43108491"/>
        <c:crossesAt val="0"/>
        <c:crossBetween val="midCat"/>
      </c:valAx>
    </c:plotArea>
    <c:legend>
      <c:legendPos val="tr"/>
      <c:legendEntry>
        <c:idx val="2"/>
        <c:delete val="1"/>
      </c:legendEntry>
      <c:legendEntry>
        <c:idx val="3"/>
        <c:delete val="1"/>
      </c:legendEntry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100" b="0" strike="noStrike">
              <a:solidFill>
                <a:srgbClr val="424242"/>
              </a:solidFill>
              <a:uFillTx/>
              <a:latin typeface="Arial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0">
      <a:solidFill>
        <a:srgbClr val="E3E3E3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484920</xdr:colOff>
      <xdr:row>37</xdr:row>
      <xdr:rowOff>104760</xdr:rowOff>
    </xdr:from>
    <xdr:to>
      <xdr:col>6</xdr:col>
      <xdr:colOff>277200</xdr:colOff>
      <xdr:row>53</xdr:row>
      <xdr:rowOff>162000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360360</xdr:colOff>
      <xdr:row>1</xdr:row>
      <xdr:rowOff>16920</xdr:rowOff>
    </xdr:from>
    <xdr:to>
      <xdr:col>10</xdr:col>
      <xdr:colOff>564120</xdr:colOff>
      <xdr:row>35</xdr:row>
      <xdr:rowOff>139320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360360</xdr:colOff>
      <xdr:row>1</xdr:row>
      <xdr:rowOff>16920</xdr:rowOff>
    </xdr:from>
    <xdr:to>
      <xdr:col>10</xdr:col>
      <xdr:colOff>564120</xdr:colOff>
      <xdr:row>35</xdr:row>
      <xdr:rowOff>139320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360360</xdr:colOff>
      <xdr:row>1</xdr:row>
      <xdr:rowOff>16920</xdr:rowOff>
    </xdr:from>
    <xdr:to>
      <xdr:col>10</xdr:col>
      <xdr:colOff>564120</xdr:colOff>
      <xdr:row>35</xdr:row>
      <xdr:rowOff>139320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zoomScaleNormal="100" workbookViewId="0">
      <selection activeCell="C9" sqref="C9"/>
    </sheetView>
  </sheetViews>
  <sheetFormatPr defaultColWidth="8.92578125" defaultRowHeight="15.75" customHeight="1" x14ac:dyDescent="0.4"/>
  <cols>
    <col min="3" max="3" width="13" customWidth="1"/>
    <col min="4" max="4" width="11.2109375" customWidth="1"/>
    <col min="5" max="5" width="15.7109375" style="1" customWidth="1"/>
    <col min="6" max="6" width="12.140625" customWidth="1"/>
    <col min="7" max="7" width="15.7109375" style="1" customWidth="1"/>
    <col min="9" max="13" width="12.85546875" customWidth="1"/>
    <col min="14" max="14" width="14.640625" customWidth="1"/>
    <col min="15" max="16" width="12.85546875" customWidth="1"/>
  </cols>
  <sheetData>
    <row r="1" spans="1:19" ht="15.45" x14ac:dyDescent="0.4"/>
    <row r="2" spans="1:19" ht="63" customHeight="1" x14ac:dyDescent="0.4">
      <c r="A2" s="2" t="s">
        <v>0</v>
      </c>
      <c r="B2" s="3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4" t="s">
        <v>6</v>
      </c>
      <c r="I2" s="5" t="s">
        <v>0</v>
      </c>
      <c r="J2" s="6" t="s">
        <v>2</v>
      </c>
      <c r="K2" s="3" t="s">
        <v>1</v>
      </c>
      <c r="L2" s="2" t="s">
        <v>4</v>
      </c>
      <c r="M2" s="3" t="s">
        <v>3</v>
      </c>
      <c r="N2" s="2" t="s">
        <v>6</v>
      </c>
      <c r="O2" s="4" t="s">
        <v>5</v>
      </c>
    </row>
    <row r="3" spans="1:19" ht="15.75" customHeight="1" x14ac:dyDescent="0.4">
      <c r="A3" s="7">
        <f>+'Data without'!A3</f>
        <v>10</v>
      </c>
      <c r="B3" s="8">
        <f>+'Data without'!B3</f>
        <v>5.24</v>
      </c>
      <c r="C3" s="9">
        <f>+'Data without'!C3</f>
        <v>10000</v>
      </c>
      <c r="D3" s="10">
        <f>+'Data without'!D3</f>
        <v>1254</v>
      </c>
      <c r="E3" s="11">
        <f>+'Data without'!E3</f>
        <v>0.12540000000000001</v>
      </c>
      <c r="F3" s="9">
        <f>+'Data with'!D3</f>
        <v>837</v>
      </c>
      <c r="G3" s="12">
        <f>+'Data with'!E3</f>
        <v>8.3699999999999997E-2</v>
      </c>
      <c r="I3" s="13">
        <v>10</v>
      </c>
      <c r="J3" s="14">
        <v>10000</v>
      </c>
      <c r="K3" s="15">
        <v>10.24</v>
      </c>
      <c r="L3" s="16">
        <v>7.3757518306417302E-2</v>
      </c>
      <c r="M3" s="10">
        <v>613.94684995065904</v>
      </c>
      <c r="N3" s="16">
        <v>3.8704858334114099E-2</v>
      </c>
      <c r="O3" s="17">
        <v>328.770682270235</v>
      </c>
      <c r="S3" s="18"/>
    </row>
    <row r="4" spans="1:19" ht="15.75" customHeight="1" x14ac:dyDescent="0.4">
      <c r="A4" s="7">
        <f>+'Data without'!A4</f>
        <v>20</v>
      </c>
      <c r="B4" s="8">
        <f>+'Data without'!B4</f>
        <v>5.4124683024578184</v>
      </c>
      <c r="C4" s="9">
        <f>+'Data without'!C4</f>
        <v>30000</v>
      </c>
      <c r="D4" s="10">
        <f>+'Data without'!D4</f>
        <v>2361</v>
      </c>
      <c r="E4" s="11">
        <f>+'Data without'!E4</f>
        <v>7.8700000000000006E-2</v>
      </c>
      <c r="F4" s="9">
        <f>+'Data with'!D4</f>
        <v>2100</v>
      </c>
      <c r="G4" s="12">
        <f>+'Data with'!E4</f>
        <v>7.0000000000000007E-2</v>
      </c>
      <c r="I4" s="13">
        <v>20</v>
      </c>
      <c r="J4" s="14">
        <v>30000</v>
      </c>
      <c r="K4" s="15">
        <v>10.4124683024578</v>
      </c>
      <c r="L4" s="16">
        <v>4.9785857460899398E-2</v>
      </c>
      <c r="M4" s="10">
        <v>1243.2306995429001</v>
      </c>
      <c r="N4" s="16">
        <v>3.7912964348110603E-2</v>
      </c>
      <c r="O4" s="17">
        <v>966.13229130172499</v>
      </c>
      <c r="S4" s="18"/>
    </row>
    <row r="5" spans="1:19" ht="15.75" customHeight="1" x14ac:dyDescent="0.4">
      <c r="A5" s="7">
        <f>+'Data without'!A5</f>
        <v>30</v>
      </c>
      <c r="B5" s="8">
        <f>+'Data without'!B5</f>
        <v>8.118702453686728</v>
      </c>
      <c r="C5" s="9">
        <f>+'Data without'!C5</f>
        <v>100000</v>
      </c>
      <c r="D5" s="10">
        <f>+'Data without'!D5</f>
        <v>5224</v>
      </c>
      <c r="E5" s="11">
        <f>+'Data without'!E5</f>
        <v>5.2240000000000002E-2</v>
      </c>
      <c r="F5" s="9">
        <f>+'Data with'!D5</f>
        <v>4500</v>
      </c>
      <c r="G5" s="12">
        <f>+'Data with'!E5</f>
        <v>4.4999999999999998E-2</v>
      </c>
      <c r="I5" s="13">
        <v>30</v>
      </c>
      <c r="J5" s="14">
        <v>100000</v>
      </c>
      <c r="K5" s="15">
        <v>13.1187024536867</v>
      </c>
      <c r="L5" s="16">
        <v>3.6165692460622602E-2</v>
      </c>
      <c r="M5" s="10">
        <v>3010.3796158434002</v>
      </c>
      <c r="N5" s="16">
        <v>2.6959102743726201E-2</v>
      </c>
      <c r="O5" s="17">
        <v>2289.9870930766701</v>
      </c>
      <c r="S5" s="18"/>
    </row>
    <row r="6" spans="1:19" ht="15.75" customHeight="1" x14ac:dyDescent="0.4">
      <c r="A6" s="7">
        <f>+'Data without'!A6</f>
        <v>40</v>
      </c>
      <c r="B6" s="8">
        <f>+'Data without'!B6</f>
        <v>10.824936604915637</v>
      </c>
      <c r="C6" s="9">
        <f>+'Data without'!C6</f>
        <v>1500000</v>
      </c>
      <c r="D6" s="10">
        <f>+'Data without'!D6</f>
        <v>47649</v>
      </c>
      <c r="E6" s="11">
        <f>+'Data without'!E6</f>
        <v>3.1766000000000003E-2</v>
      </c>
      <c r="F6" s="9">
        <f>+'Data with'!D6</f>
        <v>39455</v>
      </c>
      <c r="G6" s="12">
        <f>+'Data with'!E6</f>
        <v>2.6303333333333335E-2</v>
      </c>
      <c r="I6" s="13">
        <v>40</v>
      </c>
      <c r="J6" s="14">
        <v>1500000</v>
      </c>
      <c r="K6" s="15">
        <v>15.8249366049156</v>
      </c>
      <c r="L6" s="16">
        <v>2.51091999952909E-2</v>
      </c>
      <c r="M6" s="10">
        <v>31350.799069419099</v>
      </c>
      <c r="N6" s="16">
        <v>1.80670453940023E-2</v>
      </c>
      <c r="O6" s="17">
        <v>23020.035842211299</v>
      </c>
      <c r="S6" s="18"/>
    </row>
    <row r="7" spans="1:19" ht="15.75" customHeight="1" x14ac:dyDescent="0.4">
      <c r="A7" s="7">
        <f>+'Data without'!A7</f>
        <v>50</v>
      </c>
      <c r="B7" s="8">
        <f>+'Data without'!B7</f>
        <v>13.531170756144546</v>
      </c>
      <c r="C7" s="9">
        <f>+'Data without'!C7</f>
        <v>50000</v>
      </c>
      <c r="D7" s="10">
        <f>+'Data without'!D7</f>
        <v>905</v>
      </c>
      <c r="E7" s="11">
        <f>+'Data without'!E7</f>
        <v>1.8100000000000002E-2</v>
      </c>
      <c r="F7" s="9">
        <f>+'Data with'!D7</f>
        <v>713</v>
      </c>
      <c r="G7" s="12">
        <f>+'Data with'!E7</f>
        <v>1.426E-2</v>
      </c>
      <c r="I7" s="13">
        <v>50</v>
      </c>
      <c r="J7" s="14">
        <v>50000</v>
      </c>
      <c r="K7" s="15">
        <v>18.531170756144501</v>
      </c>
      <c r="L7" s="16">
        <v>1.5802476450804799E-2</v>
      </c>
      <c r="M7" s="10">
        <v>657.68757281703097</v>
      </c>
      <c r="N7" s="16">
        <v>1.0582219645232401E-2</v>
      </c>
      <c r="O7" s="17">
        <v>449.442747298482</v>
      </c>
      <c r="S7" s="18"/>
    </row>
    <row r="8" spans="1:19" ht="15.75" customHeight="1" x14ac:dyDescent="0.4">
      <c r="A8" s="7">
        <f>+'Data without'!A8</f>
        <v>60</v>
      </c>
      <c r="B8" s="8">
        <f>+'Data without'!B8</f>
        <v>16.237404907373456</v>
      </c>
      <c r="C8" s="9">
        <f>+'Data without'!C8</f>
        <v>2500000</v>
      </c>
      <c r="D8" s="10">
        <f>+'Data without'!D8</f>
        <v>47712</v>
      </c>
      <c r="E8" s="11">
        <f>+'Data without'!E8</f>
        <v>1.9084799999999999E-2</v>
      </c>
      <c r="F8" s="9">
        <f>+'Data with'!D8</f>
        <v>33000</v>
      </c>
      <c r="G8" s="12">
        <f>+'Data with'!E8</f>
        <v>1.32E-2</v>
      </c>
      <c r="I8" s="13">
        <v>60</v>
      </c>
      <c r="J8" s="14">
        <v>2500000</v>
      </c>
      <c r="K8" s="15">
        <v>21.237404907373499</v>
      </c>
      <c r="L8" s="16">
        <v>7.7666269448076796E-3</v>
      </c>
      <c r="M8" s="10">
        <v>16162.0681423188</v>
      </c>
      <c r="N8" s="16">
        <v>4.1194797767679699E-3</v>
      </c>
      <c r="O8" s="17">
        <v>8748.0243766498807</v>
      </c>
      <c r="S8" s="18"/>
    </row>
    <row r="9" spans="1:19" ht="15.75" customHeight="1" x14ac:dyDescent="0.4">
      <c r="A9" s="7">
        <f>+'Data without'!A9</f>
        <v>70</v>
      </c>
      <c r="B9" s="8">
        <f>+'Data without'!B9</f>
        <v>18.943639058602365</v>
      </c>
      <c r="C9" s="9">
        <f>+'Data without'!C9</f>
        <v>400000</v>
      </c>
      <c r="D9" s="10">
        <f>+'Data without'!D9</f>
        <v>4069</v>
      </c>
      <c r="E9" s="11">
        <f>+'Data without'!E9</f>
        <v>1.0172499999999999E-2</v>
      </c>
      <c r="F9" s="9">
        <f>+'Data with'!D9</f>
        <v>3351</v>
      </c>
      <c r="G9" s="12">
        <f>+'Data with'!E9</f>
        <v>8.3774999999999995E-3</v>
      </c>
      <c r="I9" s="13">
        <v>70</v>
      </c>
      <c r="J9" s="14">
        <v>400000</v>
      </c>
      <c r="K9" s="15">
        <v>23.9436390586024</v>
      </c>
      <c r="L9" s="16">
        <v>6.9590047952816701E-4</v>
      </c>
      <c r="M9" s="10">
        <v>231.702973253805</v>
      </c>
      <c r="N9" s="16">
        <v>0</v>
      </c>
      <c r="O9" s="17">
        <v>0</v>
      </c>
      <c r="S9" s="18"/>
    </row>
    <row r="10" spans="1:19" ht="15.75" customHeight="1" x14ac:dyDescent="0.4">
      <c r="A10" s="7">
        <f>+'Data without'!A10</f>
        <v>80</v>
      </c>
      <c r="B10" s="8">
        <f>+'Data without'!B10</f>
        <v>21.649873209831274</v>
      </c>
      <c r="C10" s="9">
        <f>+'Data without'!C10</f>
        <v>30000</v>
      </c>
      <c r="D10" s="10">
        <f>+'Data without'!D10</f>
        <v>414</v>
      </c>
      <c r="E10" s="11">
        <f>+'Data without'!E10</f>
        <v>1.38E-2</v>
      </c>
      <c r="F10" s="9">
        <f>+'Data with'!D10</f>
        <v>190</v>
      </c>
      <c r="G10" s="12">
        <f>+'Data with'!E10</f>
        <v>6.3333333333333332E-3</v>
      </c>
      <c r="I10" s="13">
        <v>80</v>
      </c>
      <c r="J10" s="14">
        <v>30000</v>
      </c>
      <c r="K10" s="15">
        <v>26.649873209831298</v>
      </c>
      <c r="L10" s="16">
        <v>0</v>
      </c>
      <c r="M10" s="10">
        <v>0</v>
      </c>
      <c r="N10" s="16">
        <v>0</v>
      </c>
      <c r="O10" s="17">
        <v>0</v>
      </c>
      <c r="S10" s="18"/>
    </row>
    <row r="11" spans="1:19" ht="15.75" customHeight="1" x14ac:dyDescent="0.4">
      <c r="A11" s="7">
        <f>+'Data without'!A11</f>
        <v>90</v>
      </c>
      <c r="B11" s="8">
        <f>+'Data without'!B11</f>
        <v>24.356107361060182</v>
      </c>
      <c r="C11" s="9">
        <f>+'Data without'!C11</f>
        <v>3000000</v>
      </c>
      <c r="D11" s="10">
        <f>+'Data without'!D11</f>
        <v>13003</v>
      </c>
      <c r="E11" s="11">
        <f>+'Data without'!E11</f>
        <v>4.3343333333333333E-3</v>
      </c>
      <c r="F11" s="9">
        <f>+'Data with'!D11</f>
        <v>8543</v>
      </c>
      <c r="G11" s="12">
        <f>+'Data with'!E11</f>
        <v>2.8476666666666667E-3</v>
      </c>
      <c r="I11" s="13">
        <v>90</v>
      </c>
      <c r="J11" s="14">
        <v>3000000</v>
      </c>
      <c r="K11" s="15">
        <v>29.3561073610602</v>
      </c>
      <c r="L11" s="16">
        <v>0</v>
      </c>
      <c r="M11" s="10">
        <v>0</v>
      </c>
      <c r="N11" s="16">
        <v>0</v>
      </c>
      <c r="O11" s="17">
        <v>0</v>
      </c>
      <c r="S11" s="18"/>
    </row>
    <row r="12" spans="1:19" ht="15.75" customHeight="1" x14ac:dyDescent="0.4">
      <c r="A12" s="7">
        <f>+'Data without'!A12</f>
        <v>100</v>
      </c>
      <c r="B12" s="8">
        <f>+'Data without'!B12</f>
        <v>27.062341512289091</v>
      </c>
      <c r="C12" s="9">
        <f>+'Data without'!C12</f>
        <v>60000</v>
      </c>
      <c r="D12" s="10">
        <f>+'Data without'!D12</f>
        <v>553</v>
      </c>
      <c r="E12" s="11">
        <f>+'Data without'!E12</f>
        <v>9.2166666666666664E-3</v>
      </c>
      <c r="F12" s="9">
        <f>+'Data with'!D12</f>
        <v>30</v>
      </c>
      <c r="G12" s="12">
        <f>+'Data with'!E12</f>
        <v>5.0000000000000001E-4</v>
      </c>
      <c r="I12" s="13">
        <v>100</v>
      </c>
      <c r="J12" s="14">
        <v>60000</v>
      </c>
      <c r="K12" s="15">
        <v>32.062341512289102</v>
      </c>
      <c r="L12" s="16">
        <v>0</v>
      </c>
      <c r="M12" s="10">
        <v>0</v>
      </c>
      <c r="N12" s="16">
        <v>0</v>
      </c>
      <c r="O12" s="17">
        <v>0</v>
      </c>
      <c r="S12" s="18"/>
    </row>
    <row r="13" spans="1:19" ht="15.75" customHeight="1" x14ac:dyDescent="0.4">
      <c r="A13" s="19"/>
      <c r="B13" s="20"/>
      <c r="C13" s="21">
        <f>SUM(C3:C12)</f>
        <v>7680000</v>
      </c>
      <c r="D13" s="22">
        <f>SUM(D3:D12)</f>
        <v>123144</v>
      </c>
      <c r="E13" s="23"/>
      <c r="F13" s="21">
        <f>SUM(F3:F12)</f>
        <v>92719</v>
      </c>
      <c r="G13" s="24"/>
      <c r="I13" s="25"/>
      <c r="J13" s="26">
        <v>7680000</v>
      </c>
      <c r="K13" s="20"/>
      <c r="L13" s="19"/>
      <c r="M13" s="22">
        <v>53269.814923145699</v>
      </c>
      <c r="N13" s="19"/>
      <c r="O13" s="27">
        <v>35802.393032808301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50"/>
  <sheetViews>
    <sheetView zoomScaleNormal="100" workbookViewId="0">
      <selection activeCell="C9" sqref="C9"/>
    </sheetView>
  </sheetViews>
  <sheetFormatPr defaultColWidth="9" defaultRowHeight="12.75" customHeight="1" x14ac:dyDescent="0.4"/>
  <cols>
    <col min="1" max="1" width="11.640625" style="28" customWidth="1"/>
    <col min="2" max="2" width="14.640625" style="28" customWidth="1"/>
    <col min="3" max="3" width="12.640625" style="28" customWidth="1"/>
    <col min="4" max="4" width="13.140625" style="28" customWidth="1"/>
    <col min="5" max="5" width="9.35546875" style="28" customWidth="1"/>
    <col min="6" max="6" width="13" style="28" customWidth="1"/>
    <col min="7" max="7" width="11.5" style="28" customWidth="1"/>
    <col min="8" max="9" width="9" style="28" customWidth="1"/>
    <col min="10" max="10" width="11.35546875" style="28" customWidth="1"/>
    <col min="11" max="11" width="9" style="28" customWidth="1"/>
    <col min="12" max="12" width="12.5" style="28" customWidth="1"/>
    <col min="13" max="257" width="9" style="28" customWidth="1"/>
  </cols>
  <sheetData>
    <row r="1" spans="1:20" ht="12.75" customHeight="1" x14ac:dyDescent="0.4">
      <c r="A1" s="28" t="s">
        <v>7</v>
      </c>
    </row>
    <row r="2" spans="1:20" ht="51" customHeight="1" x14ac:dyDescent="0.4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8</v>
      </c>
      <c r="G2" s="30" t="s">
        <v>9</v>
      </c>
      <c r="I2" s="30" t="s">
        <v>10</v>
      </c>
      <c r="J2" s="30" t="s">
        <v>9</v>
      </c>
      <c r="K2" s="30" t="s">
        <v>11</v>
      </c>
      <c r="L2" s="30" t="s">
        <v>12</v>
      </c>
      <c r="M2" s="30" t="s">
        <v>13</v>
      </c>
      <c r="O2" s="30" t="str">
        <f>+B2</f>
        <v>Cost per visit (€)</v>
      </c>
      <c r="P2" s="30" t="s">
        <v>14</v>
      </c>
      <c r="R2" s="30" t="s">
        <v>15</v>
      </c>
      <c r="S2" s="30" t="s">
        <v>16</v>
      </c>
      <c r="T2" s="30" t="s">
        <v>17</v>
      </c>
    </row>
    <row r="3" spans="1:20" ht="12.75" customHeight="1" x14ac:dyDescent="0.4">
      <c r="A3" s="31">
        <v>10</v>
      </c>
      <c r="B3" s="32">
        <f>524*A3/1000</f>
        <v>5.24</v>
      </c>
      <c r="C3" s="31">
        <v>10000</v>
      </c>
      <c r="D3" s="31">
        <v>1254</v>
      </c>
      <c r="E3" s="33">
        <f t="shared" ref="E3:E12" si="0">+D3/C3</f>
        <v>0.12540000000000001</v>
      </c>
      <c r="F3" s="34">
        <f t="shared" ref="F3:F12" si="1">$L$18+LN(B3+$C$19)*$L$19</f>
        <v>5.0770508092944783E-2</v>
      </c>
      <c r="G3" s="28">
        <f t="shared" ref="G3:G12" si="2">IF(J3&gt;0,J3,0)</f>
        <v>422.60632176592588</v>
      </c>
      <c r="I3" s="35">
        <f t="shared" ref="I3:I12" si="3">LN(B3)</f>
        <v>1.6563214983329508</v>
      </c>
      <c r="J3" s="28">
        <f t="shared" ref="J3:J12" si="4">+F3*C3*$G$15</f>
        <v>422.60632176592588</v>
      </c>
      <c r="K3" s="36">
        <f t="shared" ref="K3:K12" si="5">+B3</f>
        <v>5.24</v>
      </c>
      <c r="L3" s="28">
        <f t="shared" ref="L3:L12" si="6">+E3</f>
        <v>0.12540000000000001</v>
      </c>
      <c r="M3" s="28">
        <f t="shared" ref="M3:M12" si="7">+F3</f>
        <v>5.0770508092944783E-2</v>
      </c>
      <c r="O3" s="28">
        <v>1</v>
      </c>
      <c r="P3" s="34">
        <f t="shared" ref="P3:P50" si="8">$L$18+LN(O3+$C$19)*$L$19*$G$15</f>
        <v>9.9988297033499887E-2</v>
      </c>
      <c r="R3" s="28">
        <v>1</v>
      </c>
      <c r="S3" s="28">
        <f t="shared" ref="S3:S19" si="9">45.721-3.844*LN(R3)</f>
        <v>45.720999999999997</v>
      </c>
      <c r="T3" s="28">
        <f t="shared" ref="T3:T19" si="10">20.32-1.732*LN(R3)</f>
        <v>20.32</v>
      </c>
    </row>
    <row r="4" spans="1:20" ht="12.75" customHeight="1" x14ac:dyDescent="0.4">
      <c r="A4" s="31">
        <v>20</v>
      </c>
      <c r="B4" s="32">
        <f t="shared" ref="B4:B12" si="11">524*A4/1936.27</f>
        <v>5.4124683024578184</v>
      </c>
      <c r="C4" s="31">
        <v>30000</v>
      </c>
      <c r="D4" s="31">
        <v>2361</v>
      </c>
      <c r="E4" s="33">
        <f t="shared" si="0"/>
        <v>7.8700000000000006E-2</v>
      </c>
      <c r="F4" s="34">
        <f t="shared" si="1"/>
        <v>4.9785857460899446E-2</v>
      </c>
      <c r="G4" s="28">
        <f t="shared" si="2"/>
        <v>1243.2306995428996</v>
      </c>
      <c r="I4" s="35">
        <f t="shared" si="3"/>
        <v>1.688705236952627</v>
      </c>
      <c r="J4" s="28">
        <f t="shared" si="4"/>
        <v>1243.2306995428996</v>
      </c>
      <c r="K4" s="36">
        <f t="shared" si="5"/>
        <v>5.4124683024578184</v>
      </c>
      <c r="L4" s="28">
        <f t="shared" si="6"/>
        <v>7.8700000000000006E-2</v>
      </c>
      <c r="M4" s="28">
        <f t="shared" si="7"/>
        <v>4.9785857460899446E-2</v>
      </c>
      <c r="O4" s="28">
        <v>2</v>
      </c>
      <c r="P4" s="34">
        <f t="shared" si="8"/>
        <v>9.2423893795553685E-2</v>
      </c>
      <c r="R4" s="28">
        <v>100</v>
      </c>
      <c r="S4" s="28">
        <f t="shared" si="9"/>
        <v>28.018725805061774</v>
      </c>
      <c r="T4" s="28">
        <f t="shared" si="10"/>
        <v>12.343845237868624</v>
      </c>
    </row>
    <row r="5" spans="1:20" ht="12.75" customHeight="1" x14ac:dyDescent="0.4">
      <c r="A5" s="31">
        <v>30</v>
      </c>
      <c r="B5" s="32">
        <f t="shared" si="11"/>
        <v>8.118702453686728</v>
      </c>
      <c r="C5" s="31">
        <v>100000</v>
      </c>
      <c r="D5" s="31">
        <v>5224</v>
      </c>
      <c r="E5" s="33">
        <f t="shared" si="0"/>
        <v>5.2240000000000002E-2</v>
      </c>
      <c r="F5" s="34">
        <f t="shared" si="1"/>
        <v>3.6165692460622567E-2</v>
      </c>
      <c r="G5" s="28">
        <f t="shared" si="2"/>
        <v>3010.3796158434093</v>
      </c>
      <c r="I5" s="35">
        <f t="shared" si="3"/>
        <v>2.0941703450607916</v>
      </c>
      <c r="J5" s="28">
        <f t="shared" si="4"/>
        <v>3010.3796158434093</v>
      </c>
      <c r="K5" s="36">
        <f t="shared" si="5"/>
        <v>8.118702453686728</v>
      </c>
      <c r="L5" s="28">
        <f t="shared" si="6"/>
        <v>5.2240000000000002E-2</v>
      </c>
      <c r="M5" s="28">
        <f t="shared" si="7"/>
        <v>3.6165692460622567E-2</v>
      </c>
      <c r="O5" s="28">
        <v>3</v>
      </c>
      <c r="P5" s="34">
        <f t="shared" si="8"/>
        <v>8.5871309662494344E-2</v>
      </c>
      <c r="R5" s="28">
        <v>1000</v>
      </c>
      <c r="S5" s="28">
        <f t="shared" si="9"/>
        <v>19.167588707592664</v>
      </c>
      <c r="T5" s="28">
        <f t="shared" si="10"/>
        <v>8.3557678568029399</v>
      </c>
    </row>
    <row r="6" spans="1:20" ht="12.75" customHeight="1" x14ac:dyDescent="0.4">
      <c r="A6" s="31">
        <v>40</v>
      </c>
      <c r="B6" s="32">
        <f t="shared" si="11"/>
        <v>10.824936604915637</v>
      </c>
      <c r="C6" s="31">
        <v>1500000</v>
      </c>
      <c r="D6" s="31">
        <v>47649</v>
      </c>
      <c r="E6" s="33">
        <f t="shared" si="0"/>
        <v>3.1766000000000003E-2</v>
      </c>
      <c r="F6" s="34">
        <f t="shared" si="1"/>
        <v>2.5109199995290848E-2</v>
      </c>
      <c r="G6" s="28">
        <f t="shared" si="2"/>
        <v>31350.799069419143</v>
      </c>
      <c r="I6" s="35">
        <f t="shared" si="3"/>
        <v>2.3818524175125724</v>
      </c>
      <c r="J6" s="28">
        <f t="shared" si="4"/>
        <v>31350.799069419143</v>
      </c>
      <c r="K6" s="36">
        <f t="shared" si="5"/>
        <v>10.824936604915637</v>
      </c>
      <c r="L6" s="28">
        <f t="shared" si="6"/>
        <v>3.1766000000000003E-2</v>
      </c>
      <c r="M6" s="28">
        <f t="shared" si="7"/>
        <v>2.5109199995290848E-2</v>
      </c>
      <c r="O6" s="28">
        <v>4</v>
      </c>
      <c r="P6" s="34">
        <f t="shared" si="8"/>
        <v>8.0091520839683475E-2</v>
      </c>
      <c r="R6" s="28">
        <v>2000</v>
      </c>
      <c r="S6" s="28">
        <f t="shared" si="9"/>
        <v>16.503130945520233</v>
      </c>
      <c r="T6" s="28">
        <f t="shared" si="10"/>
        <v>7.1552369400731148</v>
      </c>
    </row>
    <row r="7" spans="1:20" ht="12.75" customHeight="1" x14ac:dyDescent="0.4">
      <c r="A7" s="31">
        <v>50</v>
      </c>
      <c r="B7" s="32">
        <f t="shared" si="11"/>
        <v>13.531170756144546</v>
      </c>
      <c r="C7" s="31">
        <v>50000</v>
      </c>
      <c r="D7" s="31">
        <v>905</v>
      </c>
      <c r="E7" s="33">
        <f t="shared" si="0"/>
        <v>1.8100000000000002E-2</v>
      </c>
      <c r="F7" s="34">
        <f t="shared" si="1"/>
        <v>1.5802476450804792E-2</v>
      </c>
      <c r="G7" s="28">
        <f t="shared" si="2"/>
        <v>657.68757281703301</v>
      </c>
      <c r="I7" s="35">
        <f t="shared" si="3"/>
        <v>2.6049959688267821</v>
      </c>
      <c r="J7" s="28">
        <f t="shared" si="4"/>
        <v>657.68757281703301</v>
      </c>
      <c r="K7" s="36">
        <f t="shared" si="5"/>
        <v>13.531170756144546</v>
      </c>
      <c r="L7" s="28">
        <f t="shared" si="6"/>
        <v>1.8100000000000002E-2</v>
      </c>
      <c r="M7" s="28">
        <f t="shared" si="7"/>
        <v>1.5802476450804792E-2</v>
      </c>
      <c r="O7" s="28">
        <v>5</v>
      </c>
      <c r="P7" s="34">
        <f t="shared" si="8"/>
        <v>7.4921323558122019E-2</v>
      </c>
      <c r="R7" s="28">
        <v>10000</v>
      </c>
      <c r="S7" s="28">
        <f t="shared" si="9"/>
        <v>10.316451610123551</v>
      </c>
      <c r="T7" s="28">
        <f t="shared" si="10"/>
        <v>4.3676904757372501</v>
      </c>
    </row>
    <row r="8" spans="1:20" ht="12.75" customHeight="1" x14ac:dyDescent="0.4">
      <c r="A8" s="31">
        <v>60</v>
      </c>
      <c r="B8" s="32">
        <f t="shared" si="11"/>
        <v>16.237404907373456</v>
      </c>
      <c r="C8" s="31">
        <v>2500000</v>
      </c>
      <c r="D8" s="31">
        <v>47712</v>
      </c>
      <c r="E8" s="33">
        <f t="shared" si="0"/>
        <v>1.9084799999999999E-2</v>
      </c>
      <c r="F8" s="34">
        <f t="shared" si="1"/>
        <v>7.7666269448076752E-3</v>
      </c>
      <c r="G8" s="28">
        <f t="shared" si="2"/>
        <v>16162.068142318878</v>
      </c>
      <c r="I8" s="35">
        <f t="shared" si="3"/>
        <v>2.787317525620737</v>
      </c>
      <c r="J8" s="28">
        <f t="shared" si="4"/>
        <v>16162.068142318878</v>
      </c>
      <c r="K8" s="36">
        <f t="shared" si="5"/>
        <v>16.237404907373456</v>
      </c>
      <c r="L8" s="28">
        <f t="shared" si="6"/>
        <v>1.9084799999999999E-2</v>
      </c>
      <c r="M8" s="28">
        <f t="shared" si="7"/>
        <v>7.7666269448076752E-3</v>
      </c>
      <c r="O8" s="28">
        <v>6</v>
      </c>
      <c r="P8" s="34">
        <f t="shared" si="8"/>
        <v>7.0244311211961841E-2</v>
      </c>
      <c r="R8" s="28">
        <v>20000</v>
      </c>
      <c r="S8" s="28">
        <f t="shared" si="9"/>
        <v>7.6519938480511271</v>
      </c>
      <c r="T8" s="28">
        <f t="shared" si="10"/>
        <v>3.1671595590074269</v>
      </c>
    </row>
    <row r="9" spans="1:20" ht="12.75" customHeight="1" x14ac:dyDescent="0.4">
      <c r="A9" s="31">
        <v>70</v>
      </c>
      <c r="B9" s="32">
        <f t="shared" si="11"/>
        <v>18.943639058602365</v>
      </c>
      <c r="C9" s="31">
        <v>400000</v>
      </c>
      <c r="D9" s="31">
        <v>4069</v>
      </c>
      <c r="E9" s="33">
        <f t="shared" si="0"/>
        <v>1.0172499999999999E-2</v>
      </c>
      <c r="F9" s="34">
        <f t="shared" si="1"/>
        <v>6.9590047952816647E-4</v>
      </c>
      <c r="G9" s="28">
        <f t="shared" si="2"/>
        <v>231.70297325380545</v>
      </c>
      <c r="I9" s="35">
        <f t="shared" si="3"/>
        <v>2.941468205447995</v>
      </c>
      <c r="J9" s="28">
        <f t="shared" si="4"/>
        <v>231.70297325380545</v>
      </c>
      <c r="K9" s="36">
        <f t="shared" si="5"/>
        <v>18.943639058602365</v>
      </c>
      <c r="L9" s="28">
        <f t="shared" si="6"/>
        <v>1.0172499999999999E-2</v>
      </c>
      <c r="M9" s="28">
        <f t="shared" si="7"/>
        <v>6.9590047952816647E-4</v>
      </c>
      <c r="O9" s="28">
        <v>7</v>
      </c>
      <c r="P9" s="34">
        <f t="shared" si="8"/>
        <v>6.5974533468677918E-2</v>
      </c>
      <c r="R9" s="28">
        <v>30000</v>
      </c>
      <c r="S9" s="28">
        <f t="shared" si="9"/>
        <v>6.0933859724833397</v>
      </c>
      <c r="T9" s="28">
        <f t="shared" si="10"/>
        <v>2.464893991764086</v>
      </c>
    </row>
    <row r="10" spans="1:20" ht="12.75" customHeight="1" x14ac:dyDescent="0.4">
      <c r="A10" s="31">
        <v>80</v>
      </c>
      <c r="B10" s="32">
        <f t="shared" si="11"/>
        <v>21.649873209831274</v>
      </c>
      <c r="C10" s="31">
        <v>30000</v>
      </c>
      <c r="D10" s="31">
        <v>414</v>
      </c>
      <c r="E10" s="33">
        <f t="shared" si="0"/>
        <v>1.38E-2</v>
      </c>
      <c r="F10" s="34">
        <f t="shared" si="1"/>
        <v>-5.6168699024896074E-3</v>
      </c>
      <c r="G10" s="28">
        <f t="shared" si="2"/>
        <v>0</v>
      </c>
      <c r="I10" s="35">
        <f t="shared" si="3"/>
        <v>3.0749995980725178</v>
      </c>
      <c r="J10" s="28">
        <f t="shared" si="4"/>
        <v>-140.26202327835642</v>
      </c>
      <c r="K10" s="36">
        <f t="shared" si="5"/>
        <v>21.649873209831274</v>
      </c>
      <c r="L10" s="28">
        <f t="shared" si="6"/>
        <v>1.38E-2</v>
      </c>
      <c r="M10" s="28">
        <f t="shared" si="7"/>
        <v>-5.6168699024896074E-3</v>
      </c>
      <c r="O10" s="28">
        <v>8</v>
      </c>
      <c r="P10" s="34">
        <f t="shared" si="8"/>
        <v>6.2046718698232695E-2</v>
      </c>
      <c r="R10" s="28">
        <v>40000</v>
      </c>
      <c r="S10" s="28">
        <f t="shared" si="9"/>
        <v>4.9875360859786966</v>
      </c>
      <c r="T10" s="28">
        <f t="shared" si="10"/>
        <v>1.9666286422776018</v>
      </c>
    </row>
    <row r="11" spans="1:20" ht="12.75" customHeight="1" x14ac:dyDescent="0.4">
      <c r="A11" s="31">
        <v>90</v>
      </c>
      <c r="B11" s="32">
        <f t="shared" si="11"/>
        <v>24.356107361060182</v>
      </c>
      <c r="C11" s="31">
        <v>3000000</v>
      </c>
      <c r="D11" s="31">
        <v>13003</v>
      </c>
      <c r="E11" s="33">
        <f t="shared" si="0"/>
        <v>4.3343333333333333E-3</v>
      </c>
      <c r="F11" s="34">
        <f t="shared" si="1"/>
        <v>-1.1318565891820953E-2</v>
      </c>
      <c r="G11" s="28">
        <f t="shared" si="2"/>
        <v>0</v>
      </c>
      <c r="I11" s="35">
        <f t="shared" si="3"/>
        <v>3.1927826337289011</v>
      </c>
      <c r="J11" s="28">
        <f t="shared" si="4"/>
        <v>-28264.228656827763</v>
      </c>
      <c r="K11" s="36">
        <f t="shared" si="5"/>
        <v>24.356107361060182</v>
      </c>
      <c r="L11" s="28">
        <f t="shared" si="6"/>
        <v>4.3343333333333333E-3</v>
      </c>
      <c r="M11" s="28">
        <f t="shared" si="7"/>
        <v>-1.1318565891820953E-2</v>
      </c>
      <c r="O11" s="28">
        <v>9</v>
      </c>
      <c r="P11" s="34">
        <f t="shared" si="8"/>
        <v>5.8410130230731744E-2</v>
      </c>
      <c r="R11" s="28">
        <v>50000</v>
      </c>
      <c r="S11" s="28">
        <f t="shared" si="9"/>
        <v>4.1297722747268679</v>
      </c>
      <c r="T11" s="28">
        <f t="shared" si="10"/>
        <v>1.5801440114013907</v>
      </c>
    </row>
    <row r="12" spans="1:20" ht="12.75" customHeight="1" x14ac:dyDescent="0.4">
      <c r="A12" s="31">
        <v>100</v>
      </c>
      <c r="B12" s="32">
        <f t="shared" si="11"/>
        <v>27.062341512289091</v>
      </c>
      <c r="C12" s="31">
        <v>60000</v>
      </c>
      <c r="D12" s="31">
        <v>553</v>
      </c>
      <c r="E12" s="33">
        <f t="shared" si="0"/>
        <v>9.2166666666666664E-3</v>
      </c>
      <c r="F12" s="34">
        <f t="shared" si="1"/>
        <v>-1.6517119950885645E-2</v>
      </c>
      <c r="G12" s="28">
        <f t="shared" si="2"/>
        <v>0</v>
      </c>
      <c r="I12" s="35">
        <f t="shared" si="3"/>
        <v>3.2981431493867275</v>
      </c>
      <c r="J12" s="28">
        <f t="shared" si="4"/>
        <v>-824.91661842324959</v>
      </c>
      <c r="K12" s="36">
        <f t="shared" si="5"/>
        <v>27.062341512289091</v>
      </c>
      <c r="L12" s="28">
        <f t="shared" si="6"/>
        <v>9.2166666666666664E-3</v>
      </c>
      <c r="M12" s="28">
        <f t="shared" si="7"/>
        <v>-1.6517119950885645E-2</v>
      </c>
      <c r="O12" s="28">
        <v>10</v>
      </c>
      <c r="P12" s="34">
        <f t="shared" si="8"/>
        <v>5.502454736430562E-2</v>
      </c>
      <c r="R12" s="28">
        <v>60000</v>
      </c>
      <c r="S12" s="28">
        <f t="shared" si="9"/>
        <v>3.4289282104109091</v>
      </c>
      <c r="T12" s="28">
        <f t="shared" si="10"/>
        <v>1.2643630750342609</v>
      </c>
    </row>
    <row r="13" spans="1:20" ht="12.75" customHeight="1" x14ac:dyDescent="0.4">
      <c r="A13" s="31"/>
      <c r="B13" s="32"/>
      <c r="C13" s="31">
        <f>SUM(C3:C12)</f>
        <v>7680000</v>
      </c>
      <c r="D13" s="31">
        <f>SUM(D3:D12)</f>
        <v>123144</v>
      </c>
      <c r="E13" s="37"/>
      <c r="G13" s="28">
        <f>SUM(G3:G12)</f>
        <v>53078.4743949611</v>
      </c>
      <c r="O13" s="28">
        <v>11</v>
      </c>
      <c r="P13" s="34">
        <f t="shared" si="8"/>
        <v>5.1857546097672375E-2</v>
      </c>
      <c r="R13" s="28">
        <v>70000</v>
      </c>
      <c r="S13" s="28">
        <f t="shared" si="9"/>
        <v>2.8363729971549319</v>
      </c>
      <c r="T13" s="28">
        <f t="shared" si="10"/>
        <v>0.99737409757345219</v>
      </c>
    </row>
    <row r="14" spans="1:20" ht="12.75" customHeight="1" x14ac:dyDescent="0.4">
      <c r="A14" s="31"/>
      <c r="B14" s="32"/>
      <c r="C14" s="31"/>
      <c r="D14" s="31"/>
      <c r="E14" s="37"/>
      <c r="F14" s="28" t="s">
        <v>18</v>
      </c>
      <c r="G14" s="28">
        <v>147941.07722933</v>
      </c>
      <c r="O14" s="28">
        <v>12</v>
      </c>
      <c r="P14" s="34">
        <f t="shared" si="8"/>
        <v>4.8882605694675757E-2</v>
      </c>
      <c r="R14" s="28">
        <v>80000</v>
      </c>
      <c r="S14" s="28">
        <f t="shared" si="9"/>
        <v>2.323078323906266</v>
      </c>
      <c r="T14" s="28">
        <f t="shared" si="10"/>
        <v>0.76609772554777678</v>
      </c>
    </row>
    <row r="15" spans="1:20" ht="12.75" customHeight="1" x14ac:dyDescent="0.4">
      <c r="A15" s="31"/>
      <c r="B15" s="32"/>
      <c r="C15" s="31"/>
      <c r="D15" s="31"/>
      <c r="E15" s="37"/>
      <c r="F15" s="28" t="s">
        <v>19</v>
      </c>
      <c r="G15" s="38">
        <f>+D13/G14</f>
        <v>0.83238544903325973</v>
      </c>
      <c r="O15" s="28">
        <v>13</v>
      </c>
      <c r="P15" s="34">
        <f t="shared" si="8"/>
        <v>4.6077757274861547E-2</v>
      </c>
      <c r="R15" s="28">
        <v>90000</v>
      </c>
      <c r="S15" s="28">
        <f t="shared" si="9"/>
        <v>1.8703203348431288</v>
      </c>
      <c r="T15" s="28">
        <f t="shared" si="10"/>
        <v>0.56209750779092005</v>
      </c>
    </row>
    <row r="16" spans="1:20" ht="12.75" customHeight="1" x14ac:dyDescent="0.4">
      <c r="O16" s="28">
        <v>14</v>
      </c>
      <c r="P16" s="34">
        <f t="shared" si="8"/>
        <v>4.3424598274188042E-2</v>
      </c>
      <c r="R16" s="28">
        <v>100000</v>
      </c>
      <c r="S16" s="28">
        <f t="shared" si="9"/>
        <v>1.4653145126544374</v>
      </c>
      <c r="T16" s="28">
        <f t="shared" si="10"/>
        <v>0.37961309467156568</v>
      </c>
    </row>
    <row r="17" spans="1:20" ht="12.75" customHeight="1" x14ac:dyDescent="0.4">
      <c r="A17" s="28" t="s">
        <v>20</v>
      </c>
      <c r="B17" s="28">
        <f>+L18</f>
        <v>0.18791260035696022</v>
      </c>
      <c r="C17" s="28">
        <f>+L19</f>
        <v>-5.8952842188592369E-2</v>
      </c>
      <c r="D17" s="28" t="s">
        <v>11</v>
      </c>
      <c r="O17" s="28">
        <v>15</v>
      </c>
      <c r="P17" s="34">
        <f t="shared" si="8"/>
        <v>4.0907559993300063E-2</v>
      </c>
      <c r="R17" s="28">
        <v>110000</v>
      </c>
      <c r="S17" s="28">
        <f t="shared" si="9"/>
        <v>1.0989421814866205</v>
      </c>
      <c r="T17" s="28">
        <f t="shared" si="10"/>
        <v>0.21453586325047524</v>
      </c>
    </row>
    <row r="18" spans="1:20" ht="12.75" customHeight="1" x14ac:dyDescent="0.4">
      <c r="J18" s="28" t="s">
        <v>21</v>
      </c>
      <c r="L18" s="39">
        <f>INTERCEPT(E3:E12,I3:I12)</f>
        <v>0.18791260035696022</v>
      </c>
      <c r="O18" s="28">
        <v>16</v>
      </c>
      <c r="P18" s="34">
        <f t="shared" si="8"/>
        <v>3.8513354036915332E-2</v>
      </c>
      <c r="R18" s="28">
        <v>120000</v>
      </c>
      <c r="S18" s="28">
        <f t="shared" si="9"/>
        <v>0.76447044833847855</v>
      </c>
      <c r="T18" s="28">
        <f t="shared" si="10"/>
        <v>6.3832158304435893E-2</v>
      </c>
    </row>
    <row r="19" spans="1:20" ht="12.75" customHeight="1" x14ac:dyDescent="0.4">
      <c r="A19" s="28" t="s">
        <v>22</v>
      </c>
      <c r="C19" s="28">
        <v>5</v>
      </c>
      <c r="J19" s="28" t="s">
        <v>23</v>
      </c>
      <c r="L19" s="39">
        <f>LINEST(E3:E12,I3:I12)</f>
        <v>-5.8952842188592369E-2</v>
      </c>
      <c r="O19" s="28">
        <v>17</v>
      </c>
      <c r="P19" s="34">
        <f t="shared" si="8"/>
        <v>3.6230547647139871E-2</v>
      </c>
      <c r="R19" s="28">
        <v>130000</v>
      </c>
      <c r="S19" s="28">
        <f t="shared" si="9"/>
        <v>0.4567862800414062</v>
      </c>
      <c r="T19" s="28">
        <f t="shared" si="10"/>
        <v>-7.4801811386130623E-2</v>
      </c>
    </row>
    <row r="20" spans="1:20" ht="12.75" customHeight="1" x14ac:dyDescent="0.4">
      <c r="A20" s="28" t="s">
        <v>24</v>
      </c>
      <c r="C20" s="28">
        <f>+G13</f>
        <v>53078.4743949611</v>
      </c>
      <c r="O20" s="28">
        <v>18</v>
      </c>
      <c r="P20" s="34">
        <f t="shared" si="8"/>
        <v>3.4049233512813443E-2</v>
      </c>
    </row>
    <row r="21" spans="1:20" ht="12.75" customHeight="1" x14ac:dyDescent="0.4">
      <c r="O21" s="28">
        <v>19</v>
      </c>
      <c r="P21" s="34">
        <f t="shared" si="8"/>
        <v>3.1960769903855962E-2</v>
      </c>
    </row>
    <row r="22" spans="1:20" ht="12.75" customHeight="1" x14ac:dyDescent="0.4">
      <c r="A22" s="40" t="s">
        <v>24</v>
      </c>
      <c r="B22" s="40" t="s">
        <v>22</v>
      </c>
      <c r="C22" s="28" t="s">
        <v>25</v>
      </c>
      <c r="D22" s="40" t="s">
        <v>26</v>
      </c>
      <c r="E22" s="40"/>
      <c r="F22" s="28" t="s">
        <v>27</v>
      </c>
      <c r="O22" s="28">
        <v>20</v>
      </c>
      <c r="P22" s="34">
        <f t="shared" si="8"/>
        <v>2.9957573888927752E-2</v>
      </c>
    </row>
    <row r="23" spans="1:20" ht="12.75" customHeight="1" x14ac:dyDescent="0.4">
      <c r="A23" s="28">
        <v>123280</v>
      </c>
      <c r="B23" s="28">
        <v>0.01</v>
      </c>
      <c r="C23" s="28">
        <f t="shared" ref="C23:C30" si="12">LN(B23)</f>
        <v>-4.6051701859880909</v>
      </c>
      <c r="D23" s="28">
        <f t="shared" ref="D23:D30" si="13">LN(A23)</f>
        <v>11.722213469993997</v>
      </c>
      <c r="F23" s="28">
        <v>1</v>
      </c>
      <c r="G23" s="28">
        <f t="shared" ref="G23:G30" si="14">+A23+A24</f>
        <v>230582.56152765499</v>
      </c>
      <c r="H23" s="28">
        <f t="shared" ref="H23:H30" si="15">+G23*F23/2</f>
        <v>115291.2807638275</v>
      </c>
      <c r="O23" s="28">
        <v>21</v>
      </c>
      <c r="P23" s="34">
        <f t="shared" si="8"/>
        <v>2.8032955133410697E-2</v>
      </c>
    </row>
    <row r="24" spans="1:20" ht="12.75" customHeight="1" x14ac:dyDescent="0.4">
      <c r="A24" s="28">
        <v>107302.56152765499</v>
      </c>
      <c r="B24" s="28">
        <v>1</v>
      </c>
      <c r="C24" s="28">
        <f t="shared" si="12"/>
        <v>0</v>
      </c>
      <c r="D24" s="28">
        <f t="shared" si="13"/>
        <v>11.583407800912177</v>
      </c>
      <c r="F24" s="28">
        <f t="shared" ref="F24:F29" si="16">+B25-B24</f>
        <v>4</v>
      </c>
      <c r="G24" s="28">
        <f t="shared" si="14"/>
        <v>160572.37645080069</v>
      </c>
      <c r="H24" s="28">
        <f t="shared" si="15"/>
        <v>321144.75290160137</v>
      </c>
      <c r="L24" s="39"/>
      <c r="O24" s="28">
        <v>22</v>
      </c>
      <c r="P24" s="34">
        <f t="shared" si="8"/>
        <v>2.6180981081045107E-2</v>
      </c>
    </row>
    <row r="25" spans="1:20" ht="12.75" customHeight="1" x14ac:dyDescent="0.4">
      <c r="A25" s="28">
        <v>53269.814923145699</v>
      </c>
      <c r="B25" s="28">
        <v>5</v>
      </c>
      <c r="C25" s="28">
        <f t="shared" si="12"/>
        <v>1.6094379124341003</v>
      </c>
      <c r="D25" s="28">
        <f t="shared" si="13"/>
        <v>10.88312512558824</v>
      </c>
      <c r="F25" s="28">
        <f t="shared" si="16"/>
        <v>5</v>
      </c>
      <c r="G25" s="28">
        <f t="shared" si="14"/>
        <v>67025.563484226004</v>
      </c>
      <c r="H25" s="28">
        <f t="shared" si="15"/>
        <v>167563.90871056501</v>
      </c>
      <c r="L25" s="39"/>
      <c r="O25" s="28">
        <v>23</v>
      </c>
      <c r="P25" s="34">
        <f t="shared" si="8"/>
        <v>2.4396366665909774E-2</v>
      </c>
    </row>
    <row r="26" spans="1:20" ht="12.75" customHeight="1" x14ac:dyDescent="0.4">
      <c r="A26" s="28">
        <v>13755.7485610803</v>
      </c>
      <c r="B26" s="28">
        <v>10</v>
      </c>
      <c r="C26" s="28">
        <f t="shared" si="12"/>
        <v>2.3025850929940459</v>
      </c>
      <c r="D26" s="28">
        <f t="shared" si="13"/>
        <v>9.5292120928942854</v>
      </c>
      <c r="F26" s="28">
        <f t="shared" si="16"/>
        <v>10</v>
      </c>
      <c r="G26" s="28">
        <f t="shared" si="14"/>
        <v>14001.208495744206</v>
      </c>
      <c r="H26" s="28">
        <f t="shared" si="15"/>
        <v>70006.042478721036</v>
      </c>
      <c r="O26" s="28">
        <v>24</v>
      </c>
      <c r="P26" s="34">
        <f t="shared" si="8"/>
        <v>2.2674383386292463E-2</v>
      </c>
    </row>
    <row r="27" spans="1:20" ht="12.75" customHeight="1" x14ac:dyDescent="0.4">
      <c r="A27" s="28">
        <v>245.45993466390601</v>
      </c>
      <c r="B27" s="28">
        <v>20</v>
      </c>
      <c r="C27" s="28">
        <f t="shared" si="12"/>
        <v>2.9957322735539909</v>
      </c>
      <c r="D27" s="28">
        <f t="shared" si="13"/>
        <v>5.5031337349911551</v>
      </c>
      <c r="F27" s="28">
        <f t="shared" si="16"/>
        <v>10</v>
      </c>
      <c r="G27" s="28">
        <f t="shared" si="14"/>
        <v>354.594313783102</v>
      </c>
      <c r="H27" s="28">
        <f t="shared" si="15"/>
        <v>1772.97156891551</v>
      </c>
      <c r="O27" s="28">
        <v>25</v>
      </c>
      <c r="P27" s="34">
        <f t="shared" si="8"/>
        <v>2.1010783799483651E-2</v>
      </c>
    </row>
    <row r="28" spans="1:20" ht="12.75" customHeight="1" x14ac:dyDescent="0.4">
      <c r="A28" s="28">
        <v>109.134379119196</v>
      </c>
      <c r="B28" s="28">
        <v>30</v>
      </c>
      <c r="C28" s="28">
        <f t="shared" si="12"/>
        <v>3.4011973816621555</v>
      </c>
      <c r="D28" s="28">
        <f t="shared" si="13"/>
        <v>4.692579958866836</v>
      </c>
      <c r="F28" s="28">
        <f t="shared" si="16"/>
        <v>10</v>
      </c>
      <c r="G28" s="28">
        <f t="shared" si="14"/>
        <v>116.23453075038375</v>
      </c>
      <c r="H28" s="28">
        <f t="shared" si="15"/>
        <v>581.1726537519188</v>
      </c>
      <c r="O28" s="28">
        <v>26</v>
      </c>
      <c r="P28" s="34">
        <f t="shared" si="8"/>
        <v>1.940173840174772E-2</v>
      </c>
    </row>
    <row r="29" spans="1:20" ht="12.75" customHeight="1" x14ac:dyDescent="0.4">
      <c r="A29" s="28">
        <v>7.1001516311877504</v>
      </c>
      <c r="B29" s="28">
        <v>40</v>
      </c>
      <c r="C29" s="28">
        <f t="shared" si="12"/>
        <v>3.6888794541139363</v>
      </c>
      <c r="D29" s="28">
        <f t="shared" si="13"/>
        <v>1.9601161403245397</v>
      </c>
      <c r="F29" s="28">
        <f t="shared" si="16"/>
        <v>5</v>
      </c>
      <c r="G29" s="28">
        <f t="shared" si="14"/>
        <v>8.1001516311877495</v>
      </c>
      <c r="H29" s="28">
        <f t="shared" si="15"/>
        <v>20.250379077969374</v>
      </c>
      <c r="O29" s="28">
        <v>27</v>
      </c>
      <c r="P29" s="34">
        <f t="shared" si="8"/>
        <v>1.7843782532850405E-2</v>
      </c>
    </row>
    <row r="30" spans="1:20" ht="12.75" customHeight="1" x14ac:dyDescent="0.4">
      <c r="A30" s="28">
        <v>1</v>
      </c>
      <c r="B30" s="28">
        <v>45</v>
      </c>
      <c r="C30" s="28">
        <f t="shared" si="12"/>
        <v>3.8066624897703196</v>
      </c>
      <c r="D30" s="28">
        <f t="shared" si="13"/>
        <v>0</v>
      </c>
      <c r="G30" s="28">
        <f t="shared" si="14"/>
        <v>1</v>
      </c>
      <c r="H30" s="28">
        <f t="shared" si="15"/>
        <v>0</v>
      </c>
      <c r="O30" s="28">
        <v>28</v>
      </c>
      <c r="P30" s="34">
        <f t="shared" si="8"/>
        <v>1.6333771453323459E-2</v>
      </c>
    </row>
    <row r="31" spans="1:20" ht="12.75" customHeight="1" x14ac:dyDescent="0.4">
      <c r="G31" s="28" t="s">
        <v>28</v>
      </c>
      <c r="H31" s="28">
        <f>SUM(H23:H30)</f>
        <v>676380.37945646024</v>
      </c>
      <c r="O31" s="28">
        <v>29</v>
      </c>
      <c r="P31" s="34">
        <f t="shared" si="8"/>
        <v>1.4868842129853788E-2</v>
      </c>
    </row>
    <row r="32" spans="1:20" ht="12.75" customHeight="1" x14ac:dyDescent="0.4">
      <c r="O32" s="28">
        <v>30</v>
      </c>
      <c r="P32" s="34">
        <f t="shared" si="8"/>
        <v>1.3446380561537463E-2</v>
      </c>
    </row>
    <row r="33" spans="15:16" ht="12.75" customHeight="1" x14ac:dyDescent="0.4">
      <c r="O33" s="28">
        <v>31</v>
      </c>
      <c r="P33" s="34">
        <f t="shared" si="8"/>
        <v>1.206399371003955E-2</v>
      </c>
    </row>
    <row r="34" spans="15:16" ht="12.75" customHeight="1" x14ac:dyDescent="0.4">
      <c r="O34" s="28">
        <v>32</v>
      </c>
      <c r="P34" s="34">
        <f t="shared" si="8"/>
        <v>1.0719485276491081E-2</v>
      </c>
    </row>
    <row r="35" spans="15:16" ht="12.75" customHeight="1" x14ac:dyDescent="0.4">
      <c r="O35" s="28">
        <v>33</v>
      </c>
      <c r="P35" s="34">
        <f t="shared" si="8"/>
        <v>9.4108347093660727E-3</v>
      </c>
    </row>
    <row r="36" spans="15:16" ht="12.75" customHeight="1" x14ac:dyDescent="0.4">
      <c r="O36" s="28">
        <v>34</v>
      </c>
      <c r="P36" s="34">
        <f t="shared" si="8"/>
        <v>8.1361789395943129E-3</v>
      </c>
    </row>
    <row r="37" spans="15:16" ht="12.75" customHeight="1" x14ac:dyDescent="0.4">
      <c r="O37" s="28">
        <v>35</v>
      </c>
      <c r="P37" s="34">
        <f t="shared" si="8"/>
        <v>6.8937964284780939E-3</v>
      </c>
    </row>
    <row r="38" spans="15:16" ht="12.75" customHeight="1" x14ac:dyDescent="0.4">
      <c r="O38" s="28">
        <v>36</v>
      </c>
      <c r="P38" s="34">
        <f t="shared" si="8"/>
        <v>5.6820931856427503E-3</v>
      </c>
    </row>
    <row r="39" spans="15:16" ht="12.75" customHeight="1" x14ac:dyDescent="0.4">
      <c r="O39" s="28">
        <v>37</v>
      </c>
      <c r="P39" s="34">
        <f t="shared" si="8"/>
        <v>4.4995904720933344E-3</v>
      </c>
    </row>
    <row r="40" spans="15:16" ht="12.75" customHeight="1" x14ac:dyDescent="0.4">
      <c r="O40" s="28">
        <v>38</v>
      </c>
      <c r="P40" s="34">
        <f t="shared" si="8"/>
        <v>3.3449139503964054E-3</v>
      </c>
    </row>
    <row r="41" spans="15:16" ht="12.75" customHeight="1" x14ac:dyDescent="0.4">
      <c r="O41" s="28">
        <v>39</v>
      </c>
      <c r="P41" s="34">
        <f t="shared" si="8"/>
        <v>2.2167840823179297E-3</v>
      </c>
    </row>
    <row r="42" spans="15:16" ht="12.75" customHeight="1" x14ac:dyDescent="0.4">
      <c r="O42" s="28">
        <v>40</v>
      </c>
      <c r="P42" s="34">
        <f t="shared" si="8"/>
        <v>1.1140076056672388E-3</v>
      </c>
    </row>
    <row r="43" spans="15:16" ht="12.75" customHeight="1" x14ac:dyDescent="0.4">
      <c r="O43" s="28">
        <v>41</v>
      </c>
      <c r="P43" s="34">
        <f t="shared" si="8"/>
        <v>3.5469947991445538E-5</v>
      </c>
    </row>
    <row r="44" spans="15:16" ht="12.75" customHeight="1" x14ac:dyDescent="0.4">
      <c r="O44" s="28">
        <v>42</v>
      </c>
      <c r="P44" s="34">
        <f t="shared" si="8"/>
        <v>-1.0198715437988448E-3</v>
      </c>
    </row>
    <row r="45" spans="15:16" ht="12.75" customHeight="1" x14ac:dyDescent="0.4">
      <c r="O45" s="28">
        <v>43</v>
      </c>
      <c r="P45" s="34">
        <f t="shared" si="8"/>
        <v>-2.0529936609660071E-3</v>
      </c>
    </row>
    <row r="46" spans="15:16" ht="12.75" customHeight="1" x14ac:dyDescent="0.4">
      <c r="O46" s="28">
        <v>44</v>
      </c>
      <c r="P46" s="34">
        <f t="shared" si="8"/>
        <v>-3.0648127658528534E-3</v>
      </c>
    </row>
    <row r="47" spans="15:16" ht="12.75" customHeight="1" x14ac:dyDescent="0.4">
      <c r="O47" s="28">
        <v>45</v>
      </c>
      <c r="P47" s="34">
        <f t="shared" si="8"/>
        <v>-4.0561896758942173E-3</v>
      </c>
    </row>
    <row r="48" spans="15:16" ht="12.75" customHeight="1" x14ac:dyDescent="0.4">
      <c r="O48" s="28">
        <v>46</v>
      </c>
      <c r="P48" s="34">
        <f t="shared" si="8"/>
        <v>-5.0279340639625969E-3</v>
      </c>
    </row>
    <row r="49" spans="15:16" ht="12.75" customHeight="1" x14ac:dyDescent="0.4">
      <c r="O49" s="28">
        <v>47</v>
      </c>
      <c r="P49" s="34">
        <f t="shared" si="8"/>
        <v>-5.9808084314112442E-3</v>
      </c>
    </row>
    <row r="50" spans="15:16" ht="12.75" customHeight="1" x14ac:dyDescent="0.4">
      <c r="O50" s="28">
        <v>48</v>
      </c>
      <c r="P50" s="34">
        <f t="shared" si="8"/>
        <v>-6.9155317026599883E-3</v>
      </c>
    </row>
  </sheetData>
  <pageMargins left="0.78749999999999998" right="0.78749999999999998" top="0.98402777777777795" bottom="0.98402777777777795" header="0.511811023622047" footer="0.511811023622047"/>
  <pageSetup paperSize="9" scale="9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26" zoomScaleNormal="126" workbookViewId="0"/>
  </sheetViews>
  <sheetFormatPr defaultColWidth="10.640625" defaultRowHeight="12.75" customHeight="1" x14ac:dyDescent="0.4"/>
  <sheetData/>
  <pageMargins left="0.7" right="0.7" top="0.75" bottom="0.75" header="0.511811023622047" footer="0.511811023622047"/>
  <pageSetup paperSize="9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50"/>
  <sheetViews>
    <sheetView topLeftCell="A9" zoomScale="135" zoomScaleNormal="135" workbookViewId="0">
      <selection activeCell="G33" sqref="G33"/>
    </sheetView>
  </sheetViews>
  <sheetFormatPr defaultColWidth="9" defaultRowHeight="15.75" customHeight="1" x14ac:dyDescent="0.4"/>
  <cols>
    <col min="1" max="1" width="11.35546875" style="10" customWidth="1"/>
    <col min="2" max="2" width="14.2109375" style="10" customWidth="1"/>
    <col min="3" max="3" width="12.640625" style="10" customWidth="1"/>
    <col min="4" max="4" width="10.5" style="10" customWidth="1"/>
    <col min="5" max="5" width="12.85546875" style="10" customWidth="1"/>
    <col min="6" max="6" width="13" style="10" customWidth="1"/>
    <col min="7" max="7" width="11.5" style="10" customWidth="1"/>
    <col min="8" max="8" width="9" style="10" customWidth="1"/>
    <col min="9" max="9" width="9.140625" style="10" customWidth="1"/>
    <col min="10" max="10" width="11.35546875" style="10" customWidth="1"/>
    <col min="11" max="11" width="9.140625" style="10" customWidth="1"/>
    <col min="12" max="12" width="12.5" style="10" customWidth="1"/>
    <col min="13" max="13" width="9.140625" style="10" customWidth="1"/>
    <col min="14" max="14" width="9" style="10" customWidth="1"/>
    <col min="15" max="16" width="9" style="28" customWidth="1"/>
    <col min="17" max="257" width="9" style="10" customWidth="1"/>
  </cols>
  <sheetData>
    <row r="1" spans="1:16" ht="15.75" customHeight="1" x14ac:dyDescent="0.4">
      <c r="A1" s="10" t="s">
        <v>7</v>
      </c>
    </row>
    <row r="2" spans="1:16" ht="39" customHeight="1" x14ac:dyDescent="0.4">
      <c r="A2" s="10" t="s">
        <v>29</v>
      </c>
      <c r="B2" s="10" t="s">
        <v>11</v>
      </c>
      <c r="C2" s="10" t="s">
        <v>2</v>
      </c>
      <c r="D2" s="41" t="s">
        <v>30</v>
      </c>
      <c r="E2" s="42" t="s">
        <v>31</v>
      </c>
      <c r="F2" s="41" t="s">
        <v>8</v>
      </c>
      <c r="G2" s="10" t="s">
        <v>9</v>
      </c>
      <c r="I2" s="10" t="s">
        <v>10</v>
      </c>
      <c r="J2" s="10" t="s">
        <v>9</v>
      </c>
      <c r="K2" s="10" t="s">
        <v>11</v>
      </c>
      <c r="L2" s="10" t="s">
        <v>12</v>
      </c>
      <c r="M2" s="10" t="s">
        <v>13</v>
      </c>
      <c r="O2" s="30" t="str">
        <f>+B2</f>
        <v>Cost</v>
      </c>
      <c r="P2" s="30" t="s">
        <v>14</v>
      </c>
    </row>
    <row r="3" spans="1:16" ht="15.75" customHeight="1" x14ac:dyDescent="0.4">
      <c r="A3" s="10">
        <v>10</v>
      </c>
      <c r="B3" s="43">
        <f>524*A3/1000</f>
        <v>5.24</v>
      </c>
      <c r="C3" s="10">
        <v>10000</v>
      </c>
      <c r="D3" s="10">
        <v>837</v>
      </c>
      <c r="E3" s="44">
        <f t="shared" ref="E3:E12" si="0">+D3/C3</f>
        <v>8.3699999999999997E-2</v>
      </c>
      <c r="F3" s="45">
        <f t="shared" ref="F3:F12" si="1">$L$16+LN(B3+$C$17)*$L$17</f>
        <v>7.0470054791742773E-2</v>
      </c>
      <c r="G3" s="10">
        <f t="shared" ref="G3:G12" si="2">IF(J3&gt;0,J3,0)</f>
        <v>598.59379392384074</v>
      </c>
      <c r="I3" s="10">
        <f t="shared" ref="I3:I12" si="3">LN(B3)</f>
        <v>1.6563214983329508</v>
      </c>
      <c r="J3" s="10">
        <f t="shared" ref="J3:J12" si="4">+F3*C3*$G$15</f>
        <v>598.59379392384074</v>
      </c>
      <c r="K3" s="10">
        <f t="shared" ref="K3:K12" si="5">+B3</f>
        <v>5.24</v>
      </c>
      <c r="L3" s="10">
        <f t="shared" ref="L3:L12" si="6">+E3</f>
        <v>8.3699999999999997E-2</v>
      </c>
      <c r="M3" s="10">
        <f t="shared" ref="M3:M12" si="7">+F3</f>
        <v>7.0470054791742773E-2</v>
      </c>
      <c r="O3" s="28">
        <v>1</v>
      </c>
      <c r="P3" s="46">
        <f t="shared" ref="P3:P50" si="8">$L$16+LN(O3+$C$19)*$L$17*$G$15</f>
        <v>0.14899981428840781</v>
      </c>
    </row>
    <row r="4" spans="1:16" ht="15.75" customHeight="1" x14ac:dyDescent="0.4">
      <c r="A4" s="10">
        <v>20</v>
      </c>
      <c r="B4" s="43">
        <f t="shared" ref="B4:B12" si="9">524*A4/1936.27</f>
        <v>5.4124683024578184</v>
      </c>
      <c r="C4" s="10">
        <v>30000</v>
      </c>
      <c r="D4" s="10">
        <v>2100</v>
      </c>
      <c r="E4" s="44">
        <f t="shared" si="0"/>
        <v>7.0000000000000007E-2</v>
      </c>
      <c r="F4" s="45">
        <f t="shared" si="1"/>
        <v>6.8934672193638732E-2</v>
      </c>
      <c r="G4" s="10">
        <f t="shared" si="2"/>
        <v>1756.6553800716583</v>
      </c>
      <c r="I4" s="10">
        <f t="shared" si="3"/>
        <v>1.688705236952627</v>
      </c>
      <c r="J4" s="10">
        <f t="shared" si="4"/>
        <v>1756.6553800716583</v>
      </c>
      <c r="K4" s="10">
        <f t="shared" si="5"/>
        <v>5.4124683024578184</v>
      </c>
      <c r="L4" s="10">
        <f t="shared" si="6"/>
        <v>7.0000000000000007E-2</v>
      </c>
      <c r="M4" s="10">
        <f t="shared" si="7"/>
        <v>6.8934672193638732E-2</v>
      </c>
      <c r="O4" s="28">
        <v>2</v>
      </c>
      <c r="P4" s="46">
        <f t="shared" si="8"/>
        <v>0.12108448916865122</v>
      </c>
    </row>
    <row r="5" spans="1:16" ht="15.75" customHeight="1" x14ac:dyDescent="0.4">
      <c r="A5" s="10">
        <v>30</v>
      </c>
      <c r="B5" s="43">
        <f t="shared" si="9"/>
        <v>8.118702453686728</v>
      </c>
      <c r="C5" s="10">
        <v>100000</v>
      </c>
      <c r="D5" s="10">
        <v>4500</v>
      </c>
      <c r="E5" s="44">
        <f t="shared" si="0"/>
        <v>4.4999999999999998E-2</v>
      </c>
      <c r="F5" s="45">
        <f t="shared" si="1"/>
        <v>4.9710700605954353E-2</v>
      </c>
      <c r="G5" s="10">
        <f t="shared" si="2"/>
        <v>4222.5760945225011</v>
      </c>
      <c r="I5" s="10">
        <f t="shared" si="3"/>
        <v>2.0941703450607916</v>
      </c>
      <c r="J5" s="10">
        <f t="shared" si="4"/>
        <v>4222.5760945225011</v>
      </c>
      <c r="K5" s="10">
        <f t="shared" si="5"/>
        <v>8.118702453686728</v>
      </c>
      <c r="L5" s="10">
        <f t="shared" si="6"/>
        <v>4.4999999999999998E-2</v>
      </c>
      <c r="M5" s="10">
        <f t="shared" si="7"/>
        <v>4.9710700605954353E-2</v>
      </c>
      <c r="O5" s="28">
        <v>3</v>
      </c>
      <c r="P5" s="46">
        <f t="shared" si="8"/>
        <v>0.1047550707781543</v>
      </c>
    </row>
    <row r="6" spans="1:16" ht="15.75" customHeight="1" x14ac:dyDescent="0.4">
      <c r="A6" s="10">
        <v>40</v>
      </c>
      <c r="B6" s="43">
        <f t="shared" si="9"/>
        <v>10.824936604915637</v>
      </c>
      <c r="C6" s="10">
        <v>1500000</v>
      </c>
      <c r="D6" s="10">
        <v>39455</v>
      </c>
      <c r="E6" s="44">
        <f t="shared" si="0"/>
        <v>2.6303333333333335E-2</v>
      </c>
      <c r="F6" s="45">
        <f t="shared" si="1"/>
        <v>3.6071075699872751E-2</v>
      </c>
      <c r="G6" s="10">
        <f t="shared" si="2"/>
        <v>45959.781323948024</v>
      </c>
      <c r="I6" s="10">
        <f t="shared" si="3"/>
        <v>2.3818524175125724</v>
      </c>
      <c r="J6" s="10">
        <f t="shared" si="4"/>
        <v>45959.781323948024</v>
      </c>
      <c r="K6" s="10">
        <f t="shared" si="5"/>
        <v>10.824936604915637</v>
      </c>
      <c r="L6" s="10">
        <f t="shared" si="6"/>
        <v>2.6303333333333335E-2</v>
      </c>
      <c r="M6" s="10">
        <f t="shared" si="7"/>
        <v>3.6071075699872751E-2</v>
      </c>
      <c r="O6" s="28">
        <v>4</v>
      </c>
      <c r="P6" s="46">
        <f t="shared" si="8"/>
        <v>9.3169164048894637E-2</v>
      </c>
    </row>
    <row r="7" spans="1:16" ht="15.75" customHeight="1" x14ac:dyDescent="0.4">
      <c r="A7" s="10">
        <v>50</v>
      </c>
      <c r="B7" s="43">
        <f t="shared" si="9"/>
        <v>13.531170756144546</v>
      </c>
      <c r="C7" s="10">
        <v>50000</v>
      </c>
      <c r="D7" s="10">
        <v>713</v>
      </c>
      <c r="E7" s="44">
        <f t="shared" si="0"/>
        <v>1.426E-2</v>
      </c>
      <c r="F7" s="45">
        <f t="shared" si="1"/>
        <v>2.549136068948768E-2</v>
      </c>
      <c r="G7" s="10">
        <f t="shared" si="2"/>
        <v>1082.6563391000393</v>
      </c>
      <c r="I7" s="10">
        <f t="shared" si="3"/>
        <v>2.6049959688267821</v>
      </c>
      <c r="J7" s="10">
        <f t="shared" si="4"/>
        <v>1082.6563391000393</v>
      </c>
      <c r="K7" s="10">
        <f t="shared" si="5"/>
        <v>13.531170756144546</v>
      </c>
      <c r="L7" s="10">
        <f t="shared" si="6"/>
        <v>1.426E-2</v>
      </c>
      <c r="M7" s="10">
        <f t="shared" si="7"/>
        <v>2.549136068948768E-2</v>
      </c>
      <c r="O7" s="28">
        <v>5</v>
      </c>
      <c r="P7" s="46">
        <f t="shared" si="8"/>
        <v>8.4182436614930065E-2</v>
      </c>
    </row>
    <row r="8" spans="1:16" ht="15.75" customHeight="1" x14ac:dyDescent="0.4">
      <c r="A8" s="10">
        <v>60</v>
      </c>
      <c r="B8" s="43">
        <f t="shared" si="9"/>
        <v>16.237404907373456</v>
      </c>
      <c r="C8" s="10">
        <v>2500000</v>
      </c>
      <c r="D8" s="10">
        <v>33000</v>
      </c>
      <c r="E8" s="44">
        <f t="shared" si="0"/>
        <v>1.32E-2</v>
      </c>
      <c r="F8" s="45">
        <f t="shared" si="1"/>
        <v>1.6847104112188371E-2</v>
      </c>
      <c r="G8" s="10">
        <f t="shared" si="2"/>
        <v>35776.089563671027</v>
      </c>
      <c r="I8" s="10">
        <f t="shared" si="3"/>
        <v>2.787317525620737</v>
      </c>
      <c r="J8" s="10">
        <f t="shared" si="4"/>
        <v>35776.089563671027</v>
      </c>
      <c r="K8" s="10">
        <f t="shared" si="5"/>
        <v>16.237404907373456</v>
      </c>
      <c r="L8" s="10">
        <f t="shared" si="6"/>
        <v>1.32E-2</v>
      </c>
      <c r="M8" s="10">
        <f t="shared" si="7"/>
        <v>1.6847104112188371E-2</v>
      </c>
      <c r="O8" s="28">
        <v>6</v>
      </c>
      <c r="P8" s="46">
        <f t="shared" si="8"/>
        <v>7.6839745658397712E-2</v>
      </c>
    </row>
    <row r="9" spans="1:16" ht="15.75" customHeight="1" x14ac:dyDescent="0.4">
      <c r="A9" s="10">
        <v>70</v>
      </c>
      <c r="B9" s="43">
        <f t="shared" si="9"/>
        <v>18.943639058602365</v>
      </c>
      <c r="C9" s="10">
        <v>400000</v>
      </c>
      <c r="D9" s="10">
        <v>3351</v>
      </c>
      <c r="E9" s="44">
        <f t="shared" si="0"/>
        <v>8.3774999999999995E-3</v>
      </c>
      <c r="F9" s="45">
        <f t="shared" si="1"/>
        <v>9.5384893141157723E-3</v>
      </c>
      <c r="G9" s="10">
        <f t="shared" si="2"/>
        <v>3240.9116318766351</v>
      </c>
      <c r="I9" s="10">
        <f t="shared" si="3"/>
        <v>2.941468205447995</v>
      </c>
      <c r="J9" s="10">
        <f t="shared" si="4"/>
        <v>3240.9116318766351</v>
      </c>
      <c r="K9" s="10">
        <f t="shared" si="5"/>
        <v>18.943639058602365</v>
      </c>
      <c r="L9" s="10">
        <f t="shared" si="6"/>
        <v>8.3774999999999995E-3</v>
      </c>
      <c r="M9" s="10">
        <f t="shared" si="7"/>
        <v>9.5384893141157723E-3</v>
      </c>
      <c r="O9" s="28">
        <v>7</v>
      </c>
      <c r="P9" s="46">
        <f t="shared" si="8"/>
        <v>7.0631588912620877E-2</v>
      </c>
    </row>
    <row r="10" spans="1:16" ht="15.75" customHeight="1" x14ac:dyDescent="0.4">
      <c r="A10" s="10">
        <v>80</v>
      </c>
      <c r="B10" s="43">
        <f t="shared" si="9"/>
        <v>21.649873209831274</v>
      </c>
      <c r="C10" s="10">
        <v>30000</v>
      </c>
      <c r="D10" s="10">
        <v>190</v>
      </c>
      <c r="E10" s="44">
        <f t="shared" si="0"/>
        <v>6.3333333333333332E-3</v>
      </c>
      <c r="F10" s="45">
        <f t="shared" si="1"/>
        <v>3.2074792061067836E-3</v>
      </c>
      <c r="G10" s="10">
        <f t="shared" si="2"/>
        <v>81.73587288626284</v>
      </c>
      <c r="I10" s="10">
        <f t="shared" si="3"/>
        <v>3.0749995980725178</v>
      </c>
      <c r="J10" s="10">
        <f t="shared" si="4"/>
        <v>81.73587288626284</v>
      </c>
      <c r="K10" s="10">
        <f t="shared" si="5"/>
        <v>21.649873209831274</v>
      </c>
      <c r="L10" s="10">
        <f t="shared" si="6"/>
        <v>6.3333333333333332E-3</v>
      </c>
      <c r="M10" s="10">
        <f t="shared" si="7"/>
        <v>3.2074792061067836E-3</v>
      </c>
      <c r="O10" s="28">
        <v>8</v>
      </c>
      <c r="P10" s="46">
        <f t="shared" si="8"/>
        <v>6.5253838929138039E-2</v>
      </c>
    </row>
    <row r="11" spans="1:16" ht="15.75" customHeight="1" x14ac:dyDescent="0.4">
      <c r="A11" s="10">
        <v>90</v>
      </c>
      <c r="B11" s="43">
        <f t="shared" si="9"/>
        <v>24.356107361060182</v>
      </c>
      <c r="C11" s="10">
        <v>3000000</v>
      </c>
      <c r="D11" s="10">
        <v>8543</v>
      </c>
      <c r="E11" s="44">
        <f t="shared" si="0"/>
        <v>2.8476666666666667E-3</v>
      </c>
      <c r="F11" s="45">
        <f t="shared" si="1"/>
        <v>-2.3768674754959807E-3</v>
      </c>
      <c r="G11" s="10">
        <f t="shared" si="2"/>
        <v>0</v>
      </c>
      <c r="I11" s="10">
        <f t="shared" si="3"/>
        <v>3.1927826337289011</v>
      </c>
      <c r="J11" s="10">
        <f t="shared" si="4"/>
        <v>-6056.9476950855124</v>
      </c>
      <c r="K11" s="10">
        <f t="shared" si="5"/>
        <v>24.356107361060182</v>
      </c>
      <c r="L11" s="10">
        <f t="shared" si="6"/>
        <v>2.8476666666666667E-3</v>
      </c>
      <c r="M11" s="10">
        <f t="shared" si="7"/>
        <v>-2.3768674754959807E-3</v>
      </c>
      <c r="O11" s="28">
        <v>9</v>
      </c>
      <c r="P11" s="46">
        <f t="shared" si="8"/>
        <v>6.0510327267900774E-2</v>
      </c>
    </row>
    <row r="12" spans="1:16" ht="15.75" customHeight="1" x14ac:dyDescent="0.4">
      <c r="A12" s="10">
        <v>100</v>
      </c>
      <c r="B12" s="43">
        <f t="shared" si="9"/>
        <v>27.062341512289091</v>
      </c>
      <c r="C12" s="10">
        <v>60000</v>
      </c>
      <c r="D12" s="10">
        <v>30</v>
      </c>
      <c r="E12" s="44">
        <f t="shared" si="0"/>
        <v>5.0000000000000001E-4</v>
      </c>
      <c r="F12" s="45">
        <f t="shared" si="1"/>
        <v>-7.3722358042782876E-3</v>
      </c>
      <c r="G12" s="10">
        <f t="shared" si="2"/>
        <v>0</v>
      </c>
      <c r="I12" s="10">
        <f t="shared" si="3"/>
        <v>3.2981431493867275</v>
      </c>
      <c r="J12" s="10">
        <f t="shared" si="4"/>
        <v>-375.73190026534797</v>
      </c>
      <c r="K12" s="10">
        <f t="shared" si="5"/>
        <v>27.062341512289091</v>
      </c>
      <c r="L12" s="10">
        <f t="shared" si="6"/>
        <v>5.0000000000000001E-4</v>
      </c>
      <c r="M12" s="10">
        <f t="shared" si="7"/>
        <v>-7.3722358042782876E-3</v>
      </c>
      <c r="O12" s="28">
        <v>10</v>
      </c>
      <c r="P12" s="46">
        <f t="shared" si="8"/>
        <v>5.6267111495173466E-2</v>
      </c>
    </row>
    <row r="13" spans="1:16" ht="15.75" customHeight="1" x14ac:dyDescent="0.4">
      <c r="C13" s="10" t="s">
        <v>32</v>
      </c>
      <c r="D13" s="10">
        <f>SUM(D3:D12)</f>
        <v>92719</v>
      </c>
      <c r="F13" s="47" t="s">
        <v>33</v>
      </c>
      <c r="G13" s="10">
        <f>SUM(G3:G12)</f>
        <v>92718.999999999971</v>
      </c>
      <c r="O13" s="28">
        <v>11</v>
      </c>
      <c r="P13" s="46">
        <f t="shared" si="8"/>
        <v>5.242865592458186E-2</v>
      </c>
    </row>
    <row r="14" spans="1:16" ht="15.75" customHeight="1" x14ac:dyDescent="0.4">
      <c r="F14" s="48" t="s">
        <v>34</v>
      </c>
      <c r="G14" s="10">
        <v>109154.37274090599</v>
      </c>
      <c r="O14" s="28">
        <v>12</v>
      </c>
      <c r="P14" s="46">
        <f t="shared" si="8"/>
        <v>4.8924420538641114E-2</v>
      </c>
    </row>
    <row r="15" spans="1:16" ht="15.75" customHeight="1" x14ac:dyDescent="0.4">
      <c r="A15" s="10" t="s">
        <v>20</v>
      </c>
      <c r="B15" s="10">
        <f>+L16</f>
        <v>0.14899981428840781</v>
      </c>
      <c r="C15" s="10">
        <f>+L17</f>
        <v>-4.7412147687332089E-2</v>
      </c>
      <c r="D15" s="10" t="s">
        <v>11</v>
      </c>
      <c r="F15" s="48" t="s">
        <v>35</v>
      </c>
      <c r="G15" s="49">
        <f>+D13/G14</f>
        <v>0.84943001065181534</v>
      </c>
      <c r="O15" s="28">
        <v>13</v>
      </c>
      <c r="P15" s="46">
        <f t="shared" si="8"/>
        <v>4.5700836470438794E-2</v>
      </c>
    </row>
    <row r="16" spans="1:16" ht="15.75" customHeight="1" x14ac:dyDescent="0.4">
      <c r="J16" s="10" t="s">
        <v>21</v>
      </c>
      <c r="L16" s="49">
        <f>INTERCEPT(E3:E12,I3:I12)</f>
        <v>0.14899981428840781</v>
      </c>
      <c r="O16" s="28">
        <v>14</v>
      </c>
      <c r="P16" s="46">
        <f t="shared" si="8"/>
        <v>4.2716263792864279E-2</v>
      </c>
    </row>
    <row r="17" spans="1:16" ht="15.75" customHeight="1" x14ac:dyDescent="0.4">
      <c r="A17" s="10" t="s">
        <v>22</v>
      </c>
      <c r="C17" s="10">
        <v>0</v>
      </c>
      <c r="J17" s="10" t="s">
        <v>23</v>
      </c>
      <c r="L17" s="49">
        <f>LINEST(E3:E12,I3:I12)</f>
        <v>-4.7412147687332089E-2</v>
      </c>
      <c r="O17" s="28">
        <v>15</v>
      </c>
      <c r="P17" s="46">
        <f t="shared" si="8"/>
        <v>3.9937693104676542E-2</v>
      </c>
    </row>
    <row r="18" spans="1:16" ht="15.75" customHeight="1" x14ac:dyDescent="0.4">
      <c r="A18" s="10" t="s">
        <v>24</v>
      </c>
      <c r="C18" s="10">
        <f>+G13</f>
        <v>92718.999999999971</v>
      </c>
      <c r="O18" s="28">
        <v>16</v>
      </c>
      <c r="P18" s="46">
        <f t="shared" si="8"/>
        <v>3.7338513809381454E-2</v>
      </c>
    </row>
    <row r="19" spans="1:16" ht="15.75" customHeight="1" x14ac:dyDescent="0.4">
      <c r="O19" s="28">
        <v>17</v>
      </c>
      <c r="P19" s="46">
        <f t="shared" si="8"/>
        <v>3.4896960159980575E-2</v>
      </c>
    </row>
    <row r="20" spans="1:16" ht="15.75" customHeight="1" x14ac:dyDescent="0.4">
      <c r="A20" s="50" t="s">
        <v>24</v>
      </c>
      <c r="B20" s="50" t="s">
        <v>22</v>
      </c>
      <c r="D20" s="50"/>
      <c r="E20" s="50"/>
      <c r="O20" s="28">
        <v>18</v>
      </c>
      <c r="P20" s="46">
        <f t="shared" si="8"/>
        <v>3.2595002148144189E-2</v>
      </c>
    </row>
    <row r="21" spans="1:16" ht="15.75" customHeight="1" x14ac:dyDescent="0.4">
      <c r="A21" s="10">
        <v>92582.728911126498</v>
      </c>
      <c r="B21" s="10">
        <v>0.01</v>
      </c>
      <c r="C21" s="28">
        <f t="shared" ref="C21:C28" si="10">+B22-B21</f>
        <v>0.99</v>
      </c>
      <c r="D21" s="28">
        <f t="shared" ref="D21:D28" si="11">+A21+A22</f>
        <v>172176.9552080408</v>
      </c>
      <c r="E21" s="28">
        <f t="shared" ref="E21:E28" si="12">+(C21)*D21/2</f>
        <v>85227.592827980203</v>
      </c>
      <c r="O21" s="28">
        <v>19</v>
      </c>
      <c r="P21" s="46">
        <f t="shared" si="8"/>
        <v>3.0417536665470951E-2</v>
      </c>
    </row>
    <row r="22" spans="1:16" ht="15.75" customHeight="1" x14ac:dyDescent="0.4">
      <c r="A22" s="10">
        <v>79594.226296914305</v>
      </c>
      <c r="B22" s="10">
        <v>1</v>
      </c>
      <c r="C22" s="28">
        <f t="shared" si="10"/>
        <v>4</v>
      </c>
      <c r="D22" s="28">
        <f t="shared" si="11"/>
        <v>115396.6193297226</v>
      </c>
      <c r="E22" s="28">
        <f t="shared" si="12"/>
        <v>230793.2386594452</v>
      </c>
      <c r="O22" s="28">
        <v>20</v>
      </c>
      <c r="P22" s="46">
        <f t="shared" si="8"/>
        <v>2.8351786375416896E-2</v>
      </c>
    </row>
    <row r="23" spans="1:16" ht="15.75" customHeight="1" x14ac:dyDescent="0.4">
      <c r="A23" s="10">
        <v>35802.393032808301</v>
      </c>
      <c r="B23" s="10">
        <v>5</v>
      </c>
      <c r="C23" s="28">
        <f t="shared" si="10"/>
        <v>5</v>
      </c>
      <c r="D23" s="28">
        <f t="shared" si="11"/>
        <v>43886.50336209232</v>
      </c>
      <c r="E23" s="28">
        <f t="shared" si="12"/>
        <v>109716.25840523079</v>
      </c>
      <c r="O23" s="28">
        <v>21</v>
      </c>
      <c r="P23" s="46">
        <f t="shared" si="8"/>
        <v>2.6386845402367368E-2</v>
      </c>
    </row>
    <row r="24" spans="1:16" ht="15.75" customHeight="1" x14ac:dyDescent="0.4">
      <c r="A24" s="10">
        <v>8084.1103292840198</v>
      </c>
      <c r="B24" s="10">
        <v>10</v>
      </c>
      <c r="C24" s="28">
        <f t="shared" si="10"/>
        <v>5</v>
      </c>
      <c r="D24" s="28">
        <f t="shared" si="11"/>
        <v>8299.4076167029616</v>
      </c>
      <c r="E24" s="28">
        <f t="shared" si="12"/>
        <v>20748.519041757405</v>
      </c>
      <c r="O24" s="28">
        <v>22</v>
      </c>
      <c r="P24" s="46">
        <f t="shared" si="8"/>
        <v>2.4513330804825262E-2</v>
      </c>
    </row>
    <row r="25" spans="1:16" ht="15.75" customHeight="1" x14ac:dyDescent="0.4">
      <c r="A25" s="10">
        <v>215.29728741894101</v>
      </c>
      <c r="B25" s="10">
        <v>15</v>
      </c>
      <c r="C25" s="28">
        <f t="shared" si="10"/>
        <v>3</v>
      </c>
      <c r="D25" s="28">
        <f t="shared" si="11"/>
        <v>216.29728741894101</v>
      </c>
      <c r="E25" s="28">
        <f t="shared" si="12"/>
        <v>324.44593112841153</v>
      </c>
      <c r="O25" s="28">
        <v>23</v>
      </c>
      <c r="P25" s="46">
        <f t="shared" si="8"/>
        <v>2.2723111585714245E-2</v>
      </c>
    </row>
    <row r="26" spans="1:16" ht="15.75" customHeight="1" x14ac:dyDescent="0.4">
      <c r="A26" s="10">
        <v>1</v>
      </c>
      <c r="B26" s="10">
        <v>18</v>
      </c>
      <c r="C26" s="28">
        <f t="shared" si="10"/>
        <v>-18</v>
      </c>
      <c r="D26" s="28">
        <f t="shared" si="11"/>
        <v>1</v>
      </c>
      <c r="E26" s="28">
        <f t="shared" si="12"/>
        <v>-9</v>
      </c>
      <c r="O26" s="28">
        <v>24</v>
      </c>
      <c r="P26" s="46">
        <f t="shared" si="8"/>
        <v>2.1009095418884516E-2</v>
      </c>
    </row>
    <row r="27" spans="1:16" ht="15.75" customHeight="1" x14ac:dyDescent="0.4">
      <c r="C27" s="28">
        <f t="shared" si="10"/>
        <v>0</v>
      </c>
      <c r="D27" s="28">
        <f t="shared" si="11"/>
        <v>0</v>
      </c>
      <c r="E27" s="28">
        <f t="shared" si="12"/>
        <v>0</v>
      </c>
      <c r="O27" s="28">
        <v>25</v>
      </c>
      <c r="P27" s="46">
        <f t="shared" si="8"/>
        <v>1.9365058941452323E-2</v>
      </c>
    </row>
    <row r="28" spans="1:16" ht="15.75" customHeight="1" x14ac:dyDescent="0.4">
      <c r="C28" s="28">
        <f t="shared" si="10"/>
        <v>0</v>
      </c>
      <c r="D28" s="28">
        <f t="shared" si="11"/>
        <v>0</v>
      </c>
      <c r="E28" s="28">
        <f t="shared" si="12"/>
        <v>0</v>
      </c>
      <c r="O28" s="28">
        <v>26</v>
      </c>
      <c r="P28" s="46">
        <f t="shared" si="8"/>
        <v>1.7785511350682182E-2</v>
      </c>
    </row>
    <row r="29" spans="1:16" ht="15.75" customHeight="1" x14ac:dyDescent="0.4">
      <c r="C29" s="28"/>
      <c r="D29" s="28" t="s">
        <v>28</v>
      </c>
      <c r="E29" s="28">
        <f>SUM(E21:E28)</f>
        <v>446801.05486554198</v>
      </c>
      <c r="O29" s="28">
        <v>27</v>
      </c>
      <c r="P29" s="46">
        <f t="shared" si="8"/>
        <v>1.6265583757647278E-2</v>
      </c>
    </row>
    <row r="30" spans="1:16" ht="15.75" customHeight="1" x14ac:dyDescent="0.4">
      <c r="D30" s="10" t="s">
        <v>36</v>
      </c>
      <c r="E30" s="10">
        <f>+'Data without'!H31-'Data with'!E29</f>
        <v>229579.32459091826</v>
      </c>
      <c r="O30" s="28">
        <v>28</v>
      </c>
      <c r="P30" s="46">
        <f t="shared" si="8"/>
        <v>1.4800938673107694E-2</v>
      </c>
    </row>
    <row r="31" spans="1:16" ht="15.75" customHeight="1" x14ac:dyDescent="0.4">
      <c r="O31" s="28">
        <v>29</v>
      </c>
      <c r="P31" s="46">
        <f t="shared" si="8"/>
        <v>1.3387695383822978E-2</v>
      </c>
    </row>
    <row r="32" spans="1:16" ht="15.75" customHeight="1" x14ac:dyDescent="0.4">
      <c r="O32" s="28">
        <v>30</v>
      </c>
      <c r="P32" s="46">
        <f t="shared" si="8"/>
        <v>1.2022367984919957E-2</v>
      </c>
    </row>
    <row r="33" spans="15:16" ht="15.75" customHeight="1" x14ac:dyDescent="0.4">
      <c r="O33" s="28">
        <v>31</v>
      </c>
      <c r="P33" s="46">
        <f t="shared" si="8"/>
        <v>1.0701813576859648E-2</v>
      </c>
    </row>
    <row r="34" spans="15:16" ht="15.75" customHeight="1" x14ac:dyDescent="0.4">
      <c r="O34" s="28">
        <v>32</v>
      </c>
      <c r="P34" s="46">
        <f t="shared" si="8"/>
        <v>9.423188689624884E-3</v>
      </c>
    </row>
    <row r="35" spans="15:16" ht="15.75" customHeight="1" x14ac:dyDescent="0.4">
      <c r="O35" s="28">
        <v>33</v>
      </c>
      <c r="P35" s="46">
        <f t="shared" si="8"/>
        <v>8.183912414328337E-3</v>
      </c>
    </row>
    <row r="36" spans="15:16" ht="15.75" customHeight="1" x14ac:dyDescent="0.4">
      <c r="O36" s="28">
        <v>34</v>
      </c>
      <c r="P36" s="46">
        <f t="shared" si="8"/>
        <v>6.9816350402239769E-3</v>
      </c>
    </row>
    <row r="37" spans="15:16" ht="15.75" customHeight="1" x14ac:dyDescent="0.4">
      <c r="O37" s="28">
        <v>35</v>
      </c>
      <c r="P37" s="46">
        <f t="shared" si="8"/>
        <v>5.8142112391431355E-3</v>
      </c>
    </row>
    <row r="38" spans="15:16" ht="15.75" customHeight="1" x14ac:dyDescent="0.4">
      <c r="O38" s="28">
        <v>36</v>
      </c>
      <c r="P38" s="46">
        <f t="shared" si="8"/>
        <v>4.6796770283876188E-3</v>
      </c>
    </row>
    <row r="39" spans="15:16" ht="15.75" customHeight="1" x14ac:dyDescent="0.4">
      <c r="O39" s="28">
        <v>37</v>
      </c>
      <c r="P39" s="46">
        <f t="shared" si="8"/>
        <v>3.5762298906654999E-3</v>
      </c>
    </row>
    <row r="40" spans="15:16" ht="15.75" customHeight="1" x14ac:dyDescent="0.4">
      <c r="O40" s="28">
        <v>38</v>
      </c>
      <c r="P40" s="46">
        <f t="shared" si="8"/>
        <v>2.5022115457143668E-3</v>
      </c>
    </row>
    <row r="41" spans="15:16" ht="15.75" customHeight="1" x14ac:dyDescent="0.4">
      <c r="O41" s="28">
        <v>39</v>
      </c>
      <c r="P41" s="46">
        <f t="shared" si="8"/>
        <v>1.4560929601852846E-3</v>
      </c>
    </row>
    <row r="42" spans="15:16" ht="15.75" customHeight="1" x14ac:dyDescent="0.4">
      <c r="O42" s="28">
        <v>40</v>
      </c>
      <c r="P42" s="46">
        <f t="shared" si="8"/>
        <v>4.3646125566029759E-4</v>
      </c>
    </row>
    <row r="43" spans="15:16" ht="15.75" customHeight="1" x14ac:dyDescent="0.4">
      <c r="O43" s="28">
        <v>41</v>
      </c>
      <c r="P43" s="46">
        <f t="shared" si="8"/>
        <v>-5.5799176650964122E-4</v>
      </c>
    </row>
    <row r="44" spans="15:16" ht="15.75" customHeight="1" x14ac:dyDescent="0.4">
      <c r="O44" s="28">
        <v>42</v>
      </c>
      <c r="P44" s="46">
        <f t="shared" si="8"/>
        <v>-1.5284797173892306E-3</v>
      </c>
    </row>
    <row r="45" spans="15:16" ht="15.75" customHeight="1" x14ac:dyDescent="0.4">
      <c r="O45" s="28">
        <v>43</v>
      </c>
      <c r="P45" s="46">
        <f t="shared" si="8"/>
        <v>-2.4761305249774712E-3</v>
      </c>
    </row>
    <row r="46" spans="15:16" ht="15.75" customHeight="1" x14ac:dyDescent="0.4">
      <c r="O46" s="28">
        <v>44</v>
      </c>
      <c r="P46" s="46">
        <f t="shared" si="8"/>
        <v>-3.4019943149312948E-3</v>
      </c>
    </row>
    <row r="47" spans="15:16" ht="15.75" customHeight="1" x14ac:dyDescent="0.4">
      <c r="O47" s="28">
        <v>45</v>
      </c>
      <c r="P47" s="46">
        <f t="shared" si="8"/>
        <v>-4.3070504055769676E-3</v>
      </c>
    </row>
    <row r="48" spans="15:16" ht="15.75" customHeight="1" x14ac:dyDescent="0.4">
      <c r="O48" s="28">
        <v>46</v>
      </c>
      <c r="P48" s="46">
        <f t="shared" si="8"/>
        <v>-5.192213534042367E-3</v>
      </c>
    </row>
    <row r="49" spans="15:16" ht="15.75" customHeight="1" x14ac:dyDescent="0.4">
      <c r="O49" s="28">
        <v>47</v>
      </c>
      <c r="P49" s="46">
        <f t="shared" si="8"/>
        <v>-6.058339412748831E-3</v>
      </c>
    </row>
    <row r="50" spans="15:16" ht="15.75" customHeight="1" x14ac:dyDescent="0.4">
      <c r="O50" s="28">
        <v>48</v>
      </c>
      <c r="P50" s="46">
        <f t="shared" si="8"/>
        <v>-6.9062297008720686E-3</v>
      </c>
    </row>
  </sheetData>
  <printOptions gridLines="1"/>
  <pageMargins left="0.75" right="0.75" top="1" bottom="1" header="0.5" footer="0.5"/>
  <pageSetup paperSize="9" orientation="portrait" horizontalDpi="300" verticalDpi="300"/>
  <headerFooter>
    <oddHeader>&amp;C&amp;A</oddHeader>
    <oddFooter>&amp;CPagina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zoomScale="126" zoomScaleNormal="126" workbookViewId="0"/>
  </sheetViews>
  <sheetFormatPr defaultColWidth="10.640625" defaultRowHeight="12.75" customHeight="1" x14ac:dyDescent="0.4"/>
  <sheetData/>
  <pageMargins left="0.7" right="0.7" top="0.75" bottom="0.75" header="0.511811023622047" footer="0.511811023622047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="116" zoomScaleNormal="116" workbookViewId="0"/>
  </sheetViews>
  <sheetFormatPr defaultColWidth="10.640625" defaultRowHeight="12.75" customHeight="1" x14ac:dyDescent="0.4"/>
  <sheetData/>
  <pageMargins left="0.7" right="0.7" top="0.75" bottom="0.75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Summarizing tables</vt:lpstr>
      <vt:lpstr>Data without</vt:lpstr>
      <vt:lpstr>Rates without</vt:lpstr>
      <vt:lpstr>Data with</vt:lpstr>
      <vt:lpstr>Rates with</vt:lpstr>
      <vt:lpstr>Demand 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</dc:creator>
  <cp:lastModifiedBy>BERTO RAUL</cp:lastModifiedBy>
  <cp:revision>0</cp:revision>
  <dcterms:created xsi:type="dcterms:W3CDTF">2019-03-09T18:56:27Z</dcterms:created>
  <dcterms:modified xsi:type="dcterms:W3CDTF">2026-04-21T13:19:48Z</dcterms:modified>
  <dc:language>en-US</dc:language>
</cp:coreProperties>
</file>