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ivotTables/pivotTable2.xml" ContentType="application/vnd.openxmlformats-officedocument.spreadsheetml.pivot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fileSharing readOnlyRecommended="1" userName="Lorenzo Cannata" algorithmName="SHA-512" hashValue="+5MyS3YuKt6qaIYC6rW0LwOhnQ4YF6RX4DZ2lXZv5G2yRny9WkATkuKxl1jQAUu2WlnJaWb+a6xfUWvgzeITww==" saltValue="6EDpqWs/NfdHK5+5BZBH2w==" spinCount="10000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rober\Documents\UNI\Slides\2025_26\"/>
    </mc:Choice>
  </mc:AlternateContent>
  <xr:revisionPtr revIDLastSave="0" documentId="8_{EDA86784-044E-459F-BC5C-EFEEE42A03D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ampione c.s. senza ripetizioni" sheetId="10" r:id="rId1"/>
    <sheet name="Campione c.s. con ripetizioni" sheetId="9" r:id="rId2"/>
    <sheet name="Campione casuale sistematico" sheetId="11" r:id="rId3"/>
    <sheet name="Campione stratificato" sheetId="12" r:id="rId4"/>
    <sheet name="Stima dei parametri" sheetId="13" r:id="rId5"/>
    <sheet name="Stima proporzione" sheetId="14" r:id="rId6"/>
    <sheet name="Esericizio di calcolo" sheetId="19" r:id="rId7"/>
    <sheet name="Campione strat_libro pag.72" sheetId="17" r:id="rId8"/>
    <sheet name="Pag.72_Proporzione" sheetId="18" r:id="rId9"/>
    <sheet name="Intervallo confidenza-pag.74" sheetId="16" r:id="rId10"/>
    <sheet name="Numerosità campionaria vs error" sheetId="15" r:id="rId11"/>
  </sheets>
  <calcPr calcId="191029"/>
  <pivotCaches>
    <pivotCache cacheId="0" r:id="rId12"/>
    <pivotCache cacheId="1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3" l="1"/>
  <c r="E6" i="13"/>
  <c r="F16" i="13"/>
  <c r="E16" i="13"/>
  <c r="D19" i="13"/>
  <c r="E7" i="13"/>
  <c r="E8" i="13"/>
  <c r="E9" i="13"/>
  <c r="E10" i="13"/>
  <c r="E11" i="13"/>
  <c r="E12" i="13"/>
  <c r="E13" i="13"/>
  <c r="E14" i="13"/>
  <c r="F7" i="13"/>
  <c r="F8" i="13"/>
  <c r="F9" i="13"/>
  <c r="F10" i="13"/>
  <c r="F11" i="13"/>
  <c r="F12" i="13"/>
  <c r="F13" i="13"/>
  <c r="F14" i="13"/>
  <c r="D16" i="13"/>
  <c r="D18" i="13"/>
  <c r="D7" i="13"/>
  <c r="D8" i="13"/>
  <c r="D9" i="13"/>
  <c r="D10" i="13"/>
  <c r="D11" i="13"/>
  <c r="D12" i="13"/>
  <c r="D13" i="13"/>
  <c r="D14" i="13"/>
  <c r="D6" i="13"/>
  <c r="F11" i="14" l="1"/>
  <c r="F15" i="14" s="1"/>
  <c r="M23" i="13"/>
  <c r="M22" i="13"/>
  <c r="F2" i="11"/>
  <c r="I7" i="10" a="1"/>
  <c r="I7" i="10" s="1"/>
  <c r="D17" i="15"/>
  <c r="D18" i="15"/>
  <c r="D19" i="15"/>
  <c r="D20" i="15"/>
  <c r="D21" i="15"/>
  <c r="D16" i="15"/>
  <c r="C2" i="15"/>
  <c r="B8" i="15" s="1"/>
  <c r="D8" i="15" s="1"/>
  <c r="C9" i="15"/>
  <c r="C10" i="15"/>
  <c r="C11" i="15"/>
  <c r="C12" i="15"/>
  <c r="C13" i="15"/>
  <c r="C8" i="15"/>
  <c r="J6" i="17"/>
  <c r="M16" i="13"/>
  <c r="J11" i="18"/>
  <c r="H11" i="18"/>
  <c r="I7" i="18"/>
  <c r="F31" i="14"/>
  <c r="D31" i="14"/>
  <c r="F29" i="14"/>
  <c r="F13" i="14"/>
  <c r="D15" i="14" l="1"/>
  <c r="B20" i="15"/>
  <c r="C20" i="15" s="1"/>
  <c r="B19" i="15"/>
  <c r="C19" i="15" s="1"/>
  <c r="B18" i="15"/>
  <c r="C18" i="15" s="1"/>
  <c r="B17" i="15"/>
  <c r="C17" i="15" s="1"/>
  <c r="B16" i="15"/>
  <c r="C16" i="15" s="1"/>
  <c r="B21" i="15"/>
  <c r="C21" i="15" s="1"/>
  <c r="F10" i="16"/>
  <c r="B21" i="19"/>
  <c r="D17" i="19"/>
  <c r="D16" i="19"/>
  <c r="B16" i="19"/>
  <c r="C13" i="19" s="1"/>
  <c r="C6" i="19" l="1"/>
  <c r="C8" i="19"/>
  <c r="C10" i="19"/>
  <c r="C7" i="19"/>
  <c r="C9" i="19"/>
  <c r="C11" i="19"/>
  <c r="C12" i="19"/>
  <c r="E6" i="17"/>
  <c r="E5" i="17"/>
  <c r="E1" i="14"/>
  <c r="E2" i="14" s="1"/>
  <c r="F27" i="14"/>
  <c r="E8" i="9"/>
  <c r="F8" i="9" s="1"/>
  <c r="E9" i="9"/>
  <c r="F9" i="9" s="1"/>
  <c r="E10" i="9"/>
  <c r="F10" i="9" s="1"/>
  <c r="E11" i="9"/>
  <c r="F11" i="9" s="1"/>
  <c r="E7" i="9"/>
  <c r="F7" i="9" s="1"/>
  <c r="K8" i="9"/>
  <c r="L8" i="9"/>
  <c r="K9" i="9"/>
  <c r="L9" i="9"/>
  <c r="K10" i="9"/>
  <c r="L10" i="9"/>
  <c r="K11" i="9"/>
  <c r="L11" i="9"/>
  <c r="L7" i="9"/>
  <c r="K7" i="9"/>
  <c r="B17" i="19" l="1"/>
  <c r="B19" i="19" s="1"/>
  <c r="G8" i="9"/>
  <c r="G11" i="9"/>
  <c r="G10" i="9"/>
  <c r="G9" i="9"/>
  <c r="G7" i="9"/>
  <c r="D20" i="13"/>
  <c r="B3" i="13"/>
  <c r="F1" i="11"/>
  <c r="D7" i="10"/>
  <c r="D7" i="18"/>
  <c r="B7" i="18"/>
  <c r="C7" i="18" s="1"/>
  <c r="C5" i="18"/>
  <c r="K19" i="18"/>
  <c r="K20" i="18"/>
  <c r="K21" i="18"/>
  <c r="K22" i="18"/>
  <c r="K23" i="18"/>
  <c r="K24" i="18"/>
  <c r="K25" i="18"/>
  <c r="K26" i="18"/>
  <c r="K27" i="18"/>
  <c r="K28" i="18"/>
  <c r="K29" i="18"/>
  <c r="K18" i="18"/>
  <c r="K17" i="18"/>
  <c r="K16" i="18"/>
  <c r="K15" i="18"/>
  <c r="K30" i="18" s="1"/>
  <c r="E6" i="18" s="1"/>
  <c r="F6" i="18" s="1"/>
  <c r="D16" i="18"/>
  <c r="D17" i="18"/>
  <c r="D18" i="18"/>
  <c r="D19" i="18"/>
  <c r="D20" i="18"/>
  <c r="D21" i="18"/>
  <c r="D22" i="18"/>
  <c r="D23" i="18"/>
  <c r="D24" i="18"/>
  <c r="C15" i="18"/>
  <c r="D15" i="18" s="1"/>
  <c r="D25" i="18" s="1"/>
  <c r="E5" i="18" s="1"/>
  <c r="H58" i="17"/>
  <c r="I46" i="17" s="1"/>
  <c r="C53" i="17"/>
  <c r="D48" i="17" s="1"/>
  <c r="D51" i="17"/>
  <c r="D50" i="17"/>
  <c r="D49" i="17"/>
  <c r="D44" i="17"/>
  <c r="D43" i="17"/>
  <c r="D42" i="17"/>
  <c r="G22" i="17"/>
  <c r="D7" i="17"/>
  <c r="B7" i="17"/>
  <c r="C5" i="17" s="1"/>
  <c r="F6" i="17"/>
  <c r="F5" i="17"/>
  <c r="F12" i="16"/>
  <c r="G16" i="16" s="1"/>
  <c r="B3" i="16"/>
  <c r="G7" i="16"/>
  <c r="F7" i="16"/>
  <c r="C8" i="16" s="1"/>
  <c r="G8" i="16"/>
  <c r="B18" i="14"/>
  <c r="B34" i="14"/>
  <c r="B33" i="14"/>
  <c r="E23" i="14"/>
  <c r="F23" i="14" s="1"/>
  <c r="E22" i="14"/>
  <c r="F22" i="14" s="1"/>
  <c r="B17" i="14"/>
  <c r="E7" i="14"/>
  <c r="E6" i="14"/>
  <c r="F6" i="14" s="1"/>
  <c r="L14" i="13"/>
  <c r="K14" i="13"/>
  <c r="J14" i="13"/>
  <c r="L13" i="13"/>
  <c r="K13" i="13"/>
  <c r="J13" i="13"/>
  <c r="L12" i="13"/>
  <c r="K12" i="13"/>
  <c r="J12" i="13"/>
  <c r="L11" i="13"/>
  <c r="K11" i="13"/>
  <c r="J11" i="13"/>
  <c r="L10" i="13"/>
  <c r="K10" i="13"/>
  <c r="J10" i="13"/>
  <c r="L9" i="13"/>
  <c r="K9" i="13"/>
  <c r="J9" i="13"/>
  <c r="L8" i="13"/>
  <c r="K8" i="13"/>
  <c r="J8" i="13"/>
  <c r="L7" i="13"/>
  <c r="K7" i="13"/>
  <c r="J7" i="13"/>
  <c r="L6" i="13"/>
  <c r="K6" i="13"/>
  <c r="J6" i="13"/>
  <c r="L6" i="17"/>
  <c r="B9" i="15" l="1"/>
  <c r="D9" i="15" s="1"/>
  <c r="E16" i="16"/>
  <c r="C24" i="19"/>
  <c r="A24" i="19"/>
  <c r="I42" i="17"/>
  <c r="I43" i="17"/>
  <c r="I54" i="17"/>
  <c r="I55" i="17"/>
  <c r="I56" i="17"/>
  <c r="I47" i="17"/>
  <c r="I48" i="17"/>
  <c r="I49" i="17"/>
  <c r="I50" i="17"/>
  <c r="I51" i="17"/>
  <c r="I52" i="17"/>
  <c r="I53" i="17"/>
  <c r="I44" i="17"/>
  <c r="I45" i="17"/>
  <c r="F7" i="14"/>
  <c r="F10" i="14"/>
  <c r="F26" i="14"/>
  <c r="E7" i="18"/>
  <c r="F5" i="18"/>
  <c r="F7" i="18" s="1"/>
  <c r="C6" i="18"/>
  <c r="D45" i="17"/>
  <c r="D53" i="17" s="1"/>
  <c r="G5" i="17" s="1"/>
  <c r="C6" i="17"/>
  <c r="J5" i="17" s="1"/>
  <c r="C7" i="17"/>
  <c r="D46" i="17"/>
  <c r="D47" i="17"/>
  <c r="B13" i="15"/>
  <c r="D13" i="15" s="1"/>
  <c r="B12" i="15"/>
  <c r="D12" i="15" s="1"/>
  <c r="B11" i="15"/>
  <c r="D11" i="15" s="1"/>
  <c r="B10" i="15"/>
  <c r="D10" i="15" s="1"/>
  <c r="C7" i="16"/>
  <c r="C28" i="16"/>
  <c r="C27" i="16"/>
  <c r="C26" i="16"/>
  <c r="C29" i="16"/>
  <c r="C23" i="16"/>
  <c r="C22" i="16"/>
  <c r="C21" i="16"/>
  <c r="C20" i="16"/>
  <c r="C19" i="16"/>
  <c r="C18" i="16"/>
  <c r="C17" i="16"/>
  <c r="C16" i="16"/>
  <c r="C31" i="16"/>
  <c r="C15" i="16"/>
  <c r="C30" i="16"/>
  <c r="C14" i="16"/>
  <c r="C13" i="16"/>
  <c r="C12" i="16"/>
  <c r="C11" i="16"/>
  <c r="C10" i="16"/>
  <c r="C25" i="16"/>
  <c r="C9" i="16"/>
  <c r="C24" i="16"/>
  <c r="F25" i="14"/>
  <c r="F9" i="14"/>
  <c r="I16" i="13" l="1"/>
  <c r="D25" i="17"/>
  <c r="D31" i="17"/>
  <c r="D36" i="17"/>
  <c r="D22" i="17"/>
  <c r="D23" i="17"/>
  <c r="D26" i="17"/>
  <c r="D32" i="17"/>
  <c r="D17" i="17"/>
  <c r="D33" i="17"/>
  <c r="D18" i="17"/>
  <c r="D35" i="17"/>
  <c r="D20" i="17"/>
  <c r="D37" i="17"/>
  <c r="D38" i="17"/>
  <c r="D39" i="17"/>
  <c r="D15" i="17"/>
  <c r="D27" i="17"/>
  <c r="D28" i="17"/>
  <c r="D29" i="17"/>
  <c r="D30" i="17"/>
  <c r="D16" i="17"/>
  <c r="D34" i="17"/>
  <c r="D19" i="17"/>
  <c r="D21" i="17"/>
  <c r="D24" i="17"/>
  <c r="F7" i="17"/>
  <c r="I58" i="17"/>
  <c r="G6" i="17" s="1"/>
  <c r="G21" i="17" s="1"/>
  <c r="I5" i="18"/>
  <c r="F8" i="16"/>
  <c r="J7" i="17" l="1"/>
  <c r="J8" i="17"/>
  <c r="O2" i="12"/>
  <c r="O1" i="12"/>
  <c r="L13" i="12"/>
  <c r="N13" i="12" s="1"/>
  <c r="N22" i="12" s="1"/>
  <c r="L12" i="12"/>
  <c r="L8" i="12"/>
  <c r="M8" i="12" s="1"/>
  <c r="M19" i="12" s="1"/>
  <c r="L9" i="12"/>
  <c r="M9" i="12" s="1"/>
  <c r="M20" i="12" s="1"/>
  <c r="L7" i="12"/>
  <c r="M7" i="12" s="1"/>
  <c r="M18" i="12" s="1"/>
  <c r="O3" i="12"/>
  <c r="M3" i="12"/>
  <c r="M2" i="12"/>
  <c r="M1" i="12"/>
  <c r="B3" i="12"/>
  <c r="E8" i="11"/>
  <c r="B3" i="11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B3" i="10"/>
  <c r="E7" i="11" l="1"/>
  <c r="F7" i="11" s="1"/>
  <c r="G8" i="11"/>
  <c r="N12" i="12"/>
  <c r="N21" i="12" s="1"/>
  <c r="L22" i="12"/>
  <c r="L21" i="12"/>
  <c r="L20" i="12"/>
  <c r="L19" i="12"/>
  <c r="L18" i="12"/>
  <c r="M13" i="12"/>
  <c r="M22" i="12" s="1"/>
  <c r="M12" i="12"/>
  <c r="M21" i="12" s="1"/>
  <c r="N9" i="12"/>
  <c r="N20" i="12" s="1"/>
  <c r="N8" i="12"/>
  <c r="N19" i="12" s="1"/>
  <c r="N7" i="12"/>
  <c r="E7" i="10" a="1"/>
  <c r="E7" i="10" s="1"/>
  <c r="G7" i="11" l="1"/>
  <c r="Q12" i="12"/>
  <c r="Q13" i="12"/>
  <c r="Q8" i="12"/>
  <c r="N18" i="12"/>
  <c r="Q7" i="12"/>
  <c r="E9" i="11"/>
  <c r="G9" i="11" s="1"/>
  <c r="F8" i="11"/>
  <c r="F7" i="10"/>
  <c r="G7" i="10" s="1"/>
  <c r="F8" i="10"/>
  <c r="G8" i="10" s="1"/>
  <c r="F9" i="10"/>
  <c r="G9" i="10" s="1"/>
  <c r="F10" i="10"/>
  <c r="G10" i="10" s="1"/>
  <c r="F11" i="10"/>
  <c r="G11" i="10" s="1"/>
  <c r="M24" i="12" l="1"/>
  <c r="M25" i="12"/>
  <c r="E10" i="11"/>
  <c r="G10" i="11" s="1"/>
  <c r="F9" i="11"/>
  <c r="B3" i="9"/>
  <c r="E11" i="11" l="1"/>
  <c r="F10" i="11"/>
  <c r="F11" i="11" l="1"/>
  <c r="G11" i="1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<sst xmlns="http://schemas.openxmlformats.org/spreadsheetml/2006/main" count="391" uniqueCount="200">
  <si>
    <t>N</t>
  </si>
  <si>
    <t>N   =</t>
  </si>
  <si>
    <t>n =</t>
  </si>
  <si>
    <t>f =</t>
  </si>
  <si>
    <t>Anna</t>
  </si>
  <si>
    <t>Giulio</t>
  </si>
  <si>
    <t>Veronica</t>
  </si>
  <si>
    <t>Sergio</t>
  </si>
  <si>
    <t>Vittoria</t>
  </si>
  <si>
    <t>Sara</t>
  </si>
  <si>
    <t>Lorenzo</t>
  </si>
  <si>
    <t>Giovanni</t>
  </si>
  <si>
    <t>Carlotta</t>
  </si>
  <si>
    <t>Sofia</t>
  </si>
  <si>
    <t>Altezza m.</t>
  </si>
  <si>
    <t>random</t>
  </si>
  <si>
    <t>Giuseppe</t>
  </si>
  <si>
    <t>Pino</t>
  </si>
  <si>
    <t>Maria</t>
  </si>
  <si>
    <t>Mario</t>
  </si>
  <si>
    <t>Giada</t>
  </si>
  <si>
    <t>Antonella</t>
  </si>
  <si>
    <t>Giorgio</t>
  </si>
  <si>
    <t>Paolo</t>
  </si>
  <si>
    <t>Teresa</t>
  </si>
  <si>
    <t>Rosa</t>
  </si>
  <si>
    <t>Funzioni importanti</t>
  </si>
  <si>
    <t>genera un numero casuale intero in un intervallo</t>
  </si>
  <si>
    <t>=CASUALE()</t>
  </si>
  <si>
    <t>=CASUALE.TRA(1;20)</t>
  </si>
  <si>
    <t>Altezza</t>
  </si>
  <si>
    <t>Random</t>
  </si>
  <si>
    <t>Campione</t>
  </si>
  <si>
    <t>Altezza Campione</t>
  </si>
  <si>
    <t>Nome</t>
  </si>
  <si>
    <t>Random2</t>
  </si>
  <si>
    <t>Random1</t>
  </si>
  <si>
    <t>Calcolato</t>
  </si>
  <si>
    <t>Con Analisi dati\Campionamento</t>
  </si>
  <si>
    <t>=CERCA.X(E7;A7:A26;B7:B26;0;VERO)</t>
  </si>
  <si>
    <t>cerca il valore in E7, nel vettore A7:A26 e restituisce il valore corrispondenti per riga nel vettore B7:B26</t>
  </si>
  <si>
    <t xml:space="preserve">Campione ordinato per numero random decimale </t>
  </si>
  <si>
    <t>Seleziono per esempio i primi 5, …....</t>
  </si>
  <si>
    <t>Le formule per creare campioni senza ripetizione</t>
  </si>
  <si>
    <t>=DATI.ORDINA.PER(B6:B25;D6:D25)</t>
  </si>
  <si>
    <t>Ordina i dati del vettore B6:B25 secondo i valori del vettore D6:D25</t>
  </si>
  <si>
    <t>=CERCA.X(F7;$B$7:$B$26;$C$7:$C$26)</t>
  </si>
  <si>
    <t>Genera un numero casuale decimale</t>
  </si>
  <si>
    <t>Cerca il valore in F7, nel vettore B7:B26 e restituisce il valore corrispondenti per riga nel vettore C7:C26</t>
  </si>
  <si>
    <t>k =</t>
  </si>
  <si>
    <t>J =</t>
  </si>
  <si>
    <t>Altezza campione in m.</t>
  </si>
  <si>
    <t>=INT(B1/B2)</t>
  </si>
  <si>
    <t>restituisce il numero interno più piccolo</t>
  </si>
  <si>
    <t>H =</t>
  </si>
  <si>
    <t>due strati, donne e uomini</t>
  </si>
  <si>
    <t>Donne (h1)</t>
  </si>
  <si>
    <t>Uomini (h2)</t>
  </si>
  <si>
    <t>N1</t>
  </si>
  <si>
    <t>N1 =</t>
  </si>
  <si>
    <t>N2</t>
  </si>
  <si>
    <t>N2 =</t>
  </si>
  <si>
    <t>f1 = f</t>
  </si>
  <si>
    <t>f2 = f</t>
  </si>
  <si>
    <t>W1 = N1/N =</t>
  </si>
  <si>
    <t>W2 = N2/N =</t>
  </si>
  <si>
    <t>W1+W2 =</t>
  </si>
  <si>
    <t>donne</t>
  </si>
  <si>
    <t>uomini</t>
  </si>
  <si>
    <t>strat. Proporzionale</t>
  </si>
  <si>
    <t>n1 = f*N1</t>
  </si>
  <si>
    <t>n2 = f*N2</t>
  </si>
  <si>
    <t>n1+n2 = n</t>
  </si>
  <si>
    <t>Campione h1</t>
  </si>
  <si>
    <t>Campione h2</t>
  </si>
  <si>
    <t xml:space="preserve">Campione </t>
  </si>
  <si>
    <t>ES(y)</t>
  </si>
  <si>
    <t>E(y) =</t>
  </si>
  <si>
    <r>
      <t>E(y</t>
    </r>
    <r>
      <rPr>
        <i/>
        <vertAlign val="subscript"/>
        <sz val="11"/>
        <color theme="1"/>
        <rFont val="Calibri"/>
        <family val="2"/>
        <scheme val="minor"/>
      </rPr>
      <t>1</t>
    </r>
    <r>
      <rPr>
        <i/>
        <sz val="11"/>
        <color theme="1"/>
        <rFont val="Calibri"/>
        <family val="2"/>
        <scheme val="minor"/>
      </rPr>
      <t>)</t>
    </r>
  </si>
  <si>
    <r>
      <t>E(y</t>
    </r>
    <r>
      <rPr>
        <i/>
        <vertAlign val="sub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>)</t>
    </r>
  </si>
  <si>
    <t>Statistiche</t>
  </si>
  <si>
    <r>
      <t>S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vertAlign val="subscript"/>
        <sz val="11"/>
        <color theme="1"/>
        <rFont val="Calibri"/>
        <family val="2"/>
        <scheme val="minor"/>
      </rPr>
      <t>y1</t>
    </r>
  </si>
  <si>
    <r>
      <t>S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vertAlign val="subscript"/>
        <sz val="11"/>
        <color theme="1"/>
        <rFont val="Calibri"/>
        <family val="2"/>
        <scheme val="minor"/>
      </rPr>
      <t>y2</t>
    </r>
  </si>
  <si>
    <t>y1</t>
  </si>
  <si>
    <t>y2</t>
  </si>
  <si>
    <t>E(y)</t>
  </si>
  <si>
    <t>var.p(y)</t>
  </si>
  <si>
    <t>var.c(y)</t>
  </si>
  <si>
    <t>(y1+y2)/2</t>
  </si>
  <si>
    <t>var.p(y) =</t>
  </si>
  <si>
    <t>var.c(y) =</t>
  </si>
  <si>
    <t>E(T)</t>
  </si>
  <si>
    <t>I dati del problema</t>
  </si>
  <si>
    <t>Tabella della frequenze assoluta e relativa</t>
  </si>
  <si>
    <t>Clienti</t>
  </si>
  <si>
    <t>Figli (Sì=1, No=0)</t>
  </si>
  <si>
    <t>z</t>
  </si>
  <si>
    <t>F(z)</t>
  </si>
  <si>
    <t>f(z)</t>
  </si>
  <si>
    <t>Y</t>
  </si>
  <si>
    <t>Giacomo</t>
  </si>
  <si>
    <t>Federica</t>
  </si>
  <si>
    <t>Francesca</t>
  </si>
  <si>
    <t>Roberto</t>
  </si>
  <si>
    <t>Donne (Sì=1, No=0)</t>
  </si>
  <si>
    <t>Numerosità campionaria</t>
  </si>
  <si>
    <t>Errore giorni di giacenza</t>
  </si>
  <si>
    <t>ES(y) =</t>
  </si>
  <si>
    <t>ES (T) =</t>
  </si>
  <si>
    <t>N=</t>
  </si>
  <si>
    <t>n=</t>
  </si>
  <si>
    <t>var.corr(y) =</t>
  </si>
  <si>
    <t>Etichette</t>
  </si>
  <si>
    <t>Y = ore di attesa primo intervento idraulico</t>
  </si>
  <si>
    <t>(Y-E(Y))^2</t>
  </si>
  <si>
    <t>Calcolo</t>
  </si>
  <si>
    <t>Formula Excel</t>
  </si>
  <si>
    <t xml:space="preserve">N = </t>
  </si>
  <si>
    <t>-</t>
  </si>
  <si>
    <t>t student 24 alfa =0,05</t>
  </si>
  <si>
    <t>alfa =</t>
  </si>
  <si>
    <t>Intervallo di confidenza al 95%</t>
  </si>
  <si>
    <t>&lt;= E(Y) &lt;=</t>
  </si>
  <si>
    <t>E(Y*) =</t>
  </si>
  <si>
    <t>var.corr(Y*) =</t>
  </si>
  <si>
    <t>ES(Y*) =</t>
  </si>
  <si>
    <t>Devo applicare una t di Student perché il campione è piccolo (n&lt;30) e la</t>
  </si>
  <si>
    <t>varianza della popolazione non è nota. Altrimenti avrei potuto usare una normale</t>
  </si>
  <si>
    <t>standard</t>
  </si>
  <si>
    <t>dev.st.corr =</t>
  </si>
  <si>
    <t>z alfa/2 = +/-</t>
  </si>
  <si>
    <t>Strato: fascia oraria</t>
  </si>
  <si>
    <t>Nh</t>
  </si>
  <si>
    <t>Wh</t>
  </si>
  <si>
    <t>nh</t>
  </si>
  <si>
    <t>Ymedio</t>
  </si>
  <si>
    <t>Totale</t>
  </si>
  <si>
    <t>Osservazione</t>
  </si>
  <si>
    <t>Strato</t>
  </si>
  <si>
    <t>(Y-E(y))^2</t>
  </si>
  <si>
    <t>Etichette di riga</t>
  </si>
  <si>
    <t>Conteggio di Y</t>
  </si>
  <si>
    <t>Somma di Y</t>
  </si>
  <si>
    <t>Totale complessivo</t>
  </si>
  <si>
    <t>H0</t>
  </si>
  <si>
    <t>Non rifiuto ipotesi H0</t>
  </si>
  <si>
    <t>media</t>
  </si>
  <si>
    <t>Ymedio min</t>
  </si>
  <si>
    <t>Ymedio max</t>
  </si>
  <si>
    <t>V.dicotomica</t>
  </si>
  <si>
    <t>somma</t>
  </si>
  <si>
    <t>rh</t>
  </si>
  <si>
    <t>ph</t>
  </si>
  <si>
    <t>ES</t>
  </si>
  <si>
    <t>μ</t>
  </si>
  <si>
    <t>((y1-E(y))^2+(y2-E(y))^2)/2</t>
  </si>
  <si>
    <t>((y1-E(y))^2+(y2-E(y))^2)/1</t>
  </si>
  <si>
    <t>σ^2</t>
  </si>
  <si>
    <t>σ</t>
  </si>
  <si>
    <t>n  =</t>
  </si>
  <si>
    <t>N  =</t>
  </si>
  <si>
    <t>1 - f =</t>
  </si>
  <si>
    <t>N =</t>
  </si>
  <si>
    <t xml:space="preserve">n = </t>
  </si>
  <si>
    <t>(y-E(y))^2</t>
  </si>
  <si>
    <t>Sulla base del campione indicato, calcola:</t>
  </si>
  <si>
    <t>1. Media campionaria</t>
  </si>
  <si>
    <t>2. Varianza campionaria corretta</t>
  </si>
  <si>
    <t>3. Errore standard</t>
  </si>
  <si>
    <t>kg</t>
  </si>
  <si>
    <t>S2(y)</t>
  </si>
  <si>
    <t>kg^2</t>
  </si>
  <si>
    <t>4. Intervallo di confidenza al 95%</t>
  </si>
  <si>
    <t>alfa</t>
  </si>
  <si>
    <t>tcrit (dx)</t>
  </si>
  <si>
    <r>
      <t>y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(kg)</t>
    </r>
  </si>
  <si>
    <r>
      <t xml:space="preserve">&lt;= </t>
    </r>
    <r>
      <rPr>
        <sz val="11"/>
        <color theme="1"/>
        <rFont val="Aptos Narrow"/>
        <family val="2"/>
      </rPr>
      <t>μ</t>
    </r>
    <r>
      <rPr>
        <sz val="11"/>
        <color theme="1"/>
        <rFont val="Calibri"/>
        <family val="2"/>
        <scheme val="minor"/>
      </rPr>
      <t xml:space="preserve"> &lt;=</t>
    </r>
  </si>
  <si>
    <t>t-crit</t>
  </si>
  <si>
    <t>Intervallo di confidenza</t>
  </si>
  <si>
    <t>Riparazioni</t>
  </si>
  <si>
    <t>20-8</t>
  </si>
  <si>
    <t>8-20</t>
  </si>
  <si>
    <t>Nh (interventi totali)</t>
  </si>
  <si>
    <t>Wh (peso  strati sul totale)</t>
  </si>
  <si>
    <t>nh (numerosità campione)</t>
  </si>
  <si>
    <t>yh (ore totali)</t>
  </si>
  <si>
    <t>y medio h (ore medie di intervento)</t>
  </si>
  <si>
    <t>var corr h (ore intervento)</t>
  </si>
  <si>
    <t xml:space="preserve">media campionaria </t>
  </si>
  <si>
    <t>Errore giorni di giacenza (% della media)</t>
  </si>
  <si>
    <t>Errore giorni di giacenza (input)</t>
  </si>
  <si>
    <t>Numerosità campionaria (input)</t>
  </si>
  <si>
    <t xml:space="preserve">alfa </t>
  </si>
  <si>
    <t>costo (€) a unità campionaria</t>
  </si>
  <si>
    <t>Costo indagine campionaria (€)</t>
  </si>
  <si>
    <t>p</t>
  </si>
  <si>
    <t>p(1-p) *  n/n-1</t>
  </si>
  <si>
    <t>campione</t>
  </si>
  <si>
    <t>stima</t>
  </si>
  <si>
    <t>Conteggio di stima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</si>
</sst>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%"/>
    <numFmt numFmtId="167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ptos Narrow"/>
      <family val="2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03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0" xfId="0" quotePrefix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/>
    <xf numFmtId="1" fontId="1" fillId="0" borderId="4" xfId="0" applyNumberFormat="1" applyFont="1" applyBorder="1"/>
    <xf numFmtId="0" fontId="1" fillId="0" borderId="5" xfId="0" applyFont="1" applyBorder="1"/>
    <xf numFmtId="1" fontId="1" fillId="0" borderId="6" xfId="0" applyNumberFormat="1" applyFont="1" applyBorder="1"/>
    <xf numFmtId="0" fontId="1" fillId="0" borderId="7" xfId="0" applyFont="1" applyBorder="1"/>
    <xf numFmtId="164" fontId="1" fillId="0" borderId="8" xfId="0" applyNumberFormat="1" applyFont="1" applyBorder="1"/>
    <xf numFmtId="164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quotePrefix="1" applyFont="1"/>
    <xf numFmtId="0" fontId="2" fillId="0" borderId="0" xfId="0" applyFont="1"/>
    <xf numFmtId="0" fontId="1" fillId="0" borderId="4" xfId="0" applyFont="1" applyBorder="1"/>
    <xf numFmtId="0" fontId="1" fillId="0" borderId="8" xfId="0" applyFont="1" applyBorder="1"/>
    <xf numFmtId="0" fontId="1" fillId="0" borderId="0" xfId="0" applyFont="1" applyAlignment="1">
      <alignment horizontal="center" vertical="center"/>
    </xf>
    <xf numFmtId="0" fontId="1" fillId="0" borderId="3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" xfId="0" applyFont="1" applyBorder="1"/>
    <xf numFmtId="2" fontId="1" fillId="0" borderId="1" xfId="0" applyNumberFormat="1" applyFont="1" applyBorder="1"/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2" fontId="0" fillId="0" borderId="13" xfId="0" applyNumberFormat="1" applyBorder="1"/>
    <xf numFmtId="2" fontId="2" fillId="0" borderId="6" xfId="0" applyNumberFormat="1" applyFont="1" applyBorder="1"/>
    <xf numFmtId="165" fontId="2" fillId="0" borderId="6" xfId="0" applyNumberFormat="1" applyFont="1" applyBorder="1"/>
    <xf numFmtId="0" fontId="2" fillId="0" borderId="1" xfId="0" applyFont="1" applyBorder="1"/>
    <xf numFmtId="165" fontId="2" fillId="0" borderId="8" xfId="0" applyNumberFormat="1" applyFont="1" applyBorder="1"/>
    <xf numFmtId="0" fontId="1" fillId="0" borderId="12" xfId="0" applyFont="1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2" fontId="0" fillId="0" borderId="15" xfId="0" applyNumberFormat="1" applyBorder="1"/>
    <xf numFmtId="2" fontId="0" fillId="0" borderId="5" xfId="0" applyNumberFormat="1" applyBorder="1"/>
    <xf numFmtId="0" fontId="0" fillId="0" borderId="10" xfId="0" applyBorder="1"/>
    <xf numFmtId="2" fontId="0" fillId="0" borderId="1" xfId="0" applyNumberFormat="1" applyBorder="1"/>
    <xf numFmtId="2" fontId="0" fillId="0" borderId="10" xfId="0" applyNumberFormat="1" applyBorder="1"/>
    <xf numFmtId="2" fontId="0" fillId="0" borderId="7" xfId="0" applyNumberFormat="1" applyBorder="1"/>
    <xf numFmtId="3" fontId="0" fillId="0" borderId="0" xfId="0" applyNumberFormat="1"/>
    <xf numFmtId="0" fontId="1" fillId="0" borderId="14" xfId="0" applyFont="1" applyBorder="1"/>
    <xf numFmtId="0" fontId="1" fillId="0" borderId="13" xfId="0" applyFont="1" applyBorder="1"/>
    <xf numFmtId="0" fontId="6" fillId="0" borderId="0" xfId="0" applyFont="1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2" fontId="0" fillId="0" borderId="6" xfId="0" applyNumberFormat="1" applyBorder="1"/>
    <xf numFmtId="1" fontId="0" fillId="0" borderId="7" xfId="0" applyNumberFormat="1" applyBorder="1"/>
    <xf numFmtId="2" fontId="0" fillId="0" borderId="8" xfId="0" applyNumberFormat="1" applyBorder="1"/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right"/>
    </xf>
    <xf numFmtId="2" fontId="1" fillId="0" borderId="6" xfId="0" applyNumberFormat="1" applyFont="1" applyBorder="1"/>
    <xf numFmtId="2" fontId="1" fillId="0" borderId="8" xfId="0" applyNumberFormat="1" applyFont="1" applyBorder="1"/>
    <xf numFmtId="164" fontId="0" fillId="0" borderId="7" xfId="0" applyNumberFormat="1" applyBorder="1"/>
    <xf numFmtId="164" fontId="0" fillId="0" borderId="8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pivotButton="1"/>
    <xf numFmtId="166" fontId="0" fillId="0" borderId="0" xfId="1" applyNumberFormat="1" applyFont="1" applyBorder="1"/>
    <xf numFmtId="166" fontId="0" fillId="0" borderId="1" xfId="1" applyNumberFormat="1" applyFont="1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2" fillId="0" borderId="0" xfId="0" applyFont="1" applyAlignment="1">
      <alignment horizontal="right"/>
    </xf>
    <xf numFmtId="0" fontId="1" fillId="0" borderId="14" xfId="0" applyFont="1" applyBorder="1" applyAlignment="1">
      <alignment horizontal="center"/>
    </xf>
    <xf numFmtId="0" fontId="6" fillId="0" borderId="5" xfId="0" applyFont="1" applyBorder="1"/>
    <xf numFmtId="0" fontId="6" fillId="0" borderId="7" xfId="0" applyFont="1" applyBorder="1"/>
    <xf numFmtId="0" fontId="9" fillId="0" borderId="0" xfId="0" applyFont="1"/>
    <xf numFmtId="2" fontId="9" fillId="0" borderId="0" xfId="0" applyNumberFormat="1" applyFont="1"/>
    <xf numFmtId="0" fontId="10" fillId="0" borderId="2" xfId="0" applyFont="1" applyBorder="1"/>
    <xf numFmtId="0" fontId="9" fillId="0" borderId="9" xfId="0" applyFont="1" applyBorder="1"/>
    <xf numFmtId="1" fontId="0" fillId="0" borderId="8" xfId="0" applyNumberFormat="1" applyBorder="1"/>
    <xf numFmtId="0" fontId="1" fillId="0" borderId="0" xfId="0" quotePrefix="1" applyFont="1"/>
    <xf numFmtId="16" fontId="0" fillId="0" borderId="15" xfId="0" quotePrefix="1" applyNumberFormat="1" applyBorder="1" applyAlignment="1">
      <alignment horizontal="center"/>
    </xf>
    <xf numFmtId="0" fontId="0" fillId="0" borderId="15" xfId="0" quotePrefix="1" applyBorder="1" applyAlignment="1">
      <alignment horizontal="center"/>
    </xf>
    <xf numFmtId="164" fontId="0" fillId="0" borderId="5" xfId="0" applyNumberFormat="1" applyBorder="1"/>
    <xf numFmtId="0" fontId="0" fillId="2" borderId="13" xfId="0" applyFill="1" applyBorder="1" applyAlignment="1">
      <alignment wrapText="1"/>
    </xf>
    <xf numFmtId="2" fontId="0" fillId="2" borderId="6" xfId="0" applyNumberFormat="1" applyFill="1" applyBorder="1"/>
    <xf numFmtId="2" fontId="0" fillId="2" borderId="8" xfId="0" applyNumberFormat="1" applyFill="1" applyBorder="1"/>
    <xf numFmtId="166" fontId="0" fillId="0" borderId="0" xfId="1" applyNumberFormat="1" applyFont="1"/>
    <xf numFmtId="3" fontId="0" fillId="0" borderId="6" xfId="1" applyNumberFormat="1" applyFont="1" applyBorder="1"/>
    <xf numFmtId="0" fontId="0" fillId="0" borderId="12" xfId="0" applyBorder="1" applyAlignment="1">
      <alignment wrapText="1"/>
    </xf>
    <xf numFmtId="3" fontId="0" fillId="0" borderId="8" xfId="1" applyNumberFormat="1" applyFont="1" applyBorder="1"/>
    <xf numFmtId="167" fontId="0" fillId="0" borderId="0" xfId="1" applyNumberFormat="1" applyFont="1"/>
    <xf numFmtId="167" fontId="0" fillId="0" borderId="0" xfId="0" applyNumberFormat="1"/>
    <xf numFmtId="165" fontId="9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[Capitolo 2_solo_lettura.xlsx]Stima dei parametri!Tabella pivot1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3115048118985126"/>
          <c:y val="0.37800488480606592"/>
          <c:w val="0.7677753718285214"/>
          <c:h val="0.537743875765529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'Stima dei parametri'!$F$24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'Stima dei parametri'!$E$25:$E$30</c:f>
              <c:strCache>
                <c:ptCount val="5"/>
                <c:pt idx="0">
                  <c:v>1</c:v>
                </c:pt>
                <c:pt idx="1">
                  <c:v>1,5</c:v>
                </c:pt>
                <c:pt idx="2">
                  <c:v>2</c:v>
                </c:pt>
                <c:pt idx="3">
                  <c:v>2,5</c:v>
                </c:pt>
                <c:pt idx="4">
                  <c:v>3</c:v>
                </c:pt>
              </c:strCache>
            </c:strRef>
          </c:cat>
          <c:val>
            <c:numRef>
              <c:f>'Stima dei parametri'!$F$25:$F$30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8-4E45-B5C2-5678EAD55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6363008"/>
        <c:axId val="2076357728"/>
      </c:barChart>
      <c:catAx>
        <c:axId val="207636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6357728"/>
        <c:crosses val="autoZero"/>
        <c:auto val="1"/>
        <c:lblAlgn val="ctr"/>
        <c:lblOffset val="100"/>
        <c:noMultiLvlLbl val="0"/>
      </c:catAx>
      <c:valAx>
        <c:axId val="207635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6363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chart" Target="../charts/chart1.xml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9.png"/><Relationship Id="rId1" Type="http://schemas.openxmlformats.org/officeDocument/2006/relationships/image" Target="../media/image10.png"/><Relationship Id="rId4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6350</xdr:colOff>
      <xdr:row>22</xdr:row>
      <xdr:rowOff>82550</xdr:rowOff>
    </xdr:from>
    <xdr:to>
      <xdr:col>17</xdr:col>
      <xdr:colOff>412750</xdr:colOff>
      <xdr:row>25</xdr:row>
      <xdr:rowOff>90366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CA8059-0DB0-667E-9B49-BCB389DB1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2350" y="4540250"/>
          <a:ext cx="2946400" cy="560266"/>
        </a:xfrm>
        <a:prstGeom prst="rect">
          <a:avLst/>
        </a:prstGeom>
      </xdr:spPr>
    </xdr:pic>
    <xdr:clientData/>
  </xdr:twoCellAnchor>
  <xdr:twoCellAnchor editAs="oneCell">
    <xdr:from>
      <xdr:col>4</xdr:col>
      <xdr:colOff>241300</xdr:colOff>
      <xdr:row>22</xdr:row>
      <xdr:rowOff>72900</xdr:rowOff>
    </xdr:from>
    <xdr:to>
      <xdr:col>11</xdr:col>
      <xdr:colOff>32635</xdr:colOff>
      <xdr:row>25</xdr:row>
      <xdr:rowOff>104887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77F5285-FF31-AB2B-AE89-B7F8AFAC8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79700" y="4530600"/>
          <a:ext cx="4579235" cy="5844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361950</xdr:colOff>
      <xdr:row>22</xdr:row>
      <xdr:rowOff>0</xdr:rowOff>
    </xdr:from>
    <xdr:to>
      <xdr:col>19</xdr:col>
      <xdr:colOff>422835</xdr:colOff>
      <xdr:row>26</xdr:row>
      <xdr:rowOff>142158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EF76075C-E7FD-8027-53FD-D50C2486B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7400" y="4413251"/>
          <a:ext cx="3108885" cy="878758"/>
        </a:xfrm>
        <a:prstGeom prst="rect">
          <a:avLst/>
        </a:prstGeom>
      </xdr:spPr>
    </xdr:pic>
    <xdr:clientData/>
  </xdr:twoCellAnchor>
  <xdr:twoCellAnchor editAs="oneCell">
    <xdr:from>
      <xdr:col>12</xdr:col>
      <xdr:colOff>44450</xdr:colOff>
      <xdr:row>9</xdr:row>
      <xdr:rowOff>177800</xdr:rowOff>
    </xdr:from>
    <xdr:to>
      <xdr:col>12</xdr:col>
      <xdr:colOff>4350351</xdr:colOff>
      <xdr:row>15</xdr:row>
      <xdr:rowOff>28693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06024D2-705B-CD3B-E525-E5D1FAB2F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97750" y="1847850"/>
          <a:ext cx="4305901" cy="847843"/>
        </a:xfrm>
        <a:prstGeom prst="rect">
          <a:avLst/>
        </a:prstGeom>
      </xdr:spPr>
    </xdr:pic>
    <xdr:clientData/>
  </xdr:twoCellAnchor>
  <xdr:twoCellAnchor editAs="oneCell">
    <xdr:from>
      <xdr:col>12</xdr:col>
      <xdr:colOff>158751</xdr:colOff>
      <xdr:row>3</xdr:row>
      <xdr:rowOff>165100</xdr:rowOff>
    </xdr:from>
    <xdr:to>
      <xdr:col>12</xdr:col>
      <xdr:colOff>3492501</xdr:colOff>
      <xdr:row>8</xdr:row>
      <xdr:rowOff>154705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180E823A-3A52-681D-7C60-5DDAC0D86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76951" y="717550"/>
          <a:ext cx="3333750" cy="923055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15</xdr:row>
      <xdr:rowOff>25400</xdr:rowOff>
    </xdr:from>
    <xdr:to>
      <xdr:col>12</xdr:col>
      <xdr:colOff>4296343</xdr:colOff>
      <xdr:row>20</xdr:row>
      <xdr:rowOff>162075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D5B6039-F0BF-96E7-0EFD-45EF89869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81900" y="2692400"/>
          <a:ext cx="4067743" cy="1076475"/>
        </a:xfrm>
        <a:prstGeom prst="rect">
          <a:avLst/>
        </a:prstGeom>
      </xdr:spPr>
    </xdr:pic>
    <xdr:clientData/>
  </xdr:twoCellAnchor>
  <xdr:twoCellAnchor>
    <xdr:from>
      <xdr:col>8</xdr:col>
      <xdr:colOff>69850</xdr:colOff>
      <xdr:row>21</xdr:row>
      <xdr:rowOff>15874</xdr:rowOff>
    </xdr:from>
    <xdr:to>
      <xdr:col>12</xdr:col>
      <xdr:colOff>3594100</xdr:colOff>
      <xdr:row>36</xdr:row>
      <xdr:rowOff>69849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55EC523-F537-A26E-D813-E6C59ACECB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721186</xdr:colOff>
      <xdr:row>1</xdr:row>
      <xdr:rowOff>114300</xdr:rowOff>
    </xdr:from>
    <xdr:to>
      <xdr:col>13</xdr:col>
      <xdr:colOff>562444</xdr:colOff>
      <xdr:row>5</xdr:row>
      <xdr:rowOff>86797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F582FF4-842F-8C34-5D10-D95E06D83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1636" y="298450"/>
          <a:ext cx="3397258" cy="721797"/>
        </a:xfrm>
        <a:prstGeom prst="rect">
          <a:avLst/>
        </a:prstGeom>
      </xdr:spPr>
    </xdr:pic>
    <xdr:clientData/>
  </xdr:twoCellAnchor>
  <xdr:twoCellAnchor editAs="oneCell">
    <xdr:from>
      <xdr:col>8</xdr:col>
      <xdr:colOff>660400</xdr:colOff>
      <xdr:row>11</xdr:row>
      <xdr:rowOff>57150</xdr:rowOff>
    </xdr:from>
    <xdr:to>
      <xdr:col>13</xdr:col>
      <xdr:colOff>914932</xdr:colOff>
      <xdr:row>16</xdr:row>
      <xdr:rowOff>76333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303B96C-E916-00C8-9929-16DC62E3F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00850" y="2101850"/>
          <a:ext cx="3810532" cy="952633"/>
        </a:xfrm>
        <a:prstGeom prst="rect">
          <a:avLst/>
        </a:prstGeom>
      </xdr:spPr>
    </xdr:pic>
    <xdr:clientData/>
  </xdr:twoCellAnchor>
  <xdr:twoCellAnchor editAs="oneCell">
    <xdr:from>
      <xdr:col>9</xdr:col>
      <xdr:colOff>342900</xdr:colOff>
      <xdr:row>6</xdr:row>
      <xdr:rowOff>127000</xdr:rowOff>
    </xdr:from>
    <xdr:to>
      <xdr:col>12</xdr:col>
      <xdr:colOff>476524</xdr:colOff>
      <xdr:row>10</xdr:row>
      <xdr:rowOff>41367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AFF5953-0EDB-7518-8754-7E6639C7F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00950" y="1244600"/>
          <a:ext cx="1962424" cy="657317"/>
        </a:xfrm>
        <a:prstGeom prst="rect">
          <a:avLst/>
        </a:prstGeom>
      </xdr:spPr>
    </xdr:pic>
    <xdr:clientData/>
  </xdr:twoCellAnchor>
  <xdr:twoCellAnchor editAs="oneCell">
    <xdr:from>
      <xdr:col>8</xdr:col>
      <xdr:colOff>863600</xdr:colOff>
      <xdr:row>21</xdr:row>
      <xdr:rowOff>146050</xdr:rowOff>
    </xdr:from>
    <xdr:to>
      <xdr:col>13</xdr:col>
      <xdr:colOff>346499</xdr:colOff>
      <xdr:row>24</xdr:row>
      <xdr:rowOff>101672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5AB1B39C-8333-4B44-B4E6-1E097E54D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04050" y="4057650"/>
          <a:ext cx="3038899" cy="5144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11</xdr:row>
      <xdr:rowOff>0</xdr:rowOff>
    </xdr:from>
    <xdr:to>
      <xdr:col>17</xdr:col>
      <xdr:colOff>10122</xdr:colOff>
      <xdr:row>15</xdr:row>
      <xdr:rowOff>44559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56098B89-8119-462E-8103-28804E3C8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00" y="1866900"/>
          <a:ext cx="4277322" cy="78115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16</xdr:col>
      <xdr:colOff>352985</xdr:colOff>
      <xdr:row>22</xdr:row>
      <xdr:rowOff>22383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4A00992-553B-4400-9991-BC3B01B05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000" y="2787650"/>
          <a:ext cx="4010585" cy="1133633"/>
        </a:xfrm>
        <a:prstGeom prst="rect">
          <a:avLst/>
        </a:prstGeom>
      </xdr:spPr>
    </xdr:pic>
    <xdr:clientData/>
  </xdr:twoCellAnchor>
  <xdr:twoCellAnchor editAs="oneCell">
    <xdr:from>
      <xdr:col>10</xdr:col>
      <xdr:colOff>349250</xdr:colOff>
      <xdr:row>22</xdr:row>
      <xdr:rowOff>158750</xdr:rowOff>
    </xdr:from>
    <xdr:to>
      <xdr:col>15</xdr:col>
      <xdr:colOff>311570</xdr:colOff>
      <xdr:row>26</xdr:row>
      <xdr:rowOff>63590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9CDC114D-5A83-98CD-DC37-7ED4DA67F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99250" y="4241800"/>
          <a:ext cx="3010320" cy="6477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203200</xdr:colOff>
      <xdr:row>4</xdr:row>
      <xdr:rowOff>114300</xdr:rowOff>
    </xdr:from>
    <xdr:to>
      <xdr:col>16</xdr:col>
      <xdr:colOff>89395</xdr:colOff>
      <xdr:row>9</xdr:row>
      <xdr:rowOff>149362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B43DC82F-CB27-A2C7-05A2-15AC5C8E4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53200" y="850900"/>
          <a:ext cx="3543795" cy="9812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184150</xdr:colOff>
      <xdr:row>25</xdr:row>
      <xdr:rowOff>38100</xdr:rowOff>
    </xdr:from>
    <xdr:to>
      <xdr:col>14</xdr:col>
      <xdr:colOff>264303</xdr:colOff>
      <xdr:row>28</xdr:row>
      <xdr:rowOff>120163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B6032C2-E4DE-5C19-6884-EC80A36D6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7450" y="4660900"/>
          <a:ext cx="3344053" cy="634513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22</xdr:row>
      <xdr:rowOff>12700</xdr:rowOff>
    </xdr:from>
    <xdr:to>
      <xdr:col>14</xdr:col>
      <xdr:colOff>369225</xdr:colOff>
      <xdr:row>24</xdr:row>
      <xdr:rowOff>67533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38D3681-003F-71EB-F7EC-CA8A1412A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5900" y="4451350"/>
          <a:ext cx="4268125" cy="4231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165100</xdr:colOff>
      <xdr:row>6</xdr:row>
      <xdr:rowOff>103708</xdr:rowOff>
    </xdr:from>
    <xdr:to>
      <xdr:col>17</xdr:col>
      <xdr:colOff>254681</xdr:colOff>
      <xdr:row>10</xdr:row>
      <xdr:rowOff>35049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EA9A963-A122-68E4-1229-51B4934EF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3600" y="1589608"/>
          <a:ext cx="3747181" cy="680641"/>
        </a:xfrm>
        <a:prstGeom prst="rect">
          <a:avLst/>
        </a:prstGeom>
      </xdr:spPr>
    </xdr:pic>
    <xdr:clientData/>
  </xdr:twoCellAnchor>
  <xdr:twoCellAnchor editAs="oneCell">
    <xdr:from>
      <xdr:col>10</xdr:col>
      <xdr:colOff>565150</xdr:colOff>
      <xdr:row>3</xdr:row>
      <xdr:rowOff>285750</xdr:rowOff>
    </xdr:from>
    <xdr:to>
      <xdr:col>18</xdr:col>
      <xdr:colOff>32356</xdr:colOff>
      <xdr:row>5</xdr:row>
      <xdr:rowOff>181064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09950DB-EA72-DEB0-F0FC-A9AA41E69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04050" y="844550"/>
          <a:ext cx="4344006" cy="638264"/>
        </a:xfrm>
        <a:prstGeom prst="rect">
          <a:avLst/>
        </a:prstGeom>
      </xdr:spPr>
    </xdr:pic>
    <xdr:clientData/>
  </xdr:twoCellAnchor>
  <xdr:twoCellAnchor editAs="oneCell">
    <xdr:from>
      <xdr:col>12</xdr:col>
      <xdr:colOff>69850</xdr:colOff>
      <xdr:row>10</xdr:row>
      <xdr:rowOff>158750</xdr:rowOff>
    </xdr:from>
    <xdr:to>
      <xdr:col>17</xdr:col>
      <xdr:colOff>60749</xdr:colOff>
      <xdr:row>13</xdr:row>
      <xdr:rowOff>114372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FC737C0-CBC9-4737-B382-23F08AD93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27950" y="2387600"/>
          <a:ext cx="3038899" cy="5144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101600</xdr:colOff>
      <xdr:row>16</xdr:row>
      <xdr:rowOff>133350</xdr:rowOff>
    </xdr:from>
    <xdr:to>
      <xdr:col>13</xdr:col>
      <xdr:colOff>92499</xdr:colOff>
      <xdr:row>19</xdr:row>
      <xdr:rowOff>95322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35E3A07-A9FD-E44B-DF97-E7F0D1E27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4400" y="3098800"/>
          <a:ext cx="3038899" cy="514422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0</xdr:row>
      <xdr:rowOff>171450</xdr:rowOff>
    </xdr:from>
    <xdr:to>
      <xdr:col>12</xdr:col>
      <xdr:colOff>248020</xdr:colOff>
      <xdr:row>5</xdr:row>
      <xdr:rowOff>92193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5F44110-DAC1-4D30-B1F3-D279EF431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30900" y="171450"/>
          <a:ext cx="2648320" cy="847843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</xdr:colOff>
      <xdr:row>5</xdr:row>
      <xdr:rowOff>158750</xdr:rowOff>
    </xdr:from>
    <xdr:to>
      <xdr:col>15</xdr:col>
      <xdr:colOff>22822</xdr:colOff>
      <xdr:row>10</xdr:row>
      <xdr:rowOff>19159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FBF8ECB-72C0-4A77-BDA3-03D34266B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5500" y="1085850"/>
          <a:ext cx="4277322" cy="781159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</xdr:colOff>
      <xdr:row>10</xdr:row>
      <xdr:rowOff>63500</xdr:rowOff>
    </xdr:from>
    <xdr:to>
      <xdr:col>14</xdr:col>
      <xdr:colOff>410135</xdr:colOff>
      <xdr:row>16</xdr:row>
      <xdr:rowOff>79533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5F6C9BEA-0448-470A-8499-86B99653F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49950" y="1911350"/>
          <a:ext cx="4010585" cy="11336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7</xdr:row>
      <xdr:rowOff>107950</xdr:rowOff>
    </xdr:from>
    <xdr:to>
      <xdr:col>8</xdr:col>
      <xdr:colOff>190822</xdr:colOff>
      <xdr:row>11</xdr:row>
      <xdr:rowOff>133456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B578644-0FE1-7571-E412-10CA36499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45150" y="1778000"/>
          <a:ext cx="2305372" cy="762106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476250</xdr:colOff>
      <xdr:row>14</xdr:row>
      <xdr:rowOff>508000</xdr:rowOff>
    </xdr:from>
    <xdr:to>
      <xdr:col>7</xdr:col>
      <xdr:colOff>276452</xdr:colOff>
      <xdr:row>19</xdr:row>
      <xdr:rowOff>60443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D6C571E-BADD-1255-6C3F-330944E17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7550" y="3479800"/>
          <a:ext cx="1629002" cy="847843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rober/Desktop/2022_02_15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renzo Cannata" refreshedDate="45547.704788888892" createdVersion="8" refreshedVersion="8" minRefreshableVersion="3" recordCount="25" xr:uid="{96A6139A-6D48-42C7-A0ED-F4D8D66BE395}">
  <cacheSource type="worksheet">
    <worksheetSource ref="B14:C39" sheet="Foglio2" r:id="rId2"/>
  </cacheSource>
  <cacheFields count="2">
    <cacheField name="Strato" numFmtId="0">
      <sharedItems containsSemiMixedTypes="0" containsString="0" containsNumber="1" containsInteger="1" minValue="1" maxValue="2" count="2">
        <n v="1"/>
        <n v="2"/>
      </sharedItems>
    </cacheField>
    <cacheField name="Y" numFmtId="0">
      <sharedItems containsSemiMixedTypes="0" containsString="0" containsNumber="1" containsInteger="1" minValue="0" maxValue="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renzo Cannata" refreshedDate="45936.74326747685" createdVersion="8" refreshedVersion="8" minRefreshableVersion="3" recordCount="9" xr:uid="{389A4EF3-3AE9-429B-AFC8-A7FA6AECC313}">
  <cacheSource type="worksheet">
    <worksheetSource ref="A23:B32" sheet="Stima dei parametri"/>
  </cacheSource>
  <cacheFields count="2">
    <cacheField name="campione" numFmtId="0">
      <sharedItems containsSemiMixedTypes="0" containsString="0" containsNumber="1" containsInteger="1" minValue="1" maxValue="9"/>
    </cacheField>
    <cacheField name="stima" numFmtId="0">
      <sharedItems containsSemiMixedTypes="0" containsString="0" containsNumber="1" minValue="1" maxValue="3" count="5">
        <n v="1"/>
        <n v="1.5"/>
        <n v="2"/>
        <n v="2.5"/>
        <n v="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x v="0"/>
    <n v="0"/>
  </r>
  <r>
    <x v="1"/>
    <n v="5"/>
  </r>
  <r>
    <x v="1"/>
    <n v="2"/>
  </r>
  <r>
    <x v="0"/>
    <n v="4"/>
  </r>
  <r>
    <x v="0"/>
    <n v="2"/>
  </r>
  <r>
    <x v="0"/>
    <n v="1"/>
  </r>
  <r>
    <x v="1"/>
    <n v="5"/>
  </r>
  <r>
    <x v="1"/>
    <n v="4"/>
  </r>
  <r>
    <x v="1"/>
    <n v="2"/>
  </r>
  <r>
    <x v="1"/>
    <n v="5"/>
  </r>
  <r>
    <x v="0"/>
    <n v="1"/>
  </r>
  <r>
    <x v="1"/>
    <n v="3"/>
  </r>
  <r>
    <x v="0"/>
    <n v="4"/>
  </r>
  <r>
    <x v="1"/>
    <n v="3"/>
  </r>
  <r>
    <x v="1"/>
    <n v="4"/>
  </r>
  <r>
    <x v="0"/>
    <n v="2"/>
  </r>
  <r>
    <x v="1"/>
    <n v="2"/>
  </r>
  <r>
    <x v="1"/>
    <n v="3"/>
  </r>
  <r>
    <x v="0"/>
    <n v="2"/>
  </r>
  <r>
    <x v="0"/>
    <n v="0"/>
  </r>
  <r>
    <x v="1"/>
    <n v="1"/>
  </r>
  <r>
    <x v="1"/>
    <n v="2"/>
  </r>
  <r>
    <x v="1"/>
    <n v="3"/>
  </r>
  <r>
    <x v="0"/>
    <n v="3"/>
  </r>
  <r>
    <x v="1"/>
    <n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n v="1"/>
    <x v="0"/>
  </r>
  <r>
    <n v="2"/>
    <x v="1"/>
  </r>
  <r>
    <n v="3"/>
    <x v="2"/>
  </r>
  <r>
    <n v="4"/>
    <x v="1"/>
  </r>
  <r>
    <n v="5"/>
    <x v="2"/>
  </r>
  <r>
    <n v="6"/>
    <x v="3"/>
  </r>
  <r>
    <n v="7"/>
    <x v="2"/>
  </r>
  <r>
    <n v="8"/>
    <x v="3"/>
  </r>
  <r>
    <n v="9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B6008A-A757-45AF-9FE6-E89E319E3E8C}" name="Tabella pivot1" cacheId="1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 chartFormat="1">
  <location ref="E24:F30" firstHeaderRow="1" firstDataRow="1" firstDataCol="1"/>
  <pivotFields count="2">
    <pivotField showAll="0"/>
    <pivotField axis="axisRow" dataField="1" showAll="0">
      <items count="6">
        <item x="0"/>
        <item x="1"/>
        <item x="2"/>
        <item x="3"/>
        <item x="4"/>
        <item t="default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nteggio di stima" fld="1" subtotal="count" baseField="1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1B097A-2715-44C1-9889-20AAAC87FF89}" name="Tabella pivot1" cacheId="0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F15:H18" firstHeaderRow="0" firstDataRow="1" firstDataCol="1"/>
  <pivotFields count="2">
    <pivotField axis="axisRow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Conteggio di Y" fld="1" subtotal="count" baseField="0" baseItem="0"/>
    <dataField name="Somma di Y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90A4A-7C0E-4D21-9AAA-81EA348793D9}">
  <dimension ref="A1:L26"/>
  <sheetViews>
    <sheetView tabSelected="1" workbookViewId="0">
      <selection activeCell="F12" sqref="F12"/>
    </sheetView>
  </sheetViews>
  <sheetFormatPr defaultRowHeight="14.5" x14ac:dyDescent="0.35"/>
  <cols>
    <col min="4" max="4" width="9" bestFit="1" customWidth="1"/>
    <col min="5" max="5" width="20.1796875" customWidth="1"/>
    <col min="6" max="6" width="16.08984375" customWidth="1"/>
    <col min="7" max="7" width="9.81640625" customWidth="1"/>
    <col min="8" max="8" width="9" bestFit="1" customWidth="1"/>
    <col min="10" max="10" width="9" bestFit="1" customWidth="1"/>
  </cols>
  <sheetData>
    <row r="1" spans="1:12" x14ac:dyDescent="0.35">
      <c r="A1" s="13" t="s">
        <v>1</v>
      </c>
      <c r="B1" s="14">
        <v>20</v>
      </c>
      <c r="E1" s="3" t="s">
        <v>26</v>
      </c>
    </row>
    <row r="2" spans="1:12" x14ac:dyDescent="0.35">
      <c r="A2" s="15" t="s">
        <v>2</v>
      </c>
      <c r="B2" s="16">
        <v>5</v>
      </c>
      <c r="E2" s="24" t="s">
        <v>28</v>
      </c>
      <c r="F2" s="25"/>
      <c r="G2" s="25" t="s">
        <v>47</v>
      </c>
    </row>
    <row r="3" spans="1:12" ht="15" thickBot="1" x14ac:dyDescent="0.4">
      <c r="A3" s="17" t="s">
        <v>3</v>
      </c>
      <c r="B3" s="18">
        <f>+B2/B1</f>
        <v>0.25</v>
      </c>
      <c r="E3" s="24" t="s">
        <v>44</v>
      </c>
      <c r="F3" s="25"/>
      <c r="G3" s="25" t="s">
        <v>45</v>
      </c>
      <c r="I3" s="5"/>
    </row>
    <row r="4" spans="1:12" x14ac:dyDescent="0.35">
      <c r="A4" s="3"/>
      <c r="B4" s="19"/>
      <c r="E4" s="24" t="s">
        <v>46</v>
      </c>
      <c r="F4" s="25"/>
      <c r="G4" s="25" t="s">
        <v>48</v>
      </c>
      <c r="I4" s="5"/>
    </row>
    <row r="5" spans="1:12" x14ac:dyDescent="0.35">
      <c r="B5" s="1"/>
      <c r="E5" s="5"/>
      <c r="F5" s="5"/>
    </row>
    <row r="6" spans="1:12" ht="44" thickBot="1" x14ac:dyDescent="0.4">
      <c r="A6" s="3" t="s">
        <v>0</v>
      </c>
      <c r="B6" s="3"/>
      <c r="C6" s="22" t="s">
        <v>14</v>
      </c>
      <c r="D6" s="22" t="s">
        <v>15</v>
      </c>
      <c r="E6" s="22" t="s">
        <v>41</v>
      </c>
      <c r="F6" s="22" t="s">
        <v>42</v>
      </c>
      <c r="G6" s="22" t="s">
        <v>51</v>
      </c>
      <c r="H6" s="3"/>
      <c r="I6" s="21" t="s">
        <v>43</v>
      </c>
    </row>
    <row r="7" spans="1:12" x14ac:dyDescent="0.35">
      <c r="A7">
        <v>1</v>
      </c>
      <c r="B7" t="s">
        <v>4</v>
      </c>
      <c r="C7" s="2">
        <v>1.62</v>
      </c>
      <c r="D7">
        <f ca="1">RAND()</f>
        <v>0.30646809504963646</v>
      </c>
      <c r="E7" t="str" cm="1">
        <f t="array" aca="1" ref="E7:E26" ca="1">_xlfn.SORTBY(B7:B26,D7:D26)</f>
        <v>Mario</v>
      </c>
      <c r="F7" t="str">
        <f ca="1">+E7</f>
        <v>Mario</v>
      </c>
      <c r="G7">
        <f ca="1">_xlfn.XLOOKUP(F7,$B$7:$B$26,$C$7:$C$26)</f>
        <v>1.91</v>
      </c>
      <c r="I7" s="6" t="str" cm="1">
        <f t="array" aca="1" ref="I7:L11" ca="1">_xlfn.WRAPROWS(_xlfn.SORTBY(B7:B26,_xlfn.RANDARRAY(20,1)),4,0)</f>
        <v>Sara</v>
      </c>
      <c r="J7" s="7" t="str">
        <f ca="1"/>
        <v>Giada</v>
      </c>
      <c r="K7" s="7" t="str">
        <f ca="1"/>
        <v>Sofia</v>
      </c>
      <c r="L7" s="8" t="str">
        <f ca="1"/>
        <v>Teresa</v>
      </c>
    </row>
    <row r="8" spans="1:12" x14ac:dyDescent="0.35">
      <c r="A8">
        <v>2</v>
      </c>
      <c r="B8" t="s">
        <v>5</v>
      </c>
      <c r="C8" s="2">
        <v>1.78</v>
      </c>
      <c r="D8">
        <f t="shared" ref="D8:D26" ca="1" si="0">RAND()</f>
        <v>0.86354150863334889</v>
      </c>
      <c r="E8" t="str">
        <f ca="1"/>
        <v>Sofia</v>
      </c>
      <c r="F8" t="str">
        <f t="shared" ref="F8:F11" ca="1" si="1">+E8</f>
        <v>Sofia</v>
      </c>
      <c r="G8">
        <f t="shared" ref="G8:G11" ca="1" si="2">_xlfn.XLOOKUP(F8,$B$7:$B$26,$C$7:$C$26)</f>
        <v>1.58</v>
      </c>
      <c r="I8" s="9" t="str">
        <f ca="1"/>
        <v>Giuseppe</v>
      </c>
      <c r="J8" t="str">
        <f ca="1"/>
        <v>Sergio</v>
      </c>
      <c r="K8" t="str">
        <f ca="1"/>
        <v>Giulio</v>
      </c>
      <c r="L8" s="10" t="str">
        <f ca="1"/>
        <v>Mario</v>
      </c>
    </row>
    <row r="9" spans="1:12" x14ac:dyDescent="0.35">
      <c r="A9">
        <v>3</v>
      </c>
      <c r="B9" t="s">
        <v>6</v>
      </c>
      <c r="C9" s="2">
        <v>1.65</v>
      </c>
      <c r="D9">
        <f t="shared" ca="1" si="0"/>
        <v>0.75809489495253624</v>
      </c>
      <c r="E9" t="str">
        <f ca="1"/>
        <v>Sergio</v>
      </c>
      <c r="F9" t="str">
        <f t="shared" ca="1" si="1"/>
        <v>Sergio</v>
      </c>
      <c r="G9">
        <f t="shared" ca="1" si="2"/>
        <v>1.85</v>
      </c>
      <c r="I9" s="9" t="str">
        <f ca="1"/>
        <v>Carlotta</v>
      </c>
      <c r="J9" t="str">
        <f ca="1"/>
        <v>Pino</v>
      </c>
      <c r="K9" t="str">
        <f ca="1"/>
        <v>Lorenzo</v>
      </c>
      <c r="L9" s="10" t="str">
        <f ca="1"/>
        <v>Rosa</v>
      </c>
    </row>
    <row r="10" spans="1:12" x14ac:dyDescent="0.35">
      <c r="A10">
        <v>4</v>
      </c>
      <c r="B10" t="s">
        <v>7</v>
      </c>
      <c r="C10" s="2">
        <v>1.85</v>
      </c>
      <c r="D10">
        <f t="shared" ca="1" si="0"/>
        <v>0.16885894792268452</v>
      </c>
      <c r="E10" t="str">
        <f ca="1"/>
        <v>Giovanni</v>
      </c>
      <c r="F10" t="str">
        <f t="shared" ca="1" si="1"/>
        <v>Giovanni</v>
      </c>
      <c r="G10">
        <f t="shared" ca="1" si="2"/>
        <v>1.95</v>
      </c>
      <c r="I10" s="9" t="str">
        <f ca="1"/>
        <v>Vittoria</v>
      </c>
      <c r="J10" t="str">
        <f ca="1"/>
        <v>Giorgio</v>
      </c>
      <c r="K10" t="str">
        <f ca="1"/>
        <v>Maria</v>
      </c>
      <c r="L10" s="10" t="str">
        <f ca="1"/>
        <v>Anna</v>
      </c>
    </row>
    <row r="11" spans="1:12" ht="15" thickBot="1" x14ac:dyDescent="0.4">
      <c r="A11">
        <v>5</v>
      </c>
      <c r="B11" t="s">
        <v>8</v>
      </c>
      <c r="C11" s="2">
        <v>1.61</v>
      </c>
      <c r="D11">
        <f t="shared" ca="1" si="0"/>
        <v>0.41448905933839986</v>
      </c>
      <c r="E11" t="str">
        <f ca="1"/>
        <v>Anna</v>
      </c>
      <c r="F11" t="str">
        <f t="shared" ca="1" si="1"/>
        <v>Anna</v>
      </c>
      <c r="G11">
        <f t="shared" ca="1" si="2"/>
        <v>1.62</v>
      </c>
      <c r="I11" s="11" t="str">
        <f ca="1"/>
        <v>Veronica</v>
      </c>
      <c r="J11" s="4" t="str">
        <f ca="1"/>
        <v>Paolo</v>
      </c>
      <c r="K11" s="4" t="str">
        <f ca="1"/>
        <v>Giovanni</v>
      </c>
      <c r="L11" s="12" t="str">
        <f ca="1"/>
        <v>Antonella</v>
      </c>
    </row>
    <row r="12" spans="1:12" x14ac:dyDescent="0.35">
      <c r="A12">
        <v>6</v>
      </c>
      <c r="B12" t="s">
        <v>9</v>
      </c>
      <c r="C12" s="2">
        <v>1.55</v>
      </c>
      <c r="D12">
        <f t="shared" ca="1" si="0"/>
        <v>0.32770883516683957</v>
      </c>
      <c r="E12" t="str">
        <f ca="1"/>
        <v>Carlotta</v>
      </c>
    </row>
    <row r="13" spans="1:12" x14ac:dyDescent="0.35">
      <c r="A13">
        <v>7</v>
      </c>
      <c r="B13" t="s">
        <v>10</v>
      </c>
      <c r="C13" s="2">
        <v>1.81</v>
      </c>
      <c r="D13">
        <f t="shared" ca="1" si="0"/>
        <v>0.99706227099211164</v>
      </c>
      <c r="E13" t="str">
        <f ca="1"/>
        <v>Sara</v>
      </c>
    </row>
    <row r="14" spans="1:12" x14ac:dyDescent="0.35">
      <c r="A14">
        <v>8</v>
      </c>
      <c r="B14" t="s">
        <v>11</v>
      </c>
      <c r="C14" s="2">
        <v>1.95</v>
      </c>
      <c r="D14">
        <f t="shared" ca="1" si="0"/>
        <v>0.23881570199580648</v>
      </c>
      <c r="E14" t="str">
        <f ca="1"/>
        <v>Paolo</v>
      </c>
    </row>
    <row r="15" spans="1:12" x14ac:dyDescent="0.35">
      <c r="A15">
        <v>9</v>
      </c>
      <c r="B15" t="s">
        <v>12</v>
      </c>
      <c r="C15" s="2">
        <v>1.71</v>
      </c>
      <c r="D15">
        <f t="shared" ca="1" si="0"/>
        <v>0.30714203738895018</v>
      </c>
      <c r="E15" t="str">
        <f ca="1"/>
        <v>Vittoria</v>
      </c>
    </row>
    <row r="16" spans="1:12" x14ac:dyDescent="0.35">
      <c r="A16">
        <v>10</v>
      </c>
      <c r="B16" t="s">
        <v>13</v>
      </c>
      <c r="C16" s="2">
        <v>1.58</v>
      </c>
      <c r="D16">
        <f t="shared" ca="1" si="0"/>
        <v>0.122019387757204</v>
      </c>
      <c r="E16" t="str">
        <f ca="1"/>
        <v>Giuseppe</v>
      </c>
    </row>
    <row r="17" spans="1:5" x14ac:dyDescent="0.35">
      <c r="A17">
        <v>11</v>
      </c>
      <c r="B17" t="s">
        <v>16</v>
      </c>
      <c r="C17" s="2">
        <v>1.8</v>
      </c>
      <c r="D17">
        <f t="shared" ca="1" si="0"/>
        <v>0.51269280335698464</v>
      </c>
      <c r="E17" t="str">
        <f ca="1"/>
        <v>Antonella</v>
      </c>
    </row>
    <row r="18" spans="1:5" x14ac:dyDescent="0.35">
      <c r="A18">
        <v>12</v>
      </c>
      <c r="B18" t="s">
        <v>17</v>
      </c>
      <c r="C18" s="2">
        <v>1.78</v>
      </c>
      <c r="D18">
        <f t="shared" ca="1" si="0"/>
        <v>0.89948499830020501</v>
      </c>
      <c r="E18" t="str">
        <f ca="1"/>
        <v>Rosa</v>
      </c>
    </row>
    <row r="19" spans="1:5" x14ac:dyDescent="0.35">
      <c r="A19">
        <v>13</v>
      </c>
      <c r="B19" t="s">
        <v>25</v>
      </c>
      <c r="C19" s="2">
        <v>1.56</v>
      </c>
      <c r="D19">
        <f t="shared" ca="1" si="0"/>
        <v>0.64442198597957201</v>
      </c>
      <c r="E19" t="str">
        <f ca="1"/>
        <v>Giorgio</v>
      </c>
    </row>
    <row r="20" spans="1:5" x14ac:dyDescent="0.35">
      <c r="A20">
        <v>14</v>
      </c>
      <c r="B20" t="s">
        <v>18</v>
      </c>
      <c r="C20" s="2">
        <v>1.61</v>
      </c>
      <c r="D20">
        <f t="shared" ca="1" si="0"/>
        <v>0.76945978095729806</v>
      </c>
      <c r="E20" t="str">
        <f ca="1"/>
        <v>Veronica</v>
      </c>
    </row>
    <row r="21" spans="1:5" x14ac:dyDescent="0.35">
      <c r="A21">
        <v>15</v>
      </c>
      <c r="B21" t="s">
        <v>19</v>
      </c>
      <c r="C21" s="2">
        <v>1.91</v>
      </c>
      <c r="D21">
        <f t="shared" ca="1" si="0"/>
        <v>2.1348917339394369E-3</v>
      </c>
      <c r="E21" t="str">
        <f ca="1"/>
        <v>Maria</v>
      </c>
    </row>
    <row r="22" spans="1:5" x14ac:dyDescent="0.35">
      <c r="A22">
        <v>16</v>
      </c>
      <c r="B22" t="s">
        <v>20</v>
      </c>
      <c r="C22" s="2">
        <v>1.72</v>
      </c>
      <c r="D22">
        <f t="shared" ca="1" si="0"/>
        <v>0.98989288696265909</v>
      </c>
      <c r="E22" t="str">
        <f ca="1"/>
        <v>Giulio</v>
      </c>
    </row>
    <row r="23" spans="1:5" x14ac:dyDescent="0.35">
      <c r="A23">
        <v>17</v>
      </c>
      <c r="B23" t="s">
        <v>21</v>
      </c>
      <c r="C23" s="2">
        <v>1.63</v>
      </c>
      <c r="D23">
        <f t="shared" ca="1" si="0"/>
        <v>0.59898221493684811</v>
      </c>
      <c r="E23" t="str">
        <f ca="1"/>
        <v>Pino</v>
      </c>
    </row>
    <row r="24" spans="1:5" x14ac:dyDescent="0.35">
      <c r="A24">
        <v>18</v>
      </c>
      <c r="B24" t="s">
        <v>22</v>
      </c>
      <c r="C24" s="2">
        <v>1.67</v>
      </c>
      <c r="D24">
        <f t="shared" ca="1" si="0"/>
        <v>0.74245585564722938</v>
      </c>
      <c r="E24" t="str">
        <f ca="1"/>
        <v>Teresa</v>
      </c>
    </row>
    <row r="25" spans="1:5" x14ac:dyDescent="0.35">
      <c r="A25">
        <v>19</v>
      </c>
      <c r="B25" t="s">
        <v>23</v>
      </c>
      <c r="C25" s="2">
        <v>1.69</v>
      </c>
      <c r="D25">
        <f t="shared" ca="1" si="0"/>
        <v>0.40098372706354046</v>
      </c>
      <c r="E25" t="str">
        <f ca="1"/>
        <v>Giada</v>
      </c>
    </row>
    <row r="26" spans="1:5" x14ac:dyDescent="0.35">
      <c r="A26">
        <v>20</v>
      </c>
      <c r="B26" t="s">
        <v>24</v>
      </c>
      <c r="C26" s="2">
        <v>1.51</v>
      </c>
      <c r="D26">
        <f t="shared" ca="1" si="0"/>
        <v>0.9165124183904102</v>
      </c>
      <c r="E26" t="str">
        <f ca="1"/>
        <v>Lorenzo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CB1C7-BB49-4240-8D09-898389F05BCF}">
  <dimension ref="A1:I31"/>
  <sheetViews>
    <sheetView workbookViewId="0">
      <selection activeCell="E19" sqref="E19"/>
    </sheetView>
  </sheetViews>
  <sheetFormatPr defaultRowHeight="14.5" x14ac:dyDescent="0.35"/>
  <cols>
    <col min="5" max="5" width="19.453125" customWidth="1"/>
    <col min="6" max="6" width="8.90625" customWidth="1"/>
    <col min="7" max="7" width="12.36328125" bestFit="1" customWidth="1"/>
  </cols>
  <sheetData>
    <row r="1" spans="1:7" x14ac:dyDescent="0.35">
      <c r="A1" s="13" t="s">
        <v>117</v>
      </c>
      <c r="B1" s="26">
        <v>115</v>
      </c>
    </row>
    <row r="2" spans="1:7" x14ac:dyDescent="0.35">
      <c r="A2" s="15" t="s">
        <v>2</v>
      </c>
      <c r="B2" s="31">
        <v>25</v>
      </c>
      <c r="E2" s="3" t="s">
        <v>113</v>
      </c>
    </row>
    <row r="3" spans="1:7" x14ac:dyDescent="0.35">
      <c r="A3" s="15" t="s">
        <v>3</v>
      </c>
      <c r="B3" s="65">
        <f>+B2/B1</f>
        <v>0.21739130434782608</v>
      </c>
    </row>
    <row r="4" spans="1:7" ht="15" thickBot="1" x14ac:dyDescent="0.4">
      <c r="A4" s="17" t="s">
        <v>120</v>
      </c>
      <c r="B4" s="66">
        <v>0.05</v>
      </c>
    </row>
    <row r="6" spans="1:7" x14ac:dyDescent="0.35">
      <c r="A6" s="3" t="s">
        <v>112</v>
      </c>
      <c r="B6" s="3" t="s">
        <v>99</v>
      </c>
      <c r="C6" s="3" t="s">
        <v>114</v>
      </c>
      <c r="F6" t="s">
        <v>115</v>
      </c>
      <c r="G6" t="s">
        <v>116</v>
      </c>
    </row>
    <row r="7" spans="1:7" x14ac:dyDescent="0.35">
      <c r="A7">
        <v>57</v>
      </c>
      <c r="B7">
        <v>1</v>
      </c>
      <c r="C7" s="2">
        <f>+(B7-$F$7)^2</f>
        <v>1.5376000000000005</v>
      </c>
      <c r="E7" t="s">
        <v>123</v>
      </c>
      <c r="F7">
        <f>SUM(B7:B31)/COUNTA(B7:B31)</f>
        <v>2.2400000000000002</v>
      </c>
      <c r="G7">
        <f>AVERAGE(B7:B31)</f>
        <v>2.2400000000000002</v>
      </c>
    </row>
    <row r="8" spans="1:7" x14ac:dyDescent="0.35">
      <c r="A8">
        <v>28</v>
      </c>
      <c r="B8">
        <v>4</v>
      </c>
      <c r="C8" s="2">
        <f t="shared" ref="C8:C31" si="0">+(B8-$F$7)^2</f>
        <v>3.0975999999999995</v>
      </c>
      <c r="E8" t="s">
        <v>124</v>
      </c>
      <c r="F8" s="2">
        <f>SUM(C7:C31)/(COUNTA(C7:C31)-1)</f>
        <v>2.106666666666666</v>
      </c>
      <c r="G8" s="2">
        <f>_xlfn.VAR.S(B7:B31)</f>
        <v>2.1066666666666669</v>
      </c>
    </row>
    <row r="9" spans="1:7" x14ac:dyDescent="0.35">
      <c r="A9">
        <v>92</v>
      </c>
      <c r="B9">
        <v>3</v>
      </c>
      <c r="C9" s="2">
        <f t="shared" si="0"/>
        <v>0.57759999999999967</v>
      </c>
    </row>
    <row r="10" spans="1:7" x14ac:dyDescent="0.35">
      <c r="A10">
        <v>3</v>
      </c>
      <c r="B10">
        <v>4</v>
      </c>
      <c r="C10" s="2">
        <f t="shared" si="0"/>
        <v>3.0975999999999995</v>
      </c>
      <c r="E10" t="s">
        <v>125</v>
      </c>
      <c r="F10" s="2">
        <f>SQRT((1-B3)*(F8/B2))</f>
        <v>0.25680308815697001</v>
      </c>
      <c r="G10" s="64" t="s">
        <v>118</v>
      </c>
    </row>
    <row r="11" spans="1:7" x14ac:dyDescent="0.35">
      <c r="A11">
        <v>24</v>
      </c>
      <c r="B11">
        <v>0</v>
      </c>
      <c r="C11" s="2">
        <f t="shared" si="0"/>
        <v>5.0176000000000007</v>
      </c>
    </row>
    <row r="12" spans="1:7" x14ac:dyDescent="0.35">
      <c r="A12">
        <v>82</v>
      </c>
      <c r="B12">
        <v>3</v>
      </c>
      <c r="C12" s="2">
        <f t="shared" si="0"/>
        <v>0.57759999999999967</v>
      </c>
      <c r="E12" t="s">
        <v>119</v>
      </c>
      <c r="F12" s="63">
        <f>_xlfn.T.INV.2T(B4,B2-1)</f>
        <v>2.0638985616280254</v>
      </c>
    </row>
    <row r="13" spans="1:7" x14ac:dyDescent="0.35">
      <c r="A13">
        <v>110</v>
      </c>
      <c r="B13">
        <v>3</v>
      </c>
      <c r="C13" s="2">
        <f t="shared" si="0"/>
        <v>0.57759999999999967</v>
      </c>
    </row>
    <row r="14" spans="1:7" ht="15" thickBot="1" x14ac:dyDescent="0.4">
      <c r="A14">
        <v>17</v>
      </c>
      <c r="B14">
        <v>0</v>
      </c>
      <c r="C14" s="2">
        <f t="shared" si="0"/>
        <v>5.0176000000000007</v>
      </c>
    </row>
    <row r="15" spans="1:7" x14ac:dyDescent="0.35">
      <c r="A15">
        <v>37</v>
      </c>
      <c r="B15">
        <v>4</v>
      </c>
      <c r="C15" s="2">
        <f t="shared" si="0"/>
        <v>3.0975999999999995</v>
      </c>
      <c r="E15" s="100" t="s">
        <v>121</v>
      </c>
      <c r="F15" s="101"/>
      <c r="G15" s="102"/>
    </row>
    <row r="16" spans="1:7" ht="15" thickBot="1" x14ac:dyDescent="0.4">
      <c r="A16">
        <v>42</v>
      </c>
      <c r="B16">
        <v>1</v>
      </c>
      <c r="C16" s="2">
        <f t="shared" si="0"/>
        <v>1.5376000000000005</v>
      </c>
      <c r="E16" s="67">
        <f>+F7-F12*F10</f>
        <v>1.7099844757311948</v>
      </c>
      <c r="F16" s="4" t="s">
        <v>122</v>
      </c>
      <c r="G16" s="68">
        <f>+F7+F12*F10</f>
        <v>2.7700155242688056</v>
      </c>
    </row>
    <row r="17" spans="1:9" x14ac:dyDescent="0.35">
      <c r="A17">
        <v>5</v>
      </c>
      <c r="B17">
        <v>2</v>
      </c>
      <c r="C17" s="2">
        <f t="shared" si="0"/>
        <v>5.7600000000000103E-2</v>
      </c>
    </row>
    <row r="18" spans="1:9" x14ac:dyDescent="0.35">
      <c r="A18">
        <v>20</v>
      </c>
      <c r="B18">
        <v>0</v>
      </c>
      <c r="C18" s="2">
        <f t="shared" si="0"/>
        <v>5.0176000000000007</v>
      </c>
    </row>
    <row r="19" spans="1:9" x14ac:dyDescent="0.35">
      <c r="A19">
        <v>15</v>
      </c>
      <c r="B19">
        <v>2</v>
      </c>
      <c r="C19" s="2">
        <f t="shared" si="0"/>
        <v>5.7600000000000103E-2</v>
      </c>
    </row>
    <row r="20" spans="1:9" x14ac:dyDescent="0.35">
      <c r="A20">
        <v>46</v>
      </c>
      <c r="B20">
        <v>3</v>
      </c>
      <c r="C20" s="2">
        <f t="shared" si="0"/>
        <v>0.57759999999999967</v>
      </c>
    </row>
    <row r="21" spans="1:9" x14ac:dyDescent="0.35">
      <c r="A21">
        <v>30</v>
      </c>
      <c r="B21">
        <v>2</v>
      </c>
      <c r="C21" s="2">
        <f t="shared" si="0"/>
        <v>5.7600000000000103E-2</v>
      </c>
    </row>
    <row r="22" spans="1:9" x14ac:dyDescent="0.35">
      <c r="A22">
        <v>68</v>
      </c>
      <c r="B22">
        <v>4</v>
      </c>
      <c r="C22" s="2">
        <f t="shared" si="0"/>
        <v>3.0975999999999995</v>
      </c>
      <c r="I22" s="25" t="s">
        <v>126</v>
      </c>
    </row>
    <row r="23" spans="1:9" x14ac:dyDescent="0.35">
      <c r="A23">
        <v>97</v>
      </c>
      <c r="B23">
        <v>3</v>
      </c>
      <c r="C23" s="2">
        <f t="shared" si="0"/>
        <v>0.57759999999999967</v>
      </c>
      <c r="I23" s="25" t="s">
        <v>127</v>
      </c>
    </row>
    <row r="24" spans="1:9" x14ac:dyDescent="0.35">
      <c r="A24">
        <v>111</v>
      </c>
      <c r="B24">
        <v>3</v>
      </c>
      <c r="C24" s="2">
        <f t="shared" si="0"/>
        <v>0.57759999999999967</v>
      </c>
      <c r="I24" s="25" t="s">
        <v>128</v>
      </c>
    </row>
    <row r="25" spans="1:9" x14ac:dyDescent="0.35">
      <c r="A25">
        <v>55</v>
      </c>
      <c r="B25">
        <v>1</v>
      </c>
      <c r="C25" s="2">
        <f t="shared" si="0"/>
        <v>1.5376000000000005</v>
      </c>
    </row>
    <row r="26" spans="1:9" x14ac:dyDescent="0.35">
      <c r="A26">
        <v>56</v>
      </c>
      <c r="B26">
        <v>1</v>
      </c>
      <c r="C26" s="2">
        <f t="shared" si="0"/>
        <v>1.5376000000000005</v>
      </c>
    </row>
    <row r="27" spans="1:9" x14ac:dyDescent="0.35">
      <c r="A27">
        <v>13</v>
      </c>
      <c r="B27">
        <v>4</v>
      </c>
      <c r="C27" s="2">
        <f t="shared" si="0"/>
        <v>3.0975999999999995</v>
      </c>
    </row>
    <row r="28" spans="1:9" x14ac:dyDescent="0.35">
      <c r="A28">
        <v>85</v>
      </c>
      <c r="B28">
        <v>0</v>
      </c>
      <c r="C28" s="2">
        <f t="shared" si="0"/>
        <v>5.0176000000000007</v>
      </c>
    </row>
    <row r="29" spans="1:9" x14ac:dyDescent="0.35">
      <c r="A29">
        <v>35</v>
      </c>
      <c r="B29">
        <v>3</v>
      </c>
      <c r="C29" s="2">
        <f t="shared" si="0"/>
        <v>0.57759999999999967</v>
      </c>
    </row>
    <row r="30" spans="1:9" x14ac:dyDescent="0.35">
      <c r="A30">
        <v>19</v>
      </c>
      <c r="B30">
        <v>1</v>
      </c>
      <c r="C30" s="2">
        <f t="shared" si="0"/>
        <v>1.5376000000000005</v>
      </c>
    </row>
    <row r="31" spans="1:9" x14ac:dyDescent="0.35">
      <c r="A31">
        <v>114</v>
      </c>
      <c r="B31">
        <v>4</v>
      </c>
      <c r="C31" s="2">
        <f t="shared" si="0"/>
        <v>3.0975999999999995</v>
      </c>
    </row>
  </sheetData>
  <mergeCells count="1">
    <mergeCell ref="E15:G15"/>
  </mergeCells>
  <phoneticPr fontId="7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F9BE9-B419-4F61-A29E-8A1D5F51F9EB}">
  <dimension ref="A1:D21"/>
  <sheetViews>
    <sheetView zoomScaleNormal="100" zoomScaleSheetLayoutView="100" workbookViewId="0">
      <selection activeCell="A10" sqref="A10"/>
    </sheetView>
  </sheetViews>
  <sheetFormatPr defaultRowHeight="14.5" x14ac:dyDescent="0.35"/>
  <cols>
    <col min="1" max="1" width="17.08984375" customWidth="1"/>
    <col min="2" max="2" width="26.90625" customWidth="1"/>
    <col min="3" max="3" width="15.90625" customWidth="1"/>
    <col min="4" max="4" width="16.26953125" customWidth="1"/>
  </cols>
  <sheetData>
    <row r="1" spans="1:4" x14ac:dyDescent="0.35">
      <c r="B1" t="s">
        <v>188</v>
      </c>
      <c r="C1">
        <v>45</v>
      </c>
    </row>
    <row r="2" spans="1:4" x14ac:dyDescent="0.35">
      <c r="B2" t="s">
        <v>130</v>
      </c>
      <c r="C2" s="2">
        <f>-_xlfn.NORM.S.INV(C4/2)</f>
        <v>1.9599639845400538</v>
      </c>
    </row>
    <row r="3" spans="1:4" x14ac:dyDescent="0.35">
      <c r="B3" t="s">
        <v>129</v>
      </c>
      <c r="C3">
        <v>5</v>
      </c>
    </row>
    <row r="4" spans="1:4" x14ac:dyDescent="0.35">
      <c r="B4" t="s">
        <v>192</v>
      </c>
      <c r="C4" s="93">
        <v>0.05</v>
      </c>
    </row>
    <row r="5" spans="1:4" x14ac:dyDescent="0.35">
      <c r="B5" t="s">
        <v>193</v>
      </c>
      <c r="C5" s="2">
        <v>10</v>
      </c>
    </row>
    <row r="6" spans="1:4" ht="15" thickBot="1" x14ac:dyDescent="0.4"/>
    <row r="7" spans="1:4" ht="44" thickBot="1" x14ac:dyDescent="0.4">
      <c r="A7" s="90" t="s">
        <v>190</v>
      </c>
      <c r="B7" s="57" t="s">
        <v>105</v>
      </c>
      <c r="C7" s="95" t="s">
        <v>189</v>
      </c>
      <c r="D7" s="58" t="s">
        <v>194</v>
      </c>
    </row>
    <row r="8" spans="1:4" x14ac:dyDescent="0.35">
      <c r="A8" s="91">
        <v>1.5</v>
      </c>
      <c r="B8" s="89">
        <f t="shared" ref="B8:B13" si="0">+(($C$2^2)*($C$3^2))/(A8^2)</f>
        <v>42.682875785490268</v>
      </c>
      <c r="C8" s="72">
        <f t="shared" ref="C8:C13" si="1">+A8/$C$1</f>
        <v>3.3333333333333333E-2</v>
      </c>
      <c r="D8" s="94">
        <f>+B8*$C$5</f>
        <v>426.82875785490268</v>
      </c>
    </row>
    <row r="9" spans="1:4" x14ac:dyDescent="0.35">
      <c r="A9" s="91">
        <v>1.25</v>
      </c>
      <c r="B9" s="89">
        <f t="shared" si="0"/>
        <v>61.463341131105992</v>
      </c>
      <c r="C9" s="72">
        <f t="shared" si="1"/>
        <v>2.7777777777777776E-2</v>
      </c>
      <c r="D9" s="94">
        <f t="shared" ref="D9:D13" si="2">+B9*$C$5</f>
        <v>614.63341131105994</v>
      </c>
    </row>
    <row r="10" spans="1:4" x14ac:dyDescent="0.35">
      <c r="A10" s="91">
        <v>1</v>
      </c>
      <c r="B10" s="89">
        <f t="shared" si="0"/>
        <v>96.036470517353109</v>
      </c>
      <c r="C10" s="72">
        <f t="shared" si="1"/>
        <v>2.2222222222222223E-2</v>
      </c>
      <c r="D10" s="94">
        <f t="shared" si="2"/>
        <v>960.36470517353109</v>
      </c>
    </row>
    <row r="11" spans="1:4" x14ac:dyDescent="0.35">
      <c r="A11" s="91">
        <v>0.75</v>
      </c>
      <c r="B11" s="89">
        <f t="shared" si="0"/>
        <v>170.73150314196107</v>
      </c>
      <c r="C11" s="72">
        <f t="shared" si="1"/>
        <v>1.6666666666666666E-2</v>
      </c>
      <c r="D11" s="94">
        <f t="shared" si="2"/>
        <v>1707.3150314196107</v>
      </c>
    </row>
    <row r="12" spans="1:4" x14ac:dyDescent="0.35">
      <c r="A12" s="91">
        <v>0.5</v>
      </c>
      <c r="B12" s="89">
        <f t="shared" si="0"/>
        <v>384.14588206941244</v>
      </c>
      <c r="C12" s="72">
        <f t="shared" si="1"/>
        <v>1.1111111111111112E-2</v>
      </c>
      <c r="D12" s="94">
        <f t="shared" si="2"/>
        <v>3841.4588206941244</v>
      </c>
    </row>
    <row r="13" spans="1:4" ht="15" thickBot="1" x14ac:dyDescent="0.4">
      <c r="A13" s="92">
        <v>0.25</v>
      </c>
      <c r="B13" s="67">
        <f t="shared" si="0"/>
        <v>1536.5835282776497</v>
      </c>
      <c r="C13" s="73">
        <f t="shared" si="1"/>
        <v>5.5555555555555558E-3</v>
      </c>
      <c r="D13" s="96">
        <f t="shared" si="2"/>
        <v>15365.835282776497</v>
      </c>
    </row>
    <row r="14" spans="1:4" ht="15" thickBot="1" x14ac:dyDescent="0.4">
      <c r="B14" s="62"/>
      <c r="C14" s="2"/>
    </row>
    <row r="15" spans="1:4" ht="44" thickBot="1" x14ac:dyDescent="0.4">
      <c r="A15" s="90" t="s">
        <v>191</v>
      </c>
      <c r="B15" s="57" t="s">
        <v>106</v>
      </c>
      <c r="C15" s="95" t="s">
        <v>189</v>
      </c>
      <c r="D15" s="58" t="s">
        <v>194</v>
      </c>
    </row>
    <row r="16" spans="1:4" x14ac:dyDescent="0.35">
      <c r="A16" s="91">
        <v>10</v>
      </c>
      <c r="B16" s="48">
        <f t="shared" ref="B16:B21" si="3">+$C$2*$C$3/(SQRT(A16))</f>
        <v>3.0989751615228074</v>
      </c>
      <c r="C16" s="72">
        <f>+B16/$C$1</f>
        <v>6.8866114700506825E-2</v>
      </c>
      <c r="D16" s="94">
        <f>+A16*$C$5</f>
        <v>100</v>
      </c>
    </row>
    <row r="17" spans="1:4" x14ac:dyDescent="0.35">
      <c r="A17" s="91">
        <v>50</v>
      </c>
      <c r="B17" s="48">
        <f t="shared" si="3"/>
        <v>1.3859038243496777</v>
      </c>
      <c r="C17" s="72">
        <f t="shared" ref="C17:C21" si="4">+B17/$C$1</f>
        <v>3.0797862763326172E-2</v>
      </c>
      <c r="D17" s="94">
        <f t="shared" ref="D17:D21" si="5">+A17*$C$5</f>
        <v>500</v>
      </c>
    </row>
    <row r="18" spans="1:4" x14ac:dyDescent="0.35">
      <c r="A18" s="91">
        <v>100</v>
      </c>
      <c r="B18" s="48">
        <f t="shared" si="3"/>
        <v>0.97998199227002691</v>
      </c>
      <c r="C18" s="72">
        <f t="shared" si="4"/>
        <v>2.1777377606000597E-2</v>
      </c>
      <c r="D18" s="94">
        <f t="shared" si="5"/>
        <v>1000</v>
      </c>
    </row>
    <row r="19" spans="1:4" x14ac:dyDescent="0.35">
      <c r="A19" s="91">
        <v>200</v>
      </c>
      <c r="B19" s="48">
        <f t="shared" si="3"/>
        <v>0.69295191217483887</v>
      </c>
      <c r="C19" s="72">
        <f t="shared" si="4"/>
        <v>1.5398931381663086E-2</v>
      </c>
      <c r="D19" s="94">
        <f t="shared" si="5"/>
        <v>2000</v>
      </c>
    </row>
    <row r="20" spans="1:4" x14ac:dyDescent="0.35">
      <c r="A20" s="91">
        <v>500</v>
      </c>
      <c r="B20" s="48">
        <f t="shared" si="3"/>
        <v>0.43826127028829071</v>
      </c>
      <c r="C20" s="72">
        <f t="shared" si="4"/>
        <v>9.7391393397397927E-3</v>
      </c>
      <c r="D20" s="94">
        <f t="shared" si="5"/>
        <v>5000</v>
      </c>
    </row>
    <row r="21" spans="1:4" ht="15" thickBot="1" x14ac:dyDescent="0.4">
      <c r="A21" s="92">
        <v>1000</v>
      </c>
      <c r="B21" s="52">
        <f t="shared" si="3"/>
        <v>0.30989751615228078</v>
      </c>
      <c r="C21" s="73">
        <f t="shared" si="4"/>
        <v>6.8866114700506841E-3</v>
      </c>
      <c r="D21" s="96">
        <f t="shared" si="5"/>
        <v>10000</v>
      </c>
    </row>
  </sheetData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E5E6F-6C58-4656-826A-A82CF89B2BED}">
  <dimension ref="A1:L26"/>
  <sheetViews>
    <sheetView workbookViewId="0">
      <selection activeCell="E8" sqref="E8"/>
    </sheetView>
  </sheetViews>
  <sheetFormatPr defaultRowHeight="14.5" x14ac:dyDescent="0.35"/>
  <cols>
    <col min="3" max="3" width="11.54296875" customWidth="1"/>
    <col min="4" max="4" width="2.7265625" customWidth="1"/>
    <col min="5" max="5" width="9" bestFit="1" customWidth="1"/>
    <col min="6" max="6" width="19.81640625" customWidth="1"/>
    <col min="7" max="7" width="15.54296875" customWidth="1"/>
    <col min="10" max="10" width="10" customWidth="1"/>
    <col min="11" max="11" width="9.26953125" bestFit="1" customWidth="1"/>
    <col min="12" max="12" width="15.81640625" bestFit="1" customWidth="1"/>
  </cols>
  <sheetData>
    <row r="1" spans="1:12" x14ac:dyDescent="0.35">
      <c r="A1" s="13" t="s">
        <v>1</v>
      </c>
      <c r="B1" s="14">
        <v>20</v>
      </c>
      <c r="F1" s="3" t="s">
        <v>26</v>
      </c>
    </row>
    <row r="2" spans="1:12" x14ac:dyDescent="0.35">
      <c r="A2" s="15" t="s">
        <v>2</v>
      </c>
      <c r="B2" s="16">
        <v>5</v>
      </c>
      <c r="F2" s="24" t="s">
        <v>29</v>
      </c>
      <c r="G2" s="25"/>
      <c r="H2" s="25" t="s">
        <v>27</v>
      </c>
    </row>
    <row r="3" spans="1:12" ht="15" thickBot="1" x14ac:dyDescent="0.4">
      <c r="A3" s="17" t="s">
        <v>3</v>
      </c>
      <c r="B3" s="18">
        <f>+B2/B1</f>
        <v>0.25</v>
      </c>
      <c r="F3" s="24" t="s">
        <v>39</v>
      </c>
      <c r="G3" s="25"/>
      <c r="H3" s="25" t="s">
        <v>40</v>
      </c>
    </row>
    <row r="5" spans="1:12" x14ac:dyDescent="0.35">
      <c r="E5" s="20" t="s">
        <v>37</v>
      </c>
      <c r="J5" s="20" t="s">
        <v>38</v>
      </c>
    </row>
    <row r="6" spans="1:12" ht="29" x14ac:dyDescent="0.35">
      <c r="A6" s="3" t="s">
        <v>0</v>
      </c>
      <c r="B6" s="23" t="s">
        <v>34</v>
      </c>
      <c r="C6" s="23" t="s">
        <v>30</v>
      </c>
      <c r="D6" s="23"/>
      <c r="E6" s="23" t="s">
        <v>36</v>
      </c>
      <c r="F6" s="23" t="s">
        <v>32</v>
      </c>
      <c r="G6" s="22" t="s">
        <v>51</v>
      </c>
      <c r="H6" s="3"/>
      <c r="I6" s="3"/>
      <c r="J6" s="23" t="s">
        <v>35</v>
      </c>
      <c r="K6" s="23" t="s">
        <v>32</v>
      </c>
      <c r="L6" s="23" t="s">
        <v>33</v>
      </c>
    </row>
    <row r="7" spans="1:12" x14ac:dyDescent="0.35">
      <c r="A7">
        <v>1</v>
      </c>
      <c r="B7" t="s">
        <v>4</v>
      </c>
      <c r="C7" s="2">
        <v>1.62</v>
      </c>
      <c r="D7" s="2"/>
      <c r="E7">
        <f ca="1">RANDBETWEEN(1,20)</f>
        <v>11</v>
      </c>
      <c r="F7" t="str">
        <f ca="1">_xlfn.XLOOKUP(E7,$A$7:$A$26,$B$7:$B$26)</f>
        <v>Giuseppe</v>
      </c>
      <c r="G7">
        <f ca="1">_xlfn.XLOOKUP(E7,$A$7:$A$26,$C$7:$C$26)</f>
        <v>1.8</v>
      </c>
      <c r="J7">
        <v>12</v>
      </c>
      <c r="K7" t="str">
        <f>_xlfn.XLOOKUP(J7,$A$7:$A$26,$B$7:$B$26,0,TRUE)</f>
        <v>Pino</v>
      </c>
      <c r="L7">
        <f>_xlfn.XLOOKUP(J7,A7:A26,$C$7:$C$26,0,TRUE)</f>
        <v>1.78</v>
      </c>
    </row>
    <row r="8" spans="1:12" x14ac:dyDescent="0.35">
      <c r="A8">
        <v>2</v>
      </c>
      <c r="B8" t="s">
        <v>5</v>
      </c>
      <c r="C8" s="2">
        <v>1.78</v>
      </c>
      <c r="D8" s="2"/>
      <c r="E8">
        <f t="shared" ref="E8:E11" ca="1" si="0">RANDBETWEEN(1,20)</f>
        <v>10</v>
      </c>
      <c r="F8" t="str">
        <f t="shared" ref="F8:F11" ca="1" si="1">_xlfn.XLOOKUP(E8,$A$7:$A$26,$B$7:$B$26)</f>
        <v>Sofia</v>
      </c>
      <c r="G8">
        <f t="shared" ref="G8:G11" ca="1" si="2">_xlfn.XLOOKUP(E8,$A$7:$A$26,$C$7:$C$26)</f>
        <v>1.58</v>
      </c>
      <c r="J8">
        <v>10</v>
      </c>
      <c r="K8" t="str">
        <f t="shared" ref="K8:K11" si="3">_xlfn.XLOOKUP(J8,$A$7:$A$26,$B$7:$B$26,0,TRUE)</f>
        <v>Sofia</v>
      </c>
      <c r="L8">
        <f t="shared" ref="L8:L11" si="4">_xlfn.XLOOKUP(J8,A8:A27,$C$7:$C$26,0,TRUE)</f>
        <v>1.71</v>
      </c>
    </row>
    <row r="9" spans="1:12" x14ac:dyDescent="0.35">
      <c r="A9">
        <v>3</v>
      </c>
      <c r="B9" t="s">
        <v>6</v>
      </c>
      <c r="C9" s="2">
        <v>1.65</v>
      </c>
      <c r="D9" s="2"/>
      <c r="E9">
        <f t="shared" ca="1" si="0"/>
        <v>1</v>
      </c>
      <c r="F9" t="str">
        <f t="shared" ca="1" si="1"/>
        <v>Anna</v>
      </c>
      <c r="G9">
        <f t="shared" ca="1" si="2"/>
        <v>1.62</v>
      </c>
      <c r="J9">
        <v>18</v>
      </c>
      <c r="K9" t="str">
        <f t="shared" si="3"/>
        <v>Giorgio</v>
      </c>
      <c r="L9">
        <f t="shared" si="4"/>
        <v>1.72</v>
      </c>
    </row>
    <row r="10" spans="1:12" x14ac:dyDescent="0.35">
      <c r="A10">
        <v>4</v>
      </c>
      <c r="B10" t="s">
        <v>7</v>
      </c>
      <c r="C10" s="2">
        <v>1.85</v>
      </c>
      <c r="D10" s="2"/>
      <c r="E10">
        <f t="shared" ca="1" si="0"/>
        <v>19</v>
      </c>
      <c r="F10" t="str">
        <f t="shared" ca="1" si="1"/>
        <v>Paolo</v>
      </c>
      <c r="G10">
        <f t="shared" ca="1" si="2"/>
        <v>1.69</v>
      </c>
      <c r="J10">
        <v>13</v>
      </c>
      <c r="K10" t="str">
        <f t="shared" si="3"/>
        <v>Rosa</v>
      </c>
      <c r="L10">
        <f t="shared" si="4"/>
        <v>1.58</v>
      </c>
    </row>
    <row r="11" spans="1:12" x14ac:dyDescent="0.35">
      <c r="A11">
        <v>5</v>
      </c>
      <c r="B11" t="s">
        <v>8</v>
      </c>
      <c r="C11" s="2">
        <v>1.61</v>
      </c>
      <c r="D11" s="2"/>
      <c r="E11">
        <f t="shared" ca="1" si="0"/>
        <v>11</v>
      </c>
      <c r="F11" t="str">
        <f t="shared" ca="1" si="1"/>
        <v>Giuseppe</v>
      </c>
      <c r="G11">
        <f t="shared" ca="1" si="2"/>
        <v>1.8</v>
      </c>
      <c r="J11">
        <v>1</v>
      </c>
      <c r="K11" t="str">
        <f t="shared" si="3"/>
        <v>Anna</v>
      </c>
      <c r="L11">
        <f t="shared" si="4"/>
        <v>1.62</v>
      </c>
    </row>
    <row r="12" spans="1:12" x14ac:dyDescent="0.35">
      <c r="A12">
        <v>6</v>
      </c>
      <c r="B12" t="s">
        <v>9</v>
      </c>
      <c r="C12" s="2">
        <v>1.55</v>
      </c>
      <c r="D12" s="2"/>
    </row>
    <row r="13" spans="1:12" x14ac:dyDescent="0.35">
      <c r="A13">
        <v>7</v>
      </c>
      <c r="B13" t="s">
        <v>10</v>
      </c>
      <c r="C13" s="2">
        <v>1.81</v>
      </c>
      <c r="D13" s="2"/>
    </row>
    <row r="14" spans="1:12" x14ac:dyDescent="0.35">
      <c r="A14">
        <v>8</v>
      </c>
      <c r="B14" t="s">
        <v>11</v>
      </c>
      <c r="C14" s="2">
        <v>1.95</v>
      </c>
      <c r="D14" s="2"/>
    </row>
    <row r="15" spans="1:12" x14ac:dyDescent="0.35">
      <c r="A15">
        <v>9</v>
      </c>
      <c r="B15" t="s">
        <v>12</v>
      </c>
      <c r="C15" s="2">
        <v>1.71</v>
      </c>
      <c r="D15" s="2"/>
    </row>
    <row r="16" spans="1:12" x14ac:dyDescent="0.35">
      <c r="A16">
        <v>10</v>
      </c>
      <c r="B16" t="s">
        <v>13</v>
      </c>
      <c r="C16" s="2">
        <v>1.58</v>
      </c>
      <c r="D16" s="2"/>
    </row>
    <row r="17" spans="1:4" x14ac:dyDescent="0.35">
      <c r="A17">
        <v>11</v>
      </c>
      <c r="B17" t="s">
        <v>16</v>
      </c>
      <c r="C17" s="2">
        <v>1.8</v>
      </c>
      <c r="D17" s="2"/>
    </row>
    <row r="18" spans="1:4" x14ac:dyDescent="0.35">
      <c r="A18">
        <v>12</v>
      </c>
      <c r="B18" t="s">
        <v>17</v>
      </c>
      <c r="C18" s="2">
        <v>1.78</v>
      </c>
      <c r="D18" s="2"/>
    </row>
    <row r="19" spans="1:4" x14ac:dyDescent="0.35">
      <c r="A19">
        <v>13</v>
      </c>
      <c r="B19" t="s">
        <v>25</v>
      </c>
      <c r="C19" s="2">
        <v>1.56</v>
      </c>
      <c r="D19" s="2"/>
    </row>
    <row r="20" spans="1:4" x14ac:dyDescent="0.35">
      <c r="A20">
        <v>14</v>
      </c>
      <c r="B20" t="s">
        <v>18</v>
      </c>
      <c r="C20" s="2">
        <v>1.61</v>
      </c>
      <c r="D20" s="2"/>
    </row>
    <row r="21" spans="1:4" x14ac:dyDescent="0.35">
      <c r="A21">
        <v>15</v>
      </c>
      <c r="B21" t="s">
        <v>19</v>
      </c>
      <c r="C21" s="2">
        <v>1.91</v>
      </c>
      <c r="D21" s="2"/>
    </row>
    <row r="22" spans="1:4" x14ac:dyDescent="0.35">
      <c r="A22">
        <v>16</v>
      </c>
      <c r="B22" t="s">
        <v>20</v>
      </c>
      <c r="C22" s="2">
        <v>1.72</v>
      </c>
      <c r="D22" s="2"/>
    </row>
    <row r="23" spans="1:4" x14ac:dyDescent="0.35">
      <c r="A23">
        <v>17</v>
      </c>
      <c r="B23" t="s">
        <v>21</v>
      </c>
      <c r="C23" s="2">
        <v>1.63</v>
      </c>
      <c r="D23" s="2"/>
    </row>
    <row r="24" spans="1:4" x14ac:dyDescent="0.35">
      <c r="A24">
        <v>18</v>
      </c>
      <c r="B24" t="s">
        <v>22</v>
      </c>
      <c r="C24" s="2">
        <v>1.67</v>
      </c>
      <c r="D24" s="2"/>
    </row>
    <row r="25" spans="1:4" x14ac:dyDescent="0.35">
      <c r="A25">
        <v>19</v>
      </c>
      <c r="B25" t="s">
        <v>23</v>
      </c>
      <c r="C25" s="2">
        <v>1.69</v>
      </c>
      <c r="D25" s="2"/>
    </row>
    <row r="26" spans="1:4" x14ac:dyDescent="0.35">
      <c r="A26">
        <v>20</v>
      </c>
      <c r="B26" t="s">
        <v>24</v>
      </c>
      <c r="C26" s="2">
        <v>1.51</v>
      </c>
      <c r="D2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46D9A-0FE6-4835-BDD5-248D44DB9FB8}">
  <dimension ref="A1:N26"/>
  <sheetViews>
    <sheetView workbookViewId="0">
      <selection activeCell="H13" sqref="H13"/>
    </sheetView>
  </sheetViews>
  <sheetFormatPr defaultRowHeight="14.5" x14ac:dyDescent="0.35"/>
  <cols>
    <col min="5" max="5" width="10.90625" customWidth="1"/>
    <col min="6" max="6" width="11.54296875" customWidth="1"/>
    <col min="9" max="9" width="17.453125" bestFit="1" customWidth="1"/>
    <col min="10" max="10" width="11.81640625" customWidth="1"/>
  </cols>
  <sheetData>
    <row r="1" spans="1:14" x14ac:dyDescent="0.35">
      <c r="A1" s="13" t="s">
        <v>1</v>
      </c>
      <c r="B1" s="14">
        <v>20</v>
      </c>
      <c r="E1" s="13" t="s">
        <v>49</v>
      </c>
      <c r="F1" s="26">
        <f>INT(B1/B2)</f>
        <v>4</v>
      </c>
      <c r="I1" s="3" t="s">
        <v>26</v>
      </c>
      <c r="J1" s="24" t="s">
        <v>52</v>
      </c>
      <c r="K1" s="25" t="s">
        <v>53</v>
      </c>
      <c r="L1" s="25"/>
      <c r="M1" s="25"/>
      <c r="N1" s="25"/>
    </row>
    <row r="2" spans="1:14" ht="15" thickBot="1" x14ac:dyDescent="0.4">
      <c r="A2" s="15" t="s">
        <v>2</v>
      </c>
      <c r="B2" s="16">
        <v>5</v>
      </c>
      <c r="E2" s="17" t="s">
        <v>50</v>
      </c>
      <c r="F2" s="27">
        <f ca="1">RANDBETWEEN(1,F1)</f>
        <v>3</v>
      </c>
    </row>
    <row r="3" spans="1:14" ht="15" thickBot="1" x14ac:dyDescent="0.4">
      <c r="A3" s="17" t="s">
        <v>3</v>
      </c>
      <c r="B3" s="18">
        <f>+B2/B1</f>
        <v>0.25</v>
      </c>
    </row>
    <row r="4" spans="1:14" x14ac:dyDescent="0.35">
      <c r="A4" s="3"/>
      <c r="B4" s="19"/>
    </row>
    <row r="5" spans="1:14" x14ac:dyDescent="0.35">
      <c r="B5" s="1"/>
    </row>
    <row r="6" spans="1:14" ht="43.5" x14ac:dyDescent="0.35">
      <c r="A6" s="3" t="s">
        <v>0</v>
      </c>
      <c r="B6" s="3"/>
      <c r="C6" s="22" t="s">
        <v>14</v>
      </c>
      <c r="E6" s="23" t="s">
        <v>31</v>
      </c>
      <c r="F6" s="23" t="s">
        <v>32</v>
      </c>
      <c r="G6" s="22" t="s">
        <v>51</v>
      </c>
    </row>
    <row r="7" spans="1:14" x14ac:dyDescent="0.35">
      <c r="A7">
        <v>1</v>
      </c>
      <c r="B7" t="s">
        <v>4</v>
      </c>
      <c r="C7" s="2">
        <v>1.62</v>
      </c>
      <c r="E7">
        <f ca="1">+F2</f>
        <v>3</v>
      </c>
      <c r="F7" t="str">
        <f ca="1">_xlfn.XLOOKUP(E7,$A$7:$A$26,$B$7:$B$26)</f>
        <v>Veronica</v>
      </c>
      <c r="G7" s="2">
        <f ca="1">_xlfn.XLOOKUP(E7,$A$7:$A$26,$C$7:$C$26)</f>
        <v>1.65</v>
      </c>
    </row>
    <row r="8" spans="1:14" x14ac:dyDescent="0.35">
      <c r="A8">
        <v>2</v>
      </c>
      <c r="B8" t="s">
        <v>5</v>
      </c>
      <c r="C8" s="2">
        <v>1.78</v>
      </c>
      <c r="E8">
        <f ca="1">+F2+F1</f>
        <v>7</v>
      </c>
      <c r="F8" t="str">
        <f t="shared" ref="F8:F11" ca="1" si="0">_xlfn.XLOOKUP(E8,$A$7:$A$26,$B$7:$B$26)</f>
        <v>Lorenzo</v>
      </c>
      <c r="G8" s="2">
        <f t="shared" ref="G8:G11" ca="1" si="1">_xlfn.XLOOKUP(E8,$A$7:$A$26,$C$7:$C$26)</f>
        <v>1.81</v>
      </c>
    </row>
    <row r="9" spans="1:14" x14ac:dyDescent="0.35">
      <c r="A9">
        <v>3</v>
      </c>
      <c r="B9" t="s">
        <v>6</v>
      </c>
      <c r="C9" s="2">
        <v>1.65</v>
      </c>
      <c r="E9">
        <f ca="1">+E8+F1</f>
        <v>11</v>
      </c>
      <c r="F9" t="str">
        <f t="shared" ca="1" si="0"/>
        <v>Giuseppe</v>
      </c>
      <c r="G9" s="2">
        <f t="shared" ca="1" si="1"/>
        <v>1.8</v>
      </c>
    </row>
    <row r="10" spans="1:14" x14ac:dyDescent="0.35">
      <c r="A10">
        <v>4</v>
      </c>
      <c r="B10" t="s">
        <v>7</v>
      </c>
      <c r="C10" s="2">
        <v>1.85</v>
      </c>
      <c r="E10">
        <f ca="1">+E9+F1</f>
        <v>15</v>
      </c>
      <c r="F10" t="str">
        <f t="shared" ca="1" si="0"/>
        <v>Mario</v>
      </c>
      <c r="G10" s="2">
        <f t="shared" ca="1" si="1"/>
        <v>1.91</v>
      </c>
    </row>
    <row r="11" spans="1:14" x14ac:dyDescent="0.35">
      <c r="A11">
        <v>5</v>
      </c>
      <c r="B11" t="s">
        <v>8</v>
      </c>
      <c r="C11" s="2">
        <v>1.61</v>
      </c>
      <c r="E11">
        <f ca="1">+E10+F1</f>
        <v>19</v>
      </c>
      <c r="F11" t="str">
        <f t="shared" ca="1" si="0"/>
        <v>Paolo</v>
      </c>
      <c r="G11" s="2">
        <f t="shared" ca="1" si="1"/>
        <v>1.69</v>
      </c>
    </row>
    <row r="12" spans="1:14" x14ac:dyDescent="0.35">
      <c r="A12">
        <v>6</v>
      </c>
      <c r="B12" t="s">
        <v>9</v>
      </c>
      <c r="C12" s="2">
        <v>1.55</v>
      </c>
    </row>
    <row r="13" spans="1:14" x14ac:dyDescent="0.35">
      <c r="A13">
        <v>7</v>
      </c>
      <c r="B13" t="s">
        <v>10</v>
      </c>
      <c r="C13" s="2">
        <v>1.81</v>
      </c>
    </row>
    <row r="14" spans="1:14" x14ac:dyDescent="0.35">
      <c r="A14">
        <v>8</v>
      </c>
      <c r="B14" t="s">
        <v>11</v>
      </c>
      <c r="C14" s="2">
        <v>1.95</v>
      </c>
    </row>
    <row r="15" spans="1:14" x14ac:dyDescent="0.35">
      <c r="A15">
        <v>9</v>
      </c>
      <c r="B15" t="s">
        <v>12</v>
      </c>
      <c r="C15" s="2">
        <v>1.71</v>
      </c>
    </row>
    <row r="16" spans="1:14" x14ac:dyDescent="0.35">
      <c r="A16">
        <v>10</v>
      </c>
      <c r="B16" t="s">
        <v>13</v>
      </c>
      <c r="C16" s="2">
        <v>1.58</v>
      </c>
    </row>
    <row r="17" spans="1:3" x14ac:dyDescent="0.35">
      <c r="A17">
        <v>11</v>
      </c>
      <c r="B17" t="s">
        <v>16</v>
      </c>
      <c r="C17" s="2">
        <v>1.8</v>
      </c>
    </row>
    <row r="18" spans="1:3" x14ac:dyDescent="0.35">
      <c r="A18">
        <v>12</v>
      </c>
      <c r="B18" t="s">
        <v>17</v>
      </c>
      <c r="C18" s="2">
        <v>1.78</v>
      </c>
    </row>
    <row r="19" spans="1:3" x14ac:dyDescent="0.35">
      <c r="A19">
        <v>13</v>
      </c>
      <c r="B19" t="s">
        <v>25</v>
      </c>
      <c r="C19" s="2">
        <v>1.56</v>
      </c>
    </row>
    <row r="20" spans="1:3" x14ac:dyDescent="0.35">
      <c r="A20">
        <v>14</v>
      </c>
      <c r="B20" t="s">
        <v>18</v>
      </c>
      <c r="C20" s="2">
        <v>1.61</v>
      </c>
    </row>
    <row r="21" spans="1:3" x14ac:dyDescent="0.35">
      <c r="A21">
        <v>15</v>
      </c>
      <c r="B21" t="s">
        <v>19</v>
      </c>
      <c r="C21" s="2">
        <v>1.91</v>
      </c>
    </row>
    <row r="22" spans="1:3" x14ac:dyDescent="0.35">
      <c r="A22">
        <v>16</v>
      </c>
      <c r="B22" t="s">
        <v>20</v>
      </c>
      <c r="C22" s="2">
        <v>1.72</v>
      </c>
    </row>
    <row r="23" spans="1:3" x14ac:dyDescent="0.35">
      <c r="A23">
        <v>17</v>
      </c>
      <c r="B23" t="s">
        <v>21</v>
      </c>
      <c r="C23" s="2">
        <v>1.63</v>
      </c>
    </row>
    <row r="24" spans="1:3" x14ac:dyDescent="0.35">
      <c r="A24">
        <v>18</v>
      </c>
      <c r="B24" t="s">
        <v>22</v>
      </c>
      <c r="C24" s="2">
        <v>1.67</v>
      </c>
    </row>
    <row r="25" spans="1:3" x14ac:dyDescent="0.35">
      <c r="A25">
        <v>19</v>
      </c>
      <c r="B25" t="s">
        <v>23</v>
      </c>
      <c r="C25" s="2">
        <v>1.69</v>
      </c>
    </row>
    <row r="26" spans="1:3" x14ac:dyDescent="0.35">
      <c r="A26">
        <v>20</v>
      </c>
      <c r="B26" t="s">
        <v>24</v>
      </c>
      <c r="C26" s="2">
        <v>1.51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CAF96-D16A-49D8-B89E-28A668EE2F29}">
  <dimension ref="A1:Q26"/>
  <sheetViews>
    <sheetView workbookViewId="0">
      <selection activeCell="E20" sqref="E20"/>
    </sheetView>
  </sheetViews>
  <sheetFormatPr defaultRowHeight="14.5" x14ac:dyDescent="0.35"/>
  <cols>
    <col min="6" max="6" width="10.1796875" bestFit="1" customWidth="1"/>
    <col min="8" max="9" width="10.6328125" bestFit="1" customWidth="1"/>
    <col min="11" max="11" width="10.90625" customWidth="1"/>
    <col min="12" max="12" width="11.453125" customWidth="1"/>
    <col min="14" max="14" width="11.54296875" customWidth="1"/>
    <col min="15" max="15" width="7.36328125" customWidth="1"/>
  </cols>
  <sheetData>
    <row r="1" spans="1:17" x14ac:dyDescent="0.35">
      <c r="A1" s="13" t="s">
        <v>1</v>
      </c>
      <c r="B1" s="14">
        <v>20</v>
      </c>
      <c r="C1" s="29"/>
      <c r="D1" s="29"/>
      <c r="E1" s="13" t="s">
        <v>54</v>
      </c>
      <c r="F1" s="26">
        <v>2</v>
      </c>
      <c r="G1" s="29" t="s">
        <v>55</v>
      </c>
      <c r="H1" s="29"/>
      <c r="I1" s="29"/>
      <c r="J1" s="30" t="s">
        <v>62</v>
      </c>
      <c r="K1" s="29"/>
      <c r="L1" s="13" t="s">
        <v>64</v>
      </c>
      <c r="M1" s="29">
        <f>+F2/B1</f>
        <v>0.55000000000000004</v>
      </c>
      <c r="N1" s="13" t="s">
        <v>70</v>
      </c>
      <c r="O1" s="26">
        <f>+ROUND(B3*F2,0)</f>
        <v>3</v>
      </c>
    </row>
    <row r="2" spans="1:17" ht="15" thickBot="1" x14ac:dyDescent="0.4">
      <c r="A2" s="15" t="s">
        <v>2</v>
      </c>
      <c r="B2" s="16">
        <v>5</v>
      </c>
      <c r="C2" s="3"/>
      <c r="D2" s="3"/>
      <c r="E2" s="15" t="s">
        <v>59</v>
      </c>
      <c r="F2" s="31">
        <v>11</v>
      </c>
      <c r="G2" s="3" t="s">
        <v>67</v>
      </c>
      <c r="H2" s="3"/>
      <c r="I2" s="3"/>
      <c r="J2" s="32" t="s">
        <v>63</v>
      </c>
      <c r="K2" s="3"/>
      <c r="L2" s="15" t="s">
        <v>65</v>
      </c>
      <c r="M2" s="3">
        <f>+F3/B1</f>
        <v>0.45</v>
      </c>
      <c r="N2" s="15" t="s">
        <v>71</v>
      </c>
      <c r="O2" s="31">
        <f>+ROUND(B3*F3,0)</f>
        <v>2</v>
      </c>
    </row>
    <row r="3" spans="1:17" ht="15" thickBot="1" x14ac:dyDescent="0.4">
      <c r="A3" s="17" t="s">
        <v>3</v>
      </c>
      <c r="B3" s="18">
        <f>+B2/B1</f>
        <v>0.25</v>
      </c>
      <c r="C3" s="33"/>
      <c r="D3" s="33"/>
      <c r="E3" s="17" t="s">
        <v>61</v>
      </c>
      <c r="F3" s="27">
        <v>9</v>
      </c>
      <c r="G3" s="33" t="s">
        <v>68</v>
      </c>
      <c r="H3" s="33"/>
      <c r="I3" s="33"/>
      <c r="J3" s="33" t="s">
        <v>69</v>
      </c>
      <c r="K3" s="33"/>
      <c r="L3" s="17" t="s">
        <v>66</v>
      </c>
      <c r="M3" s="34">
        <f>+M1+M2</f>
        <v>1</v>
      </c>
      <c r="N3" s="17" t="s">
        <v>72</v>
      </c>
      <c r="O3" s="27">
        <f>+O1+O2</f>
        <v>5</v>
      </c>
    </row>
    <row r="5" spans="1:17" ht="15" thickBot="1" x14ac:dyDescent="0.4"/>
    <row r="6" spans="1:17" ht="29.5" thickBot="1" x14ac:dyDescent="0.4">
      <c r="A6" s="28" t="s">
        <v>0</v>
      </c>
      <c r="B6" s="28"/>
      <c r="C6" s="23" t="s">
        <v>14</v>
      </c>
      <c r="D6" s="23"/>
      <c r="E6" s="28" t="s">
        <v>58</v>
      </c>
      <c r="F6" s="28" t="s">
        <v>56</v>
      </c>
      <c r="G6" s="23" t="s">
        <v>14</v>
      </c>
      <c r="H6" s="23" t="s">
        <v>60</v>
      </c>
      <c r="I6" s="28" t="s">
        <v>57</v>
      </c>
      <c r="J6" s="23" t="s">
        <v>14</v>
      </c>
      <c r="L6" s="35" t="s">
        <v>73</v>
      </c>
      <c r="M6" s="36"/>
      <c r="N6" s="36"/>
      <c r="O6" s="36"/>
      <c r="P6" s="43" t="s">
        <v>80</v>
      </c>
      <c r="Q6" s="37"/>
    </row>
    <row r="7" spans="1:17" ht="16.5" x14ac:dyDescent="0.45">
      <c r="A7">
        <v>1</v>
      </c>
      <c r="B7" t="s">
        <v>4</v>
      </c>
      <c r="C7" s="2">
        <v>1.62</v>
      </c>
      <c r="D7" s="2"/>
      <c r="E7">
        <v>1</v>
      </c>
      <c r="F7" t="s">
        <v>4</v>
      </c>
      <c r="G7" s="2">
        <v>1.62</v>
      </c>
      <c r="H7">
        <v>1</v>
      </c>
      <c r="I7" t="s">
        <v>5</v>
      </c>
      <c r="J7" s="2">
        <v>1.78</v>
      </c>
      <c r="L7" s="9">
        <f ca="1">RANDBETWEEN(1,11)</f>
        <v>3</v>
      </c>
      <c r="M7" t="str">
        <f ca="1">_xlfn.XLOOKUP(L7,$E$7:$E$17,$F$7:$F$17,0,TRUE)</f>
        <v>Vittoria</v>
      </c>
      <c r="N7">
        <f ca="1">_xlfn.XLOOKUP(L7,$E$7:$E$17,$G$7:$G$17,0,TRUE)</f>
        <v>1.61</v>
      </c>
      <c r="P7" s="25" t="s">
        <v>78</v>
      </c>
      <c r="Q7" s="39">
        <f ca="1">AVERAGE(N7:N9)</f>
        <v>1.6233333333333333</v>
      </c>
    </row>
    <row r="8" spans="1:17" ht="17.5" x14ac:dyDescent="0.45">
      <c r="A8">
        <v>2</v>
      </c>
      <c r="B8" t="s">
        <v>5</v>
      </c>
      <c r="C8" s="2">
        <v>1.78</v>
      </c>
      <c r="D8" s="2"/>
      <c r="E8">
        <v>2</v>
      </c>
      <c r="F8" t="s">
        <v>6</v>
      </c>
      <c r="G8" s="2">
        <v>1.65</v>
      </c>
      <c r="H8">
        <v>2</v>
      </c>
      <c r="I8" t="s">
        <v>7</v>
      </c>
      <c r="J8" s="2">
        <v>1.85</v>
      </c>
      <c r="L8" s="9">
        <f t="shared" ref="L8:L9" ca="1" si="0">RANDBETWEEN(1,11)</f>
        <v>10</v>
      </c>
      <c r="M8" t="str">
        <f t="shared" ref="M8:M9" ca="1" si="1">_xlfn.XLOOKUP(L8,$E$7:$E$17,$F$7:$F$17,0,TRUE)</f>
        <v>Antonella</v>
      </c>
      <c r="N8">
        <f t="shared" ref="N8:N9" ca="1" si="2">_xlfn.XLOOKUP(L8,$E$7:$E$17,$G$7:$G$17,0,TRUE)</f>
        <v>1.63</v>
      </c>
      <c r="P8" s="25" t="s">
        <v>81</v>
      </c>
      <c r="Q8" s="40">
        <f ca="1">_xlfn.VAR.S(N7:N9)</f>
        <v>1.333333333333306E-4</v>
      </c>
    </row>
    <row r="9" spans="1:17" ht="15" thickBot="1" x14ac:dyDescent="0.4">
      <c r="A9">
        <v>3</v>
      </c>
      <c r="B9" t="s">
        <v>6</v>
      </c>
      <c r="C9" s="2">
        <v>1.65</v>
      </c>
      <c r="D9" s="2"/>
      <c r="E9">
        <v>3</v>
      </c>
      <c r="F9" t="s">
        <v>8</v>
      </c>
      <c r="G9" s="2">
        <v>1.61</v>
      </c>
      <c r="H9">
        <v>3</v>
      </c>
      <c r="I9" t="s">
        <v>10</v>
      </c>
      <c r="J9" s="2">
        <v>1.81</v>
      </c>
      <c r="L9" s="11">
        <f t="shared" ca="1" si="0"/>
        <v>10</v>
      </c>
      <c r="M9" s="4" t="str">
        <f t="shared" ca="1" si="1"/>
        <v>Antonella</v>
      </c>
      <c r="N9" s="4">
        <f t="shared" ca="1" si="2"/>
        <v>1.63</v>
      </c>
      <c r="O9" s="4"/>
      <c r="P9" s="41"/>
      <c r="Q9" s="42"/>
    </row>
    <row r="10" spans="1:17" ht="15" thickBot="1" x14ac:dyDescent="0.4">
      <c r="A10">
        <v>4</v>
      </c>
      <c r="B10" t="s">
        <v>7</v>
      </c>
      <c r="C10" s="2">
        <v>1.85</v>
      </c>
      <c r="D10" s="2"/>
      <c r="E10">
        <v>4</v>
      </c>
      <c r="F10" t="s">
        <v>9</v>
      </c>
      <c r="G10" s="2">
        <v>1.55</v>
      </c>
      <c r="H10">
        <v>4</v>
      </c>
      <c r="I10" t="s">
        <v>11</v>
      </c>
      <c r="J10" s="2">
        <v>1.95</v>
      </c>
      <c r="Q10" s="2"/>
    </row>
    <row r="11" spans="1:17" ht="17.5" customHeight="1" thickBot="1" x14ac:dyDescent="0.4">
      <c r="A11">
        <v>5</v>
      </c>
      <c r="B11" t="s">
        <v>8</v>
      </c>
      <c r="C11" s="2">
        <v>1.61</v>
      </c>
      <c r="D11" s="2"/>
      <c r="E11">
        <v>5</v>
      </c>
      <c r="F11" t="s">
        <v>12</v>
      </c>
      <c r="G11" s="2">
        <v>1.71</v>
      </c>
      <c r="H11">
        <v>5</v>
      </c>
      <c r="I11" t="s">
        <v>16</v>
      </c>
      <c r="J11" s="2">
        <v>1.8</v>
      </c>
      <c r="L11" s="35" t="s">
        <v>74</v>
      </c>
      <c r="M11" s="36"/>
      <c r="N11" s="36"/>
      <c r="O11" s="36"/>
      <c r="P11" s="43" t="s">
        <v>80</v>
      </c>
      <c r="Q11" s="38"/>
    </row>
    <row r="12" spans="1:17" ht="16.5" x14ac:dyDescent="0.45">
      <c r="A12">
        <v>6</v>
      </c>
      <c r="B12" t="s">
        <v>9</v>
      </c>
      <c r="C12" s="2">
        <v>1.55</v>
      </c>
      <c r="D12" s="2"/>
      <c r="E12">
        <v>6</v>
      </c>
      <c r="F12" t="s">
        <v>13</v>
      </c>
      <c r="G12" s="2">
        <v>1.58</v>
      </c>
      <c r="H12">
        <v>6</v>
      </c>
      <c r="I12" t="s">
        <v>17</v>
      </c>
      <c r="J12" s="2">
        <v>1.78</v>
      </c>
      <c r="L12" s="9">
        <f ca="1">RANDBETWEEN(1,9)</f>
        <v>6</v>
      </c>
      <c r="M12" t="str">
        <f ca="1">_xlfn.XLOOKUP(L12,$H$7:$H$15,$I$7:$I$15,0,TRUE)</f>
        <v>Pino</v>
      </c>
      <c r="N12">
        <f ca="1">_xlfn.XLOOKUP(L12,$H$7:$H$15,$J$7:$J$15,0,TRUE)</f>
        <v>1.78</v>
      </c>
      <c r="P12" s="25" t="s">
        <v>79</v>
      </c>
      <c r="Q12" s="39">
        <f ca="1">AVERAGE(N12,N13)</f>
        <v>1.665</v>
      </c>
    </row>
    <row r="13" spans="1:17" ht="17.5" x14ac:dyDescent="0.45">
      <c r="A13">
        <v>7</v>
      </c>
      <c r="B13" t="s">
        <v>10</v>
      </c>
      <c r="C13" s="2">
        <v>1.81</v>
      </c>
      <c r="D13" s="2"/>
      <c r="E13">
        <v>7</v>
      </c>
      <c r="F13" t="s">
        <v>25</v>
      </c>
      <c r="G13" s="2">
        <v>1.56</v>
      </c>
      <c r="H13">
        <v>7</v>
      </c>
      <c r="I13" t="s">
        <v>19</v>
      </c>
      <c r="J13" s="2">
        <v>1.91</v>
      </c>
      <c r="L13" s="9">
        <f ca="1">RANDBETWEEN(1,9)</f>
        <v>4</v>
      </c>
      <c r="M13" t="str">
        <f ca="1">_xlfn.XLOOKUP(L13,$H$7:$H$15,$I$7:$I$15,0,TRUE)</f>
        <v>Giovanni</v>
      </c>
      <c r="N13">
        <f ca="1">_xlfn.XLOOKUP(L13,$E$7:$E$17,$G$7:$G$17,0,TRUE)</f>
        <v>1.55</v>
      </c>
      <c r="P13" s="25" t="s">
        <v>82</v>
      </c>
      <c r="Q13" s="40">
        <f ca="1">_xlfn.VAR.S(N12:N13)</f>
        <v>2.6449999999999994E-2</v>
      </c>
    </row>
    <row r="14" spans="1:17" ht="15" thickBot="1" x14ac:dyDescent="0.4">
      <c r="A14">
        <v>8</v>
      </c>
      <c r="B14" t="s">
        <v>11</v>
      </c>
      <c r="C14" s="2">
        <v>1.95</v>
      </c>
      <c r="D14" s="2"/>
      <c r="E14">
        <v>8</v>
      </c>
      <c r="F14" t="s">
        <v>18</v>
      </c>
      <c r="G14" s="2">
        <v>1.61</v>
      </c>
      <c r="H14">
        <v>8</v>
      </c>
      <c r="I14" t="s">
        <v>22</v>
      </c>
      <c r="J14" s="2">
        <v>1.67</v>
      </c>
      <c r="L14" s="11"/>
      <c r="M14" s="4"/>
      <c r="N14" s="4"/>
      <c r="O14" s="4"/>
      <c r="P14" s="41"/>
      <c r="Q14" s="42"/>
    </row>
    <row r="15" spans="1:17" x14ac:dyDescent="0.35">
      <c r="A15">
        <v>9</v>
      </c>
      <c r="B15" t="s">
        <v>12</v>
      </c>
      <c r="C15" s="2">
        <v>1.71</v>
      </c>
      <c r="D15" s="2"/>
      <c r="E15">
        <v>9</v>
      </c>
      <c r="F15" t="s">
        <v>20</v>
      </c>
      <c r="G15" s="2">
        <v>1.72</v>
      </c>
      <c r="H15">
        <v>9</v>
      </c>
      <c r="I15" t="s">
        <v>23</v>
      </c>
      <c r="J15" s="2">
        <v>1.69</v>
      </c>
    </row>
    <row r="16" spans="1:17" ht="15" thickBot="1" x14ac:dyDescent="0.4">
      <c r="A16">
        <v>10</v>
      </c>
      <c r="B16" t="s">
        <v>13</v>
      </c>
      <c r="C16" s="2">
        <v>1.58</v>
      </c>
      <c r="D16" s="2"/>
      <c r="E16">
        <v>10</v>
      </c>
      <c r="F16" t="s">
        <v>21</v>
      </c>
      <c r="G16" s="2">
        <v>1.63</v>
      </c>
    </row>
    <row r="17" spans="1:14" x14ac:dyDescent="0.35">
      <c r="A17">
        <v>11</v>
      </c>
      <c r="B17" t="s">
        <v>16</v>
      </c>
      <c r="C17" s="2">
        <v>1.8</v>
      </c>
      <c r="D17" s="2"/>
      <c r="E17">
        <v>11</v>
      </c>
      <c r="F17" t="s">
        <v>24</v>
      </c>
      <c r="G17" s="2">
        <v>1.51</v>
      </c>
      <c r="L17" s="13" t="s">
        <v>75</v>
      </c>
      <c r="M17" s="7"/>
      <c r="N17" s="8"/>
    </row>
    <row r="18" spans="1:14" x14ac:dyDescent="0.35">
      <c r="A18">
        <v>12</v>
      </c>
      <c r="B18" t="s">
        <v>17</v>
      </c>
      <c r="C18" s="2">
        <v>1.78</v>
      </c>
      <c r="D18" s="2"/>
      <c r="L18" s="9">
        <f t="shared" ref="L18:N20" ca="1" si="3">+L7</f>
        <v>3</v>
      </c>
      <c r="M18" t="str">
        <f t="shared" ca="1" si="3"/>
        <v>Vittoria</v>
      </c>
      <c r="N18" s="10">
        <f t="shared" ca="1" si="3"/>
        <v>1.61</v>
      </c>
    </row>
    <row r="19" spans="1:14" x14ac:dyDescent="0.35">
      <c r="A19">
        <v>13</v>
      </c>
      <c r="B19" t="s">
        <v>25</v>
      </c>
      <c r="C19" s="2">
        <v>1.56</v>
      </c>
      <c r="D19" s="2"/>
      <c r="L19" s="9">
        <f t="shared" ca="1" si="3"/>
        <v>10</v>
      </c>
      <c r="M19" t="str">
        <f t="shared" ca="1" si="3"/>
        <v>Antonella</v>
      </c>
      <c r="N19" s="10">
        <f t="shared" ca="1" si="3"/>
        <v>1.63</v>
      </c>
    </row>
    <row r="20" spans="1:14" x14ac:dyDescent="0.35">
      <c r="A20">
        <v>14</v>
      </c>
      <c r="B20" t="s">
        <v>18</v>
      </c>
      <c r="C20" s="2">
        <v>1.61</v>
      </c>
      <c r="D20" s="2"/>
      <c r="L20" s="9">
        <f t="shared" ca="1" si="3"/>
        <v>10</v>
      </c>
      <c r="M20" t="str">
        <f t="shared" ca="1" si="3"/>
        <v>Antonella</v>
      </c>
      <c r="N20" s="10">
        <f t="shared" ca="1" si="3"/>
        <v>1.63</v>
      </c>
    </row>
    <row r="21" spans="1:14" x14ac:dyDescent="0.35">
      <c r="A21">
        <v>15</v>
      </c>
      <c r="B21" t="s">
        <v>19</v>
      </c>
      <c r="C21" s="2">
        <v>1.91</v>
      </c>
      <c r="D21" s="2"/>
      <c r="L21" s="9">
        <f t="shared" ref="L21:N22" ca="1" si="4">+L12</f>
        <v>6</v>
      </c>
      <c r="M21" t="str">
        <f t="shared" ca="1" si="4"/>
        <v>Pino</v>
      </c>
      <c r="N21" s="10">
        <f t="shared" ca="1" si="4"/>
        <v>1.78</v>
      </c>
    </row>
    <row r="22" spans="1:14" ht="15" thickBot="1" x14ac:dyDescent="0.4">
      <c r="A22">
        <v>16</v>
      </c>
      <c r="B22" t="s">
        <v>20</v>
      </c>
      <c r="C22" s="2">
        <v>1.72</v>
      </c>
      <c r="D22" s="2"/>
      <c r="L22" s="11">
        <f t="shared" ca="1" si="4"/>
        <v>4</v>
      </c>
      <c r="M22" s="4" t="str">
        <f t="shared" ca="1" si="4"/>
        <v>Giovanni</v>
      </c>
      <c r="N22" s="12">
        <f t="shared" ca="1" si="4"/>
        <v>1.55</v>
      </c>
    </row>
    <row r="23" spans="1:14" x14ac:dyDescent="0.35">
      <c r="A23">
        <v>17</v>
      </c>
      <c r="B23" t="s">
        <v>21</v>
      </c>
      <c r="C23" s="2">
        <v>1.63</v>
      </c>
      <c r="D23" s="2"/>
    </row>
    <row r="24" spans="1:14" x14ac:dyDescent="0.35">
      <c r="A24">
        <v>18</v>
      </c>
      <c r="B24" t="s">
        <v>22</v>
      </c>
      <c r="C24" s="2">
        <v>1.67</v>
      </c>
      <c r="D24" s="2"/>
      <c r="L24" t="s">
        <v>77</v>
      </c>
      <c r="M24" s="2">
        <f ca="1">+$M$1*Q7+$M$2*Q12</f>
        <v>1.6420833333333333</v>
      </c>
    </row>
    <row r="25" spans="1:14" x14ac:dyDescent="0.35">
      <c r="A25">
        <v>19</v>
      </c>
      <c r="B25" t="s">
        <v>23</v>
      </c>
      <c r="C25" s="2">
        <v>1.69</v>
      </c>
      <c r="D25" s="2"/>
      <c r="L25" t="s">
        <v>76</v>
      </c>
      <c r="M25" s="2">
        <f ca="1">SQRT(((M1^2)*(1-B3)*(Q8/O1))+((M2^2)*(1-B3)*(Q13/O2)))</f>
        <v>4.492916879192551E-2</v>
      </c>
    </row>
    <row r="26" spans="1:14" x14ac:dyDescent="0.35">
      <c r="A26">
        <v>20</v>
      </c>
      <c r="B26" t="s">
        <v>24</v>
      </c>
      <c r="C26" s="2">
        <v>1.51</v>
      </c>
      <c r="D26" s="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E9B7-5100-474A-A3F2-8AF25C31CB5B}">
  <dimension ref="A1:M32"/>
  <sheetViews>
    <sheetView workbookViewId="0">
      <selection activeCell="F17" sqref="F17"/>
    </sheetView>
  </sheetViews>
  <sheetFormatPr defaultRowHeight="14.5" x14ac:dyDescent="0.35"/>
  <cols>
    <col min="1" max="1" width="11.81640625" customWidth="1"/>
    <col min="2" max="2" width="8.90625" customWidth="1"/>
    <col min="3" max="3" width="10.26953125" customWidth="1"/>
    <col min="4" max="4" width="6.36328125" customWidth="1"/>
    <col min="5" max="5" width="16.81640625" bestFit="1" customWidth="1"/>
    <col min="6" max="6" width="16.36328125" bestFit="1" customWidth="1"/>
    <col min="7" max="7" width="2.7265625" customWidth="1"/>
    <col min="9" max="9" width="20.7265625" customWidth="1"/>
    <col min="10" max="10" width="7.81640625" hidden="1" customWidth="1"/>
    <col min="11" max="11" width="7.54296875" hidden="1" customWidth="1"/>
    <col min="12" max="12" width="0" hidden="1" customWidth="1"/>
    <col min="13" max="13" width="89.6328125" bestFit="1" customWidth="1"/>
  </cols>
  <sheetData>
    <row r="1" spans="1:13" x14ac:dyDescent="0.35">
      <c r="A1" t="s">
        <v>109</v>
      </c>
      <c r="B1">
        <v>3</v>
      </c>
      <c r="C1" s="77"/>
      <c r="D1" s="25"/>
      <c r="E1" s="25"/>
      <c r="F1" s="25"/>
    </row>
    <row r="2" spans="1:13" x14ac:dyDescent="0.35">
      <c r="A2" t="s">
        <v>110</v>
      </c>
      <c r="B2">
        <v>2</v>
      </c>
    </row>
    <row r="3" spans="1:13" x14ac:dyDescent="0.35">
      <c r="A3" t="s">
        <v>3</v>
      </c>
      <c r="B3" s="1">
        <f>+B2/B1</f>
        <v>0.66666666666666663</v>
      </c>
    </row>
    <row r="4" spans="1:13" ht="15" thickBot="1" x14ac:dyDescent="0.4"/>
    <row r="5" spans="1:13" ht="15" thickBot="1" x14ac:dyDescent="0.4">
      <c r="A5" s="35" t="s">
        <v>32</v>
      </c>
      <c r="B5" s="35" t="s">
        <v>83</v>
      </c>
      <c r="C5" s="54" t="s">
        <v>84</v>
      </c>
      <c r="D5" s="43" t="s">
        <v>85</v>
      </c>
      <c r="E5" s="54" t="s">
        <v>86</v>
      </c>
      <c r="F5" s="54" t="s">
        <v>87</v>
      </c>
      <c r="J5" s="44" t="s">
        <v>85</v>
      </c>
      <c r="K5" s="45" t="s">
        <v>86</v>
      </c>
      <c r="L5" s="45" t="s">
        <v>87</v>
      </c>
    </row>
    <row r="6" spans="1:13" x14ac:dyDescent="0.35">
      <c r="A6" s="9">
        <v>1</v>
      </c>
      <c r="B6" s="9">
        <v>1</v>
      </c>
      <c r="C6" s="46">
        <v>1</v>
      </c>
      <c r="D6" s="2">
        <f>+(B6+C6)/2</f>
        <v>1</v>
      </c>
      <c r="E6" s="47">
        <f>+((B6-D6)^2+(C6-D6)^2)/2</f>
        <v>0</v>
      </c>
      <c r="F6" s="47">
        <f>+((B6-D6)^2+(C6-D6)^2)/1</f>
        <v>0</v>
      </c>
      <c r="J6" s="48">
        <f>AVERAGE(B6:C6)</f>
        <v>1</v>
      </c>
      <c r="K6" s="47">
        <f>_xlfn.VAR.P(B6:C6)</f>
        <v>0</v>
      </c>
      <c r="L6" s="47">
        <f>_xlfn.VAR.S(B6:C6)</f>
        <v>0</v>
      </c>
    </row>
    <row r="7" spans="1:13" x14ac:dyDescent="0.35">
      <c r="A7" s="9">
        <v>2</v>
      </c>
      <c r="B7" s="9">
        <v>1</v>
      </c>
      <c r="C7" s="46">
        <v>2</v>
      </c>
      <c r="D7" s="2">
        <f t="shared" ref="D7:D14" si="0">+(B7+C7)/2</f>
        <v>1.5</v>
      </c>
      <c r="E7" s="47">
        <f t="shared" ref="E7:E14" si="1">+((B7-D7)^2+(C7-D7)^2)/2</f>
        <v>0.25</v>
      </c>
      <c r="F7" s="47">
        <f t="shared" ref="F7:F14" si="2">+((B7-D7)^2+(C7-D7)^2)/1</f>
        <v>0.5</v>
      </c>
      <c r="H7" t="s">
        <v>77</v>
      </c>
      <c r="I7" s="5" t="s">
        <v>88</v>
      </c>
      <c r="J7" s="48">
        <f t="shared" ref="J7:J14" si="3">AVERAGE(B7:C7)</f>
        <v>1.5</v>
      </c>
      <c r="K7" s="47">
        <f t="shared" ref="K7:K14" si="4">_xlfn.VAR.P(B7:C7)</f>
        <v>0.25</v>
      </c>
      <c r="L7" s="47">
        <f t="shared" ref="L7:L14" si="5">_xlfn.VAR.S(B7:C7)</f>
        <v>0.5</v>
      </c>
    </row>
    <row r="8" spans="1:13" x14ac:dyDescent="0.35">
      <c r="A8" s="9">
        <v>3</v>
      </c>
      <c r="B8" s="9">
        <v>1</v>
      </c>
      <c r="C8" s="46">
        <v>3</v>
      </c>
      <c r="D8" s="2">
        <f t="shared" si="0"/>
        <v>2</v>
      </c>
      <c r="E8" s="47">
        <f t="shared" si="1"/>
        <v>1</v>
      </c>
      <c r="F8" s="47">
        <f t="shared" si="2"/>
        <v>2</v>
      </c>
      <c r="H8" t="s">
        <v>89</v>
      </c>
      <c r="I8" s="5" t="s">
        <v>155</v>
      </c>
      <c r="J8" s="48">
        <f t="shared" si="3"/>
        <v>2</v>
      </c>
      <c r="K8" s="47">
        <f t="shared" si="4"/>
        <v>1</v>
      </c>
      <c r="L8" s="47">
        <f t="shared" si="5"/>
        <v>2</v>
      </c>
    </row>
    <row r="9" spans="1:13" x14ac:dyDescent="0.35">
      <c r="A9" s="9">
        <v>4</v>
      </c>
      <c r="B9" s="9">
        <v>2</v>
      </c>
      <c r="C9" s="46">
        <v>1</v>
      </c>
      <c r="D9" s="2">
        <f t="shared" si="0"/>
        <v>1.5</v>
      </c>
      <c r="E9" s="47">
        <f t="shared" si="1"/>
        <v>0.25</v>
      </c>
      <c r="F9" s="47">
        <f t="shared" si="2"/>
        <v>0.5</v>
      </c>
      <c r="H9" t="s">
        <v>90</v>
      </c>
      <c r="I9" s="5" t="s">
        <v>156</v>
      </c>
      <c r="J9" s="48">
        <f t="shared" si="3"/>
        <v>1.5</v>
      </c>
      <c r="K9" s="47">
        <f t="shared" si="4"/>
        <v>0.25</v>
      </c>
      <c r="L9" s="47">
        <f t="shared" si="5"/>
        <v>0.5</v>
      </c>
    </row>
    <row r="10" spans="1:13" x14ac:dyDescent="0.35">
      <c r="A10" s="9">
        <v>5</v>
      </c>
      <c r="B10" s="9">
        <v>2</v>
      </c>
      <c r="C10" s="46">
        <v>2</v>
      </c>
      <c r="D10" s="2">
        <f t="shared" si="0"/>
        <v>2</v>
      </c>
      <c r="E10" s="47">
        <f t="shared" si="1"/>
        <v>0</v>
      </c>
      <c r="F10" s="47">
        <f t="shared" si="2"/>
        <v>0</v>
      </c>
      <c r="J10" s="48">
        <f t="shared" si="3"/>
        <v>2</v>
      </c>
      <c r="K10" s="47">
        <f t="shared" si="4"/>
        <v>0</v>
      </c>
      <c r="L10" s="47">
        <f t="shared" si="5"/>
        <v>0</v>
      </c>
    </row>
    <row r="11" spans="1:13" x14ac:dyDescent="0.35">
      <c r="A11" s="9">
        <v>6</v>
      </c>
      <c r="B11" s="9">
        <v>2</v>
      </c>
      <c r="C11" s="46">
        <v>3</v>
      </c>
      <c r="D11" s="2">
        <f t="shared" si="0"/>
        <v>2.5</v>
      </c>
      <c r="E11" s="47">
        <f t="shared" si="1"/>
        <v>0.25</v>
      </c>
      <c r="F11" s="47">
        <f t="shared" si="2"/>
        <v>0.5</v>
      </c>
      <c r="J11" s="48">
        <f t="shared" si="3"/>
        <v>2.5</v>
      </c>
      <c r="K11" s="47">
        <f t="shared" si="4"/>
        <v>0.25</v>
      </c>
      <c r="L11" s="47">
        <f t="shared" si="5"/>
        <v>0.5</v>
      </c>
    </row>
    <row r="12" spans="1:13" x14ac:dyDescent="0.35">
      <c r="A12" s="9">
        <v>7</v>
      </c>
      <c r="B12" s="9">
        <v>3</v>
      </c>
      <c r="C12" s="46">
        <v>1</v>
      </c>
      <c r="D12" s="2">
        <f t="shared" si="0"/>
        <v>2</v>
      </c>
      <c r="E12" s="47">
        <f t="shared" si="1"/>
        <v>1</v>
      </c>
      <c r="F12" s="47">
        <f t="shared" si="2"/>
        <v>2</v>
      </c>
      <c r="J12" s="48">
        <f t="shared" si="3"/>
        <v>2</v>
      </c>
      <c r="K12" s="47">
        <f t="shared" si="4"/>
        <v>1</v>
      </c>
      <c r="L12" s="47">
        <f t="shared" si="5"/>
        <v>2</v>
      </c>
    </row>
    <row r="13" spans="1:13" x14ac:dyDescent="0.35">
      <c r="A13" s="9">
        <v>8</v>
      </c>
      <c r="B13" s="9">
        <v>3</v>
      </c>
      <c r="C13" s="46">
        <v>2</v>
      </c>
      <c r="D13" s="2">
        <f t="shared" si="0"/>
        <v>2.5</v>
      </c>
      <c r="E13" s="47">
        <f t="shared" si="1"/>
        <v>0.25</v>
      </c>
      <c r="F13" s="47">
        <f t="shared" si="2"/>
        <v>0.5</v>
      </c>
      <c r="J13" s="48">
        <f t="shared" si="3"/>
        <v>2.5</v>
      </c>
      <c r="K13" s="47">
        <f t="shared" si="4"/>
        <v>0.25</v>
      </c>
      <c r="L13" s="47">
        <f t="shared" si="5"/>
        <v>0.5</v>
      </c>
    </row>
    <row r="14" spans="1:13" ht="15" thickBot="1" x14ac:dyDescent="0.4">
      <c r="A14" s="11">
        <v>9</v>
      </c>
      <c r="B14" s="11">
        <v>3</v>
      </c>
      <c r="C14" s="49">
        <v>3</v>
      </c>
      <c r="D14" s="2">
        <f t="shared" si="0"/>
        <v>3</v>
      </c>
      <c r="E14" s="47">
        <f t="shared" si="1"/>
        <v>0</v>
      </c>
      <c r="F14" s="47">
        <f t="shared" si="2"/>
        <v>0</v>
      </c>
      <c r="J14" s="52">
        <f t="shared" si="3"/>
        <v>3</v>
      </c>
      <c r="K14" s="51">
        <f t="shared" si="4"/>
        <v>0</v>
      </c>
      <c r="L14" s="51">
        <f t="shared" si="5"/>
        <v>0</v>
      </c>
    </row>
    <row r="15" spans="1:13" ht="5.5" customHeight="1" x14ac:dyDescent="0.35">
      <c r="L15" s="47"/>
    </row>
    <row r="16" spans="1:13" x14ac:dyDescent="0.35">
      <c r="C16" s="81" t="s">
        <v>91</v>
      </c>
      <c r="D16" s="82">
        <f>SUM(D6:D14)/9</f>
        <v>2</v>
      </c>
      <c r="E16" s="82">
        <f>SUM(E6:E14)/9</f>
        <v>0.33333333333333331</v>
      </c>
      <c r="F16" s="99">
        <f>SUM(F6:F14)/9</f>
        <v>0.66666666666666663</v>
      </c>
      <c r="H16" t="s">
        <v>108</v>
      </c>
      <c r="I16" s="1">
        <f>SQRT((1-B3)*(F16/2))</f>
        <v>0.33333333333333337</v>
      </c>
      <c r="K16" s="2"/>
      <c r="L16" s="2"/>
      <c r="M16">
        <f>0.55*20</f>
        <v>11</v>
      </c>
    </row>
    <row r="17" spans="1:13" ht="15" thickBot="1" x14ac:dyDescent="0.4">
      <c r="C17" s="81"/>
      <c r="D17" s="81"/>
    </row>
    <row r="18" spans="1:13" ht="15" thickBot="1" x14ac:dyDescent="0.4">
      <c r="A18" s="78" t="s">
        <v>99</v>
      </c>
      <c r="C18" s="83" t="s">
        <v>154</v>
      </c>
      <c r="D18" s="84">
        <f>+(A19+A20+A21)/3</f>
        <v>2</v>
      </c>
    </row>
    <row r="19" spans="1:13" x14ac:dyDescent="0.35">
      <c r="A19" s="46">
        <v>1</v>
      </c>
      <c r="C19" s="79" t="s">
        <v>157</v>
      </c>
      <c r="D19" s="46">
        <f>+((A19-D18)^2+(A20-D18)^2+(A21-D18)^2)/3</f>
        <v>0.66666666666666663</v>
      </c>
    </row>
    <row r="20" spans="1:13" ht="15" thickBot="1" x14ac:dyDescent="0.4">
      <c r="A20" s="46">
        <v>2</v>
      </c>
      <c r="C20" s="80" t="s">
        <v>158</v>
      </c>
      <c r="D20" s="49">
        <f>SQRT(D19)</f>
        <v>0.81649658092772603</v>
      </c>
      <c r="M20" s="53"/>
    </row>
    <row r="21" spans="1:13" ht="15" thickBot="1" x14ac:dyDescent="0.4">
      <c r="A21" s="49">
        <v>3</v>
      </c>
    </row>
    <row r="22" spans="1:13" x14ac:dyDescent="0.35">
      <c r="M22" s="97">
        <f>1000/1000000</f>
        <v>1E-3</v>
      </c>
    </row>
    <row r="23" spans="1:13" x14ac:dyDescent="0.35">
      <c r="A23" t="s">
        <v>197</v>
      </c>
      <c r="B23" t="s">
        <v>198</v>
      </c>
      <c r="M23" s="98">
        <f>1-M22</f>
        <v>0.999</v>
      </c>
    </row>
    <row r="24" spans="1:13" x14ac:dyDescent="0.35">
      <c r="A24" s="9">
        <v>1</v>
      </c>
      <c r="B24">
        <v>1</v>
      </c>
      <c r="E24" s="71" t="s">
        <v>140</v>
      </c>
      <c r="F24" t="s">
        <v>199</v>
      </c>
    </row>
    <row r="25" spans="1:13" x14ac:dyDescent="0.35">
      <c r="A25" s="9">
        <v>2</v>
      </c>
      <c r="B25">
        <v>1.5</v>
      </c>
      <c r="E25" s="70">
        <v>1</v>
      </c>
      <c r="F25">
        <v>1</v>
      </c>
    </row>
    <row r="26" spans="1:13" x14ac:dyDescent="0.35">
      <c r="A26" s="9">
        <v>3</v>
      </c>
      <c r="B26">
        <v>2</v>
      </c>
      <c r="E26" s="70">
        <v>1.5</v>
      </c>
      <c r="F26">
        <v>2</v>
      </c>
    </row>
    <row r="27" spans="1:13" x14ac:dyDescent="0.35">
      <c r="A27" s="9">
        <v>4</v>
      </c>
      <c r="B27">
        <v>1.5</v>
      </c>
      <c r="E27" s="70">
        <v>2</v>
      </c>
      <c r="F27">
        <v>3</v>
      </c>
    </row>
    <row r="28" spans="1:13" x14ac:dyDescent="0.35">
      <c r="A28" s="9">
        <v>5</v>
      </c>
      <c r="B28">
        <v>2</v>
      </c>
      <c r="E28" s="70">
        <v>2.5</v>
      </c>
      <c r="F28">
        <v>2</v>
      </c>
    </row>
    <row r="29" spans="1:13" x14ac:dyDescent="0.35">
      <c r="A29" s="9">
        <v>6</v>
      </c>
      <c r="B29">
        <v>2.5</v>
      </c>
      <c r="E29" s="70">
        <v>3</v>
      </c>
      <c r="F29">
        <v>1</v>
      </c>
    </row>
    <row r="30" spans="1:13" x14ac:dyDescent="0.35">
      <c r="A30" s="9">
        <v>7</v>
      </c>
      <c r="B30">
        <v>2</v>
      </c>
      <c r="E30" s="70" t="s">
        <v>143</v>
      </c>
      <c r="F30">
        <v>9</v>
      </c>
    </row>
    <row r="31" spans="1:13" x14ac:dyDescent="0.35">
      <c r="A31" s="9">
        <v>8</v>
      </c>
      <c r="B31">
        <v>2.5</v>
      </c>
    </row>
    <row r="32" spans="1:13" ht="15" thickBot="1" x14ac:dyDescent="0.4">
      <c r="A32" s="11">
        <v>9</v>
      </c>
      <c r="B32">
        <v>3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D8214-FA67-48DA-BC7E-1472F9CE047B}">
  <dimension ref="A1:G34"/>
  <sheetViews>
    <sheetView workbookViewId="0">
      <selection activeCell="G20" sqref="G20"/>
    </sheetView>
  </sheetViews>
  <sheetFormatPr defaultRowHeight="14.5" x14ac:dyDescent="0.35"/>
  <cols>
    <col min="1" max="1" width="11.81640625" customWidth="1"/>
    <col min="2" max="2" width="16.7265625" customWidth="1"/>
    <col min="4" max="4" width="10.36328125" customWidth="1"/>
    <col min="5" max="5" width="15.81640625" customWidth="1"/>
    <col min="7" max="7" width="12.26953125" bestFit="1" customWidth="1"/>
    <col min="8" max="8" width="3.453125" customWidth="1"/>
    <col min="9" max="9" width="16" bestFit="1" customWidth="1"/>
    <col min="14" max="14" width="16" bestFit="1" customWidth="1"/>
  </cols>
  <sheetData>
    <row r="1" spans="1:7" x14ac:dyDescent="0.35">
      <c r="A1" t="s">
        <v>160</v>
      </c>
      <c r="B1">
        <v>50</v>
      </c>
      <c r="D1" t="s">
        <v>3</v>
      </c>
      <c r="E1">
        <f>+B2/B1</f>
        <v>0.2</v>
      </c>
    </row>
    <row r="2" spans="1:7" x14ac:dyDescent="0.35">
      <c r="A2" t="s">
        <v>159</v>
      </c>
      <c r="B2">
        <v>10</v>
      </c>
      <c r="D2" t="s">
        <v>161</v>
      </c>
      <c r="E2">
        <f>1-E1</f>
        <v>0.8</v>
      </c>
    </row>
    <row r="4" spans="1:7" ht="15" thickBot="1" x14ac:dyDescent="0.4">
      <c r="A4" t="s">
        <v>92</v>
      </c>
      <c r="D4" t="s">
        <v>93</v>
      </c>
    </row>
    <row r="5" spans="1:7" ht="15" thickBot="1" x14ac:dyDescent="0.4">
      <c r="A5" s="35" t="s">
        <v>94</v>
      </c>
      <c r="B5" s="54" t="s">
        <v>95</v>
      </c>
      <c r="D5" s="35" t="s">
        <v>96</v>
      </c>
      <c r="E5" s="43" t="s">
        <v>97</v>
      </c>
      <c r="F5" s="55" t="s">
        <v>98</v>
      </c>
    </row>
    <row r="6" spans="1:7" x14ac:dyDescent="0.35">
      <c r="A6" s="9" t="s">
        <v>4</v>
      </c>
      <c r="B6" s="46">
        <v>0</v>
      </c>
      <c r="D6" s="9">
        <v>1</v>
      </c>
      <c r="E6">
        <f>COUNTIF($B$6:$B$15,"=1")</f>
        <v>5</v>
      </c>
      <c r="F6" s="10">
        <f>+E6/(E6+E7)</f>
        <v>0.5</v>
      </c>
    </row>
    <row r="7" spans="1:7" ht="15" thickBot="1" x14ac:dyDescent="0.4">
      <c r="A7" s="9" t="s">
        <v>100</v>
      </c>
      <c r="B7" s="46">
        <v>1</v>
      </c>
      <c r="D7" s="11">
        <v>0</v>
      </c>
      <c r="E7" s="4">
        <f>COUNTIF($B$6:$B$15,"=0")</f>
        <v>5</v>
      </c>
      <c r="F7" s="12">
        <f>+E7/(E6+E7)</f>
        <v>0.5</v>
      </c>
    </row>
    <row r="8" spans="1:7" x14ac:dyDescent="0.35">
      <c r="A8" s="9" t="s">
        <v>101</v>
      </c>
      <c r="B8" s="46">
        <v>0</v>
      </c>
    </row>
    <row r="9" spans="1:7" x14ac:dyDescent="0.35">
      <c r="A9" s="9" t="s">
        <v>23</v>
      </c>
      <c r="B9" s="46">
        <v>1</v>
      </c>
      <c r="D9" t="s">
        <v>77</v>
      </c>
      <c r="F9">
        <f>+F6</f>
        <v>0.5</v>
      </c>
      <c r="G9" s="56" t="s">
        <v>195</v>
      </c>
    </row>
    <row r="10" spans="1:7" x14ac:dyDescent="0.35">
      <c r="A10" s="9" t="s">
        <v>18</v>
      </c>
      <c r="B10" s="46">
        <v>0</v>
      </c>
      <c r="D10" t="s">
        <v>111</v>
      </c>
      <c r="F10" s="2">
        <f>+F6*(1-F6)*(10/9)</f>
        <v>0.27777777777777779</v>
      </c>
      <c r="G10" s="56" t="s">
        <v>196</v>
      </c>
    </row>
    <row r="11" spans="1:7" x14ac:dyDescent="0.35">
      <c r="A11" s="9" t="s">
        <v>12</v>
      </c>
      <c r="B11" s="46">
        <v>1</v>
      </c>
      <c r="D11" t="s">
        <v>107</v>
      </c>
      <c r="F11" s="2">
        <f>SQRT((1-B2/B1)*((F6*(1-F6)/(B2-1))))</f>
        <v>0.14907119849998599</v>
      </c>
    </row>
    <row r="12" spans="1:7" x14ac:dyDescent="0.35">
      <c r="A12" s="9" t="s">
        <v>102</v>
      </c>
      <c r="B12" s="46">
        <v>0</v>
      </c>
      <c r="D12" t="s">
        <v>173</v>
      </c>
      <c r="F12">
        <v>0.05</v>
      </c>
    </row>
    <row r="13" spans="1:7" ht="15" thickBot="1" x14ac:dyDescent="0.4">
      <c r="A13" s="9" t="s">
        <v>103</v>
      </c>
      <c r="B13" s="46">
        <v>1</v>
      </c>
      <c r="D13" t="s">
        <v>177</v>
      </c>
      <c r="F13">
        <f>_xlfn.T.INV.2T(F12,(B2-1))</f>
        <v>2.2621571627982053</v>
      </c>
    </row>
    <row r="14" spans="1:7" x14ac:dyDescent="0.35">
      <c r="A14" s="9" t="s">
        <v>8</v>
      </c>
      <c r="B14" s="46">
        <v>0</v>
      </c>
      <c r="D14" s="100" t="s">
        <v>178</v>
      </c>
      <c r="E14" s="101"/>
      <c r="F14" s="102"/>
    </row>
    <row r="15" spans="1:7" ht="15" thickBot="1" x14ac:dyDescent="0.4">
      <c r="A15" s="11" t="s">
        <v>13</v>
      </c>
      <c r="B15" s="49">
        <v>1</v>
      </c>
      <c r="D15" s="67">
        <f>+F9-F13*F11</f>
        <v>0.16277752054634365</v>
      </c>
      <c r="E15" s="4" t="s">
        <v>176</v>
      </c>
      <c r="F15" s="68">
        <f>+F9+F13*F11</f>
        <v>0.83722247945365635</v>
      </c>
    </row>
    <row r="17" spans="1:7" x14ac:dyDescent="0.35">
      <c r="A17" t="s">
        <v>77</v>
      </c>
      <c r="B17">
        <f>AVERAGE(B6:B15)</f>
        <v>0.5</v>
      </c>
    </row>
    <row r="18" spans="1:7" x14ac:dyDescent="0.35">
      <c r="A18" t="s">
        <v>111</v>
      </c>
      <c r="B18" s="2">
        <f>_xlfn.VAR.S(B6:B15)</f>
        <v>0.27777777777777779</v>
      </c>
    </row>
    <row r="20" spans="1:7" ht="15" thickBot="1" x14ac:dyDescent="0.4">
      <c r="A20" t="s">
        <v>92</v>
      </c>
      <c r="D20" t="s">
        <v>93</v>
      </c>
    </row>
    <row r="21" spans="1:7" ht="15" thickBot="1" x14ac:dyDescent="0.4">
      <c r="A21" s="35" t="s">
        <v>94</v>
      </c>
      <c r="B21" s="54" t="s">
        <v>104</v>
      </c>
      <c r="D21" s="35" t="s">
        <v>96</v>
      </c>
      <c r="E21" s="43" t="s">
        <v>97</v>
      </c>
      <c r="F21" s="55" t="s">
        <v>98</v>
      </c>
    </row>
    <row r="22" spans="1:7" x14ac:dyDescent="0.35">
      <c r="A22" s="9" t="s">
        <v>4</v>
      </c>
      <c r="B22" s="46">
        <v>1</v>
      </c>
      <c r="D22" s="9">
        <v>1</v>
      </c>
      <c r="E22">
        <f>COUNTIF($B$22:$B$31,"=1")</f>
        <v>7</v>
      </c>
      <c r="F22" s="10">
        <f>+E22/(E22+E23)</f>
        <v>0.7</v>
      </c>
    </row>
    <row r="23" spans="1:7" ht="15" thickBot="1" x14ac:dyDescent="0.4">
      <c r="A23" s="9" t="s">
        <v>100</v>
      </c>
      <c r="B23" s="46">
        <v>0</v>
      </c>
      <c r="D23" s="11">
        <v>0</v>
      </c>
      <c r="E23" s="4">
        <f>COUNTIF($B$22:$B$31,"=0")</f>
        <v>3</v>
      </c>
      <c r="F23" s="12">
        <f>+E23/(E22+E23)</f>
        <v>0.3</v>
      </c>
    </row>
    <row r="24" spans="1:7" x14ac:dyDescent="0.35">
      <c r="A24" s="9" t="s">
        <v>101</v>
      </c>
      <c r="B24" s="46">
        <v>1</v>
      </c>
    </row>
    <row r="25" spans="1:7" x14ac:dyDescent="0.35">
      <c r="A25" s="9" t="s">
        <v>23</v>
      </c>
      <c r="B25" s="46">
        <v>0</v>
      </c>
      <c r="D25" t="s">
        <v>77</v>
      </c>
      <c r="E25" s="56"/>
      <c r="F25">
        <f>+F22</f>
        <v>0.7</v>
      </c>
      <c r="G25" s="56" t="s">
        <v>195</v>
      </c>
    </row>
    <row r="26" spans="1:7" x14ac:dyDescent="0.35">
      <c r="A26" s="9" t="s">
        <v>18</v>
      </c>
      <c r="B26" s="46">
        <v>1</v>
      </c>
      <c r="D26" t="s">
        <v>111</v>
      </c>
      <c r="E26" s="56"/>
      <c r="F26" s="2">
        <f>+F22*(1-F22)*(10/9)</f>
        <v>0.23333333333333336</v>
      </c>
      <c r="G26" s="56" t="s">
        <v>196</v>
      </c>
    </row>
    <row r="27" spans="1:7" x14ac:dyDescent="0.35">
      <c r="A27" s="9" t="s">
        <v>12</v>
      </c>
      <c r="B27" s="46">
        <v>1</v>
      </c>
      <c r="D27" t="s">
        <v>107</v>
      </c>
      <c r="F27" s="2">
        <f>SQRT((1-B2/B1)*((F22*(1-F22)/9)))</f>
        <v>0.13662601021279466</v>
      </c>
    </row>
    <row r="28" spans="1:7" x14ac:dyDescent="0.35">
      <c r="A28" s="9" t="s">
        <v>102</v>
      </c>
      <c r="B28" s="46">
        <v>1</v>
      </c>
      <c r="D28" t="s">
        <v>173</v>
      </c>
      <c r="F28">
        <v>0.1</v>
      </c>
    </row>
    <row r="29" spans="1:7" ht="15" thickBot="1" x14ac:dyDescent="0.4">
      <c r="A29" s="9" t="s">
        <v>103</v>
      </c>
      <c r="B29" s="46">
        <v>0</v>
      </c>
      <c r="D29" t="s">
        <v>177</v>
      </c>
      <c r="F29">
        <f>_xlfn.T.INV.2T(F28,(B2-1))</f>
        <v>1.8331129326562374</v>
      </c>
    </row>
    <row r="30" spans="1:7" x14ac:dyDescent="0.35">
      <c r="A30" s="9" t="s">
        <v>8</v>
      </c>
      <c r="B30" s="46">
        <v>1</v>
      </c>
      <c r="D30" s="100" t="s">
        <v>178</v>
      </c>
      <c r="E30" s="101"/>
      <c r="F30" s="102"/>
    </row>
    <row r="31" spans="1:7" ht="15" thickBot="1" x14ac:dyDescent="0.4">
      <c r="A31" s="11" t="s">
        <v>13</v>
      </c>
      <c r="B31" s="49">
        <v>1</v>
      </c>
      <c r="D31" s="67">
        <f>+F25-F29*F27</f>
        <v>0.44954909374170288</v>
      </c>
      <c r="E31" s="4" t="s">
        <v>122</v>
      </c>
      <c r="F31" s="68">
        <f>+F25+F29*F27</f>
        <v>0.95045090625829709</v>
      </c>
    </row>
    <row r="33" spans="1:2" x14ac:dyDescent="0.35">
      <c r="A33" t="s">
        <v>77</v>
      </c>
      <c r="B33">
        <f>AVERAGE(B22:B31)</f>
        <v>0.7</v>
      </c>
    </row>
    <row r="34" spans="1:2" x14ac:dyDescent="0.35">
      <c r="A34" t="s">
        <v>111</v>
      </c>
      <c r="B34" s="2">
        <f>_xlfn.VAR.S(B22:B31)</f>
        <v>0.23333333333333328</v>
      </c>
    </row>
  </sheetData>
  <mergeCells count="2">
    <mergeCell ref="D14:F14"/>
    <mergeCell ref="D30:F3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8FE4-09AF-48AB-83AA-76CB58004219}">
  <dimension ref="A1:F25"/>
  <sheetViews>
    <sheetView workbookViewId="0">
      <selection activeCell="F21" sqref="F21"/>
    </sheetView>
  </sheetViews>
  <sheetFormatPr defaultRowHeight="14.5" x14ac:dyDescent="0.35"/>
  <cols>
    <col min="1" max="1" width="11.7265625" bestFit="1" customWidth="1"/>
    <col min="2" max="2" width="9.36328125" bestFit="1" customWidth="1"/>
  </cols>
  <sheetData>
    <row r="1" spans="1:6" x14ac:dyDescent="0.35">
      <c r="A1" t="s">
        <v>162</v>
      </c>
      <c r="B1">
        <v>20</v>
      </c>
    </row>
    <row r="2" spans="1:6" x14ac:dyDescent="0.35">
      <c r="A2" t="s">
        <v>163</v>
      </c>
      <c r="B2">
        <v>8</v>
      </c>
    </row>
    <row r="3" spans="1:6" x14ac:dyDescent="0.35">
      <c r="A3" t="s">
        <v>120</v>
      </c>
      <c r="B3">
        <v>0.05</v>
      </c>
    </row>
    <row r="5" spans="1:6" ht="16.5" x14ac:dyDescent="0.45">
      <c r="A5" s="3" t="s">
        <v>137</v>
      </c>
      <c r="B5" s="3" t="s">
        <v>175</v>
      </c>
      <c r="C5" s="86" t="s">
        <v>164</v>
      </c>
    </row>
    <row r="6" spans="1:6" x14ac:dyDescent="0.35">
      <c r="A6">
        <v>1</v>
      </c>
      <c r="B6">
        <v>81</v>
      </c>
      <c r="C6">
        <f>+(B6-$B$16)^2</f>
        <v>256</v>
      </c>
      <c r="E6" t="s">
        <v>165</v>
      </c>
      <c r="F6" s="62"/>
    </row>
    <row r="7" spans="1:6" x14ac:dyDescent="0.35">
      <c r="A7">
        <v>2</v>
      </c>
      <c r="B7">
        <v>75</v>
      </c>
      <c r="C7">
        <f t="shared" ref="C7:C13" si="0">+(B7-$B$16)^2</f>
        <v>100</v>
      </c>
      <c r="F7" s="62"/>
    </row>
    <row r="8" spans="1:6" x14ac:dyDescent="0.35">
      <c r="A8">
        <v>3</v>
      </c>
      <c r="B8">
        <v>75</v>
      </c>
      <c r="C8">
        <f t="shared" si="0"/>
        <v>100</v>
      </c>
      <c r="E8" s="5" t="s">
        <v>166</v>
      </c>
      <c r="F8" s="62"/>
    </row>
    <row r="9" spans="1:6" x14ac:dyDescent="0.35">
      <c r="A9">
        <v>4</v>
      </c>
      <c r="B9">
        <v>62</v>
      </c>
      <c r="C9">
        <f t="shared" si="0"/>
        <v>9</v>
      </c>
      <c r="E9" s="5" t="s">
        <v>167</v>
      </c>
      <c r="F9" s="62"/>
    </row>
    <row r="10" spans="1:6" x14ac:dyDescent="0.35">
      <c r="A10">
        <v>5</v>
      </c>
      <c r="B10">
        <v>54</v>
      </c>
      <c r="C10">
        <f t="shared" si="0"/>
        <v>121</v>
      </c>
      <c r="E10" s="5" t="s">
        <v>168</v>
      </c>
      <c r="F10" s="62"/>
    </row>
    <row r="11" spans="1:6" x14ac:dyDescent="0.35">
      <c r="A11">
        <v>6</v>
      </c>
      <c r="B11">
        <v>57</v>
      </c>
      <c r="C11">
        <f t="shared" si="0"/>
        <v>64</v>
      </c>
    </row>
    <row r="12" spans="1:6" x14ac:dyDescent="0.35">
      <c r="A12">
        <v>7</v>
      </c>
      <c r="B12">
        <v>52</v>
      </c>
      <c r="C12">
        <f t="shared" si="0"/>
        <v>169</v>
      </c>
      <c r="E12" t="s">
        <v>172</v>
      </c>
    </row>
    <row r="13" spans="1:6" x14ac:dyDescent="0.35">
      <c r="A13">
        <v>8</v>
      </c>
      <c r="B13">
        <v>64</v>
      </c>
      <c r="C13">
        <f t="shared" si="0"/>
        <v>1</v>
      </c>
    </row>
    <row r="16" spans="1:6" x14ac:dyDescent="0.35">
      <c r="A16" t="s">
        <v>85</v>
      </c>
      <c r="B16">
        <f>SUM(B6:B13)/8</f>
        <v>65</v>
      </c>
      <c r="C16" t="s">
        <v>169</v>
      </c>
      <c r="D16">
        <f>AVERAGE(B6:B13)</f>
        <v>65</v>
      </c>
    </row>
    <row r="17" spans="1:6" x14ac:dyDescent="0.35">
      <c r="A17" t="s">
        <v>170</v>
      </c>
      <c r="B17" s="62">
        <f>SUM(C6:C13)/(8-1)</f>
        <v>117.14285714285714</v>
      </c>
      <c r="C17" t="s">
        <v>171</v>
      </c>
      <c r="D17" s="62">
        <f>_xlfn.VAR.S(B6:B13)</f>
        <v>117.14285714285714</v>
      </c>
    </row>
    <row r="19" spans="1:6" x14ac:dyDescent="0.35">
      <c r="A19" t="s">
        <v>76</v>
      </c>
      <c r="B19" s="62">
        <f>SQRT((1-8/20)*B17/8)</f>
        <v>2.9640705601780613</v>
      </c>
      <c r="C19" t="s">
        <v>169</v>
      </c>
    </row>
    <row r="20" spans="1:6" x14ac:dyDescent="0.35">
      <c r="B20" s="62"/>
    </row>
    <row r="21" spans="1:6" x14ac:dyDescent="0.35">
      <c r="A21" t="s">
        <v>174</v>
      </c>
      <c r="B21">
        <f>_xlfn.T.INV.2T(B3,24)</f>
        <v>2.0638985616280254</v>
      </c>
    </row>
    <row r="22" spans="1:6" ht="15" thickBot="1" x14ac:dyDescent="0.4"/>
    <row r="23" spans="1:6" x14ac:dyDescent="0.35">
      <c r="A23" s="100" t="s">
        <v>121</v>
      </c>
      <c r="B23" s="101"/>
      <c r="C23" s="102"/>
      <c r="F23" s="62"/>
    </row>
    <row r="24" spans="1:6" ht="15" thickBot="1" x14ac:dyDescent="0.4">
      <c r="A24" s="60">
        <f>+B16-B21*B19</f>
        <v>58.882459034284523</v>
      </c>
      <c r="B24" s="4" t="s">
        <v>122</v>
      </c>
      <c r="C24" s="85">
        <f>+B16+B21*B19</f>
        <v>71.117540965715477</v>
      </c>
    </row>
    <row r="25" spans="1:6" x14ac:dyDescent="0.35">
      <c r="A25" t="s">
        <v>169</v>
      </c>
      <c r="C25" t="s">
        <v>169</v>
      </c>
    </row>
  </sheetData>
  <mergeCells count="1">
    <mergeCell ref="A23:C2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6DBB3-8FF4-4DB2-8524-62ECB90F57FD}">
  <dimension ref="A3:Z58"/>
  <sheetViews>
    <sheetView workbookViewId="0">
      <selection activeCell="G28" sqref="G28"/>
    </sheetView>
  </sheetViews>
  <sheetFormatPr defaultRowHeight="14.5" x14ac:dyDescent="0.35"/>
  <cols>
    <col min="1" max="1" width="17.6328125" bestFit="1" customWidth="1"/>
    <col min="2" max="2" width="13.81640625" customWidth="1"/>
    <col min="3" max="3" width="16.36328125" customWidth="1"/>
    <col min="4" max="4" width="15.7265625" customWidth="1"/>
    <col min="5" max="5" width="10.26953125" customWidth="1"/>
    <col min="6" max="6" width="16.453125" customWidth="1"/>
    <col min="7" max="7" width="11" bestFit="1" customWidth="1"/>
    <col min="9" max="9" width="11.26953125" customWidth="1"/>
    <col min="10" max="10" width="11.81640625" bestFit="1" customWidth="1"/>
  </cols>
  <sheetData>
    <row r="3" spans="1:26" ht="15" thickBot="1" x14ac:dyDescent="0.4">
      <c r="A3" t="s">
        <v>179</v>
      </c>
    </row>
    <row r="4" spans="1:26" ht="44" thickBot="1" x14ac:dyDescent="0.4">
      <c r="A4" s="76" t="s">
        <v>131</v>
      </c>
      <c r="B4" s="74" t="s">
        <v>182</v>
      </c>
      <c r="C4" s="74" t="s">
        <v>183</v>
      </c>
      <c r="D4" s="74" t="s">
        <v>184</v>
      </c>
      <c r="E4" s="74" t="s">
        <v>185</v>
      </c>
      <c r="F4" s="74" t="s">
        <v>186</v>
      </c>
      <c r="G4" s="75" t="s">
        <v>187</v>
      </c>
      <c r="H4" s="69"/>
      <c r="I4" s="69"/>
      <c r="J4" s="69"/>
      <c r="K4" s="69"/>
      <c r="L4" s="69"/>
      <c r="M4" s="69"/>
      <c r="N4" s="69"/>
    </row>
    <row r="5" spans="1:26" x14ac:dyDescent="0.35">
      <c r="A5" s="87" t="s">
        <v>180</v>
      </c>
      <c r="B5">
        <v>45</v>
      </c>
      <c r="C5" s="72">
        <f>+B5/B7</f>
        <v>0.39130434782608697</v>
      </c>
      <c r="D5">
        <v>10</v>
      </c>
      <c r="E5">
        <f>SUM(C42:C51)</f>
        <v>19</v>
      </c>
      <c r="F5" s="2">
        <f>+E5/D5</f>
        <v>1.9</v>
      </c>
      <c r="G5" s="59">
        <f>+D53</f>
        <v>2.1</v>
      </c>
      <c r="I5" t="s">
        <v>135</v>
      </c>
      <c r="J5">
        <f>+C5*F5+C6*F6</f>
        <v>2.5695652173913044</v>
      </c>
    </row>
    <row r="6" spans="1:26" x14ac:dyDescent="0.35">
      <c r="A6" s="88" t="s">
        <v>181</v>
      </c>
      <c r="B6">
        <v>70</v>
      </c>
      <c r="C6" s="72">
        <f>+B6/B7</f>
        <v>0.60869565217391308</v>
      </c>
      <c r="D6">
        <v>15</v>
      </c>
      <c r="E6">
        <f>SUM(H42:H56)</f>
        <v>45</v>
      </c>
      <c r="F6" s="2">
        <f>+E6/D6</f>
        <v>3</v>
      </c>
      <c r="G6" s="59">
        <f>+I58</f>
        <v>1.8571428571428572</v>
      </c>
      <c r="I6" t="s">
        <v>153</v>
      </c>
      <c r="J6">
        <f>SQRT(((C5^2)*(1-(D5/B5))*(G5/D5))+((C6^2)*(1-(D6/B6))*(G6/D6)))</f>
        <v>0.24708763614755805</v>
      </c>
      <c r="L6" t="str">
        <f ca="1">_xlfn.FORMULATEXT(J6)</f>
        <v>=RADQ(((C5^2)*(1-(D5/B5))*(G5/D5))+((C6^2)*(1-(D6/B6))*(G6/D6)))</v>
      </c>
    </row>
    <row r="7" spans="1:26" ht="15" thickBot="1" x14ac:dyDescent="0.4">
      <c r="A7" s="49" t="s">
        <v>136</v>
      </c>
      <c r="B7" s="4">
        <f>+B5+B6</f>
        <v>115</v>
      </c>
      <c r="C7" s="73">
        <f>+B7/B7</f>
        <v>1</v>
      </c>
      <c r="D7" s="4">
        <f>+D5+D6</f>
        <v>25</v>
      </c>
      <c r="E7" s="4">
        <v>64</v>
      </c>
      <c r="F7" s="50">
        <f>+J5</f>
        <v>2.5695652173913044</v>
      </c>
      <c r="G7" s="61"/>
      <c r="I7" t="s">
        <v>148</v>
      </c>
      <c r="J7">
        <f>+J5-2.064*J6</f>
        <v>2.0595763363827446</v>
      </c>
    </row>
    <row r="8" spans="1:26" x14ac:dyDescent="0.35">
      <c r="I8" t="s">
        <v>147</v>
      </c>
      <c r="J8">
        <f>+J5+2.064*J6</f>
        <v>3.0795540983998642</v>
      </c>
    </row>
    <row r="10" spans="1:26" x14ac:dyDescent="0.35">
      <c r="A10" t="s">
        <v>137</v>
      </c>
      <c r="B10">
        <v>8</v>
      </c>
      <c r="C10">
        <v>49</v>
      </c>
      <c r="D10">
        <v>5</v>
      </c>
      <c r="E10">
        <v>3</v>
      </c>
      <c r="F10">
        <v>55</v>
      </c>
      <c r="G10">
        <v>19</v>
      </c>
      <c r="H10">
        <v>1</v>
      </c>
      <c r="I10">
        <v>99</v>
      </c>
      <c r="J10">
        <v>30</v>
      </c>
      <c r="K10">
        <v>93</v>
      </c>
      <c r="L10">
        <v>76</v>
      </c>
      <c r="M10">
        <v>105</v>
      </c>
      <c r="N10">
        <v>68</v>
      </c>
      <c r="O10">
        <v>46</v>
      </c>
      <c r="P10">
        <v>68</v>
      </c>
      <c r="Q10">
        <v>5</v>
      </c>
      <c r="R10">
        <v>15</v>
      </c>
      <c r="S10">
        <v>35</v>
      </c>
      <c r="T10">
        <v>28</v>
      </c>
      <c r="U10">
        <v>85</v>
      </c>
      <c r="V10">
        <v>56</v>
      </c>
      <c r="W10">
        <v>16</v>
      </c>
      <c r="X10">
        <v>11</v>
      </c>
      <c r="Y10">
        <v>29</v>
      </c>
      <c r="Z10">
        <v>55</v>
      </c>
    </row>
    <row r="11" spans="1:26" x14ac:dyDescent="0.35">
      <c r="A11" t="s">
        <v>138</v>
      </c>
      <c r="B11">
        <v>1</v>
      </c>
      <c r="C11">
        <v>2</v>
      </c>
      <c r="D11">
        <v>2</v>
      </c>
      <c r="E11">
        <v>1</v>
      </c>
      <c r="F11">
        <v>1</v>
      </c>
      <c r="G11">
        <v>1</v>
      </c>
      <c r="H11">
        <v>2</v>
      </c>
      <c r="I11">
        <v>2</v>
      </c>
      <c r="J11">
        <v>2</v>
      </c>
      <c r="K11">
        <v>2</v>
      </c>
      <c r="L11">
        <v>1</v>
      </c>
      <c r="M11">
        <v>2</v>
      </c>
      <c r="N11">
        <v>1</v>
      </c>
      <c r="O11">
        <v>2</v>
      </c>
      <c r="P11">
        <v>2</v>
      </c>
      <c r="Q11">
        <v>1</v>
      </c>
      <c r="R11">
        <v>2</v>
      </c>
      <c r="S11">
        <v>2</v>
      </c>
      <c r="T11">
        <v>1</v>
      </c>
      <c r="U11">
        <v>1</v>
      </c>
      <c r="V11">
        <v>2</v>
      </c>
      <c r="W11">
        <v>2</v>
      </c>
      <c r="X11">
        <v>2</v>
      </c>
      <c r="Y11">
        <v>1</v>
      </c>
      <c r="Z11">
        <v>2</v>
      </c>
    </row>
    <row r="12" spans="1:26" x14ac:dyDescent="0.35">
      <c r="A12" t="s">
        <v>99</v>
      </c>
      <c r="B12">
        <v>0</v>
      </c>
      <c r="C12">
        <v>5</v>
      </c>
      <c r="D12">
        <v>2</v>
      </c>
      <c r="E12">
        <v>4</v>
      </c>
      <c r="F12">
        <v>2</v>
      </c>
      <c r="G12">
        <v>1</v>
      </c>
      <c r="H12">
        <v>5</v>
      </c>
      <c r="I12">
        <v>4</v>
      </c>
      <c r="J12">
        <v>2</v>
      </c>
      <c r="K12">
        <v>5</v>
      </c>
      <c r="L12">
        <v>1</v>
      </c>
      <c r="M12">
        <v>3</v>
      </c>
      <c r="N12">
        <v>4</v>
      </c>
      <c r="O12">
        <v>3</v>
      </c>
      <c r="P12">
        <v>4</v>
      </c>
      <c r="Q12">
        <v>2</v>
      </c>
      <c r="R12">
        <v>2</v>
      </c>
      <c r="S12">
        <v>3</v>
      </c>
      <c r="T12">
        <v>2</v>
      </c>
      <c r="U12">
        <v>0</v>
      </c>
      <c r="V12">
        <v>1</v>
      </c>
      <c r="W12">
        <v>2</v>
      </c>
      <c r="X12">
        <v>3</v>
      </c>
      <c r="Y12">
        <v>3</v>
      </c>
      <c r="Z12">
        <v>1</v>
      </c>
    </row>
    <row r="14" spans="1:26" x14ac:dyDescent="0.35">
      <c r="A14" t="s">
        <v>137</v>
      </c>
      <c r="B14" t="s">
        <v>138</v>
      </c>
      <c r="C14" t="s">
        <v>99</v>
      </c>
      <c r="D14" t="s">
        <v>139</v>
      </c>
    </row>
    <row r="15" spans="1:26" x14ac:dyDescent="0.35">
      <c r="A15">
        <v>8</v>
      </c>
      <c r="B15">
        <v>1</v>
      </c>
      <c r="C15">
        <v>0</v>
      </c>
      <c r="D15">
        <f>+(C15-$J$5)^2</f>
        <v>6.6026654064272217</v>
      </c>
      <c r="F15" s="71" t="s">
        <v>140</v>
      </c>
      <c r="G15" s="71" t="s">
        <v>141</v>
      </c>
      <c r="H15" t="s">
        <v>142</v>
      </c>
    </row>
    <row r="16" spans="1:26" x14ac:dyDescent="0.35">
      <c r="A16">
        <v>49</v>
      </c>
      <c r="B16">
        <v>2</v>
      </c>
      <c r="C16">
        <v>5</v>
      </c>
      <c r="D16">
        <f t="shared" ref="D16:D39" si="0">+(C16-$J$5)^2</f>
        <v>5.9070132325141778</v>
      </c>
      <c r="F16" s="70">
        <v>1</v>
      </c>
      <c r="G16">
        <v>10</v>
      </c>
      <c r="H16">
        <v>19</v>
      </c>
    </row>
    <row r="17" spans="1:11" x14ac:dyDescent="0.35">
      <c r="A17">
        <v>5</v>
      </c>
      <c r="B17">
        <v>2</v>
      </c>
      <c r="C17">
        <v>2</v>
      </c>
      <c r="D17">
        <f t="shared" si="0"/>
        <v>0.32440453686200382</v>
      </c>
      <c r="F17" s="70">
        <v>2</v>
      </c>
      <c r="G17">
        <v>15</v>
      </c>
      <c r="H17">
        <v>45</v>
      </c>
    </row>
    <row r="18" spans="1:11" x14ac:dyDescent="0.35">
      <c r="A18">
        <v>3</v>
      </c>
      <c r="B18">
        <v>1</v>
      </c>
      <c r="C18">
        <v>4</v>
      </c>
      <c r="D18">
        <f t="shared" si="0"/>
        <v>2.0461436672967861</v>
      </c>
      <c r="F18" s="70" t="s">
        <v>143</v>
      </c>
      <c r="G18">
        <v>25</v>
      </c>
      <c r="H18">
        <v>64</v>
      </c>
    </row>
    <row r="19" spans="1:11" x14ac:dyDescent="0.35">
      <c r="A19">
        <v>55</v>
      </c>
      <c r="B19">
        <v>1</v>
      </c>
      <c r="C19">
        <v>2</v>
      </c>
      <c r="D19">
        <f t="shared" si="0"/>
        <v>0.32440453686200382</v>
      </c>
    </row>
    <row r="20" spans="1:11" x14ac:dyDescent="0.35">
      <c r="A20">
        <v>19</v>
      </c>
      <c r="B20">
        <v>1</v>
      </c>
      <c r="C20">
        <v>1</v>
      </c>
      <c r="D20">
        <f t="shared" si="0"/>
        <v>2.4635349716446124</v>
      </c>
    </row>
    <row r="21" spans="1:11" x14ac:dyDescent="0.35">
      <c r="A21">
        <v>1</v>
      </c>
      <c r="B21">
        <v>2</v>
      </c>
      <c r="C21">
        <v>5</v>
      </c>
      <c r="D21">
        <f t="shared" si="0"/>
        <v>5.9070132325141778</v>
      </c>
      <c r="F21" s="3" t="s">
        <v>96</v>
      </c>
      <c r="G21" s="3">
        <f>+(J5-K21)/J6</f>
        <v>0.28154066498803204</v>
      </c>
      <c r="H21" s="3"/>
      <c r="I21" s="3"/>
      <c r="J21" s="3" t="s">
        <v>144</v>
      </c>
      <c r="K21" s="3">
        <v>2.5</v>
      </c>
    </row>
    <row r="22" spans="1:11" x14ac:dyDescent="0.35">
      <c r="A22">
        <v>99</v>
      </c>
      <c r="B22">
        <v>2</v>
      </c>
      <c r="C22">
        <v>4</v>
      </c>
      <c r="D22">
        <f t="shared" si="0"/>
        <v>2.0461436672967861</v>
      </c>
      <c r="F22" s="3"/>
      <c r="G22" s="3">
        <f>_xlfn.T.INV.2T(0.05,24)</f>
        <v>2.0638985616280254</v>
      </c>
      <c r="H22" s="3"/>
      <c r="I22" s="3"/>
      <c r="J22" s="3"/>
      <c r="K22" s="3"/>
    </row>
    <row r="23" spans="1:11" x14ac:dyDescent="0.35">
      <c r="A23">
        <v>30</v>
      </c>
      <c r="B23">
        <v>2</v>
      </c>
      <c r="C23">
        <v>2</v>
      </c>
      <c r="D23">
        <f t="shared" si="0"/>
        <v>0.32440453686200382</v>
      </c>
    </row>
    <row r="24" spans="1:11" x14ac:dyDescent="0.35">
      <c r="A24">
        <v>93</v>
      </c>
      <c r="B24">
        <v>2</v>
      </c>
      <c r="C24">
        <v>5</v>
      </c>
      <c r="D24">
        <f t="shared" si="0"/>
        <v>5.9070132325141778</v>
      </c>
      <c r="F24" s="3" t="s">
        <v>145</v>
      </c>
    </row>
    <row r="25" spans="1:11" x14ac:dyDescent="0.35">
      <c r="A25">
        <v>76</v>
      </c>
      <c r="B25">
        <v>1</v>
      </c>
      <c r="C25">
        <v>1</v>
      </c>
      <c r="D25">
        <f t="shared" si="0"/>
        <v>2.4635349716446124</v>
      </c>
    </row>
    <row r="26" spans="1:11" x14ac:dyDescent="0.35">
      <c r="A26">
        <v>105</v>
      </c>
      <c r="B26">
        <v>2</v>
      </c>
      <c r="C26">
        <v>3</v>
      </c>
      <c r="D26">
        <f t="shared" si="0"/>
        <v>0.18527410207939504</v>
      </c>
    </row>
    <row r="27" spans="1:11" x14ac:dyDescent="0.35">
      <c r="A27">
        <v>68</v>
      </c>
      <c r="B27">
        <v>1</v>
      </c>
      <c r="C27">
        <v>4</v>
      </c>
      <c r="D27">
        <f t="shared" si="0"/>
        <v>2.0461436672967861</v>
      </c>
    </row>
    <row r="28" spans="1:11" x14ac:dyDescent="0.35">
      <c r="A28">
        <v>46</v>
      </c>
      <c r="B28">
        <v>2</v>
      </c>
      <c r="C28">
        <v>3</v>
      </c>
      <c r="D28">
        <f t="shared" si="0"/>
        <v>0.18527410207939504</v>
      </c>
    </row>
    <row r="29" spans="1:11" x14ac:dyDescent="0.35">
      <c r="A29">
        <v>68</v>
      </c>
      <c r="B29">
        <v>2</v>
      </c>
      <c r="C29">
        <v>4</v>
      </c>
      <c r="D29">
        <f t="shared" si="0"/>
        <v>2.0461436672967861</v>
      </c>
    </row>
    <row r="30" spans="1:11" x14ac:dyDescent="0.35">
      <c r="A30">
        <v>5</v>
      </c>
      <c r="B30">
        <v>1</v>
      </c>
      <c r="C30">
        <v>2</v>
      </c>
      <c r="D30">
        <f t="shared" si="0"/>
        <v>0.32440453686200382</v>
      </c>
    </row>
    <row r="31" spans="1:11" x14ac:dyDescent="0.35">
      <c r="A31">
        <v>15</v>
      </c>
      <c r="B31">
        <v>2</v>
      </c>
      <c r="C31">
        <v>2</v>
      </c>
      <c r="D31">
        <f t="shared" si="0"/>
        <v>0.32440453686200382</v>
      </c>
    </row>
    <row r="32" spans="1:11" x14ac:dyDescent="0.35">
      <c r="A32">
        <v>35</v>
      </c>
      <c r="B32">
        <v>2</v>
      </c>
      <c r="C32">
        <v>3</v>
      </c>
      <c r="D32">
        <f t="shared" si="0"/>
        <v>0.18527410207939504</v>
      </c>
    </row>
    <row r="33" spans="1:9" x14ac:dyDescent="0.35">
      <c r="A33">
        <v>28</v>
      </c>
      <c r="B33">
        <v>1</v>
      </c>
      <c r="C33">
        <v>2</v>
      </c>
      <c r="D33">
        <f t="shared" si="0"/>
        <v>0.32440453686200382</v>
      </c>
    </row>
    <row r="34" spans="1:9" x14ac:dyDescent="0.35">
      <c r="A34">
        <v>85</v>
      </c>
      <c r="B34">
        <v>1</v>
      </c>
      <c r="C34">
        <v>0</v>
      </c>
      <c r="D34">
        <f t="shared" si="0"/>
        <v>6.6026654064272217</v>
      </c>
    </row>
    <row r="35" spans="1:9" x14ac:dyDescent="0.35">
      <c r="A35">
        <v>56</v>
      </c>
      <c r="B35">
        <v>2</v>
      </c>
      <c r="C35">
        <v>1</v>
      </c>
      <c r="D35">
        <f t="shared" si="0"/>
        <v>2.4635349716446124</v>
      </c>
    </row>
    <row r="36" spans="1:9" x14ac:dyDescent="0.35">
      <c r="A36">
        <v>16</v>
      </c>
      <c r="B36">
        <v>2</v>
      </c>
      <c r="C36">
        <v>2</v>
      </c>
      <c r="D36">
        <f t="shared" si="0"/>
        <v>0.32440453686200382</v>
      </c>
    </row>
    <row r="37" spans="1:9" x14ac:dyDescent="0.35">
      <c r="A37">
        <v>11</v>
      </c>
      <c r="B37">
        <v>2</v>
      </c>
      <c r="C37">
        <v>3</v>
      </c>
      <c r="D37">
        <f t="shared" si="0"/>
        <v>0.18527410207939504</v>
      </c>
    </row>
    <row r="38" spans="1:9" x14ac:dyDescent="0.35">
      <c r="A38">
        <v>29</v>
      </c>
      <c r="B38">
        <v>1</v>
      </c>
      <c r="C38">
        <v>3</v>
      </c>
      <c r="D38">
        <f t="shared" si="0"/>
        <v>0.18527410207939504</v>
      </c>
    </row>
    <row r="39" spans="1:9" x14ac:dyDescent="0.35">
      <c r="A39">
        <v>55</v>
      </c>
      <c r="B39">
        <v>2</v>
      </c>
      <c r="C39">
        <v>1</v>
      </c>
      <c r="D39">
        <f t="shared" si="0"/>
        <v>2.4635349716446124</v>
      </c>
    </row>
    <row r="41" spans="1:9" x14ac:dyDescent="0.35">
      <c r="A41" t="s">
        <v>137</v>
      </c>
      <c r="B41" t="s">
        <v>138</v>
      </c>
      <c r="C41" t="s">
        <v>99</v>
      </c>
      <c r="D41" t="s">
        <v>139</v>
      </c>
      <c r="F41" t="s">
        <v>137</v>
      </c>
      <c r="G41" t="s">
        <v>138</v>
      </c>
      <c r="H41" t="s">
        <v>99</v>
      </c>
      <c r="I41" t="s">
        <v>139</v>
      </c>
    </row>
    <row r="42" spans="1:9" x14ac:dyDescent="0.35">
      <c r="A42">
        <v>8</v>
      </c>
      <c r="B42">
        <v>1</v>
      </c>
      <c r="C42">
        <v>0</v>
      </c>
      <c r="D42">
        <f>+(C42-$C$53)^2</f>
        <v>3.61</v>
      </c>
      <c r="F42">
        <v>49</v>
      </c>
      <c r="G42">
        <v>2</v>
      </c>
      <c r="H42">
        <v>5</v>
      </c>
      <c r="I42">
        <f t="shared" ref="I42:I56" si="1">+(H42-$H$58)^2</f>
        <v>4</v>
      </c>
    </row>
    <row r="43" spans="1:9" x14ac:dyDescent="0.35">
      <c r="A43">
        <v>3</v>
      </c>
      <c r="B43">
        <v>1</v>
      </c>
      <c r="C43">
        <v>4</v>
      </c>
      <c r="D43">
        <f t="shared" ref="D43:D51" si="2">+(C43-$C$53)^2</f>
        <v>4.41</v>
      </c>
      <c r="F43">
        <v>5</v>
      </c>
      <c r="G43">
        <v>2</v>
      </c>
      <c r="H43">
        <v>2</v>
      </c>
      <c r="I43">
        <f t="shared" si="1"/>
        <v>1</v>
      </c>
    </row>
    <row r="44" spans="1:9" x14ac:dyDescent="0.35">
      <c r="A44">
        <v>55</v>
      </c>
      <c r="B44">
        <v>1</v>
      </c>
      <c r="C44">
        <v>2</v>
      </c>
      <c r="D44">
        <f t="shared" si="2"/>
        <v>1.0000000000000018E-2</v>
      </c>
      <c r="F44">
        <v>1</v>
      </c>
      <c r="G44">
        <v>2</v>
      </c>
      <c r="H44">
        <v>5</v>
      </c>
      <c r="I44">
        <f t="shared" si="1"/>
        <v>4</v>
      </c>
    </row>
    <row r="45" spans="1:9" x14ac:dyDescent="0.35">
      <c r="A45">
        <v>19</v>
      </c>
      <c r="B45">
        <v>1</v>
      </c>
      <c r="C45">
        <v>1</v>
      </c>
      <c r="D45">
        <f t="shared" si="2"/>
        <v>0.80999999999999983</v>
      </c>
      <c r="F45">
        <v>99</v>
      </c>
      <c r="G45">
        <v>2</v>
      </c>
      <c r="H45">
        <v>4</v>
      </c>
      <c r="I45">
        <f t="shared" si="1"/>
        <v>1</v>
      </c>
    </row>
    <row r="46" spans="1:9" x14ac:dyDescent="0.35">
      <c r="A46">
        <v>76</v>
      </c>
      <c r="B46">
        <v>1</v>
      </c>
      <c r="C46">
        <v>1</v>
      </c>
      <c r="D46">
        <f t="shared" si="2"/>
        <v>0.80999999999999983</v>
      </c>
      <c r="F46">
        <v>30</v>
      </c>
      <c r="G46">
        <v>2</v>
      </c>
      <c r="H46">
        <v>2</v>
      </c>
      <c r="I46">
        <f t="shared" si="1"/>
        <v>1</v>
      </c>
    </row>
    <row r="47" spans="1:9" x14ac:dyDescent="0.35">
      <c r="A47">
        <v>68</v>
      </c>
      <c r="B47">
        <v>1</v>
      </c>
      <c r="C47">
        <v>4</v>
      </c>
      <c r="D47">
        <f t="shared" si="2"/>
        <v>4.41</v>
      </c>
      <c r="F47">
        <v>93</v>
      </c>
      <c r="G47">
        <v>2</v>
      </c>
      <c r="H47">
        <v>5</v>
      </c>
      <c r="I47">
        <f t="shared" si="1"/>
        <v>4</v>
      </c>
    </row>
    <row r="48" spans="1:9" x14ac:dyDescent="0.35">
      <c r="A48">
        <v>5</v>
      </c>
      <c r="B48">
        <v>1</v>
      </c>
      <c r="C48">
        <v>2</v>
      </c>
      <c r="D48">
        <f t="shared" si="2"/>
        <v>1.0000000000000018E-2</v>
      </c>
      <c r="F48">
        <v>105</v>
      </c>
      <c r="G48">
        <v>2</v>
      </c>
      <c r="H48">
        <v>3</v>
      </c>
      <c r="I48">
        <f t="shared" si="1"/>
        <v>0</v>
      </c>
    </row>
    <row r="49" spans="1:9" x14ac:dyDescent="0.35">
      <c r="A49">
        <v>28</v>
      </c>
      <c r="B49">
        <v>1</v>
      </c>
      <c r="C49">
        <v>2</v>
      </c>
      <c r="D49">
        <f t="shared" si="2"/>
        <v>1.0000000000000018E-2</v>
      </c>
      <c r="F49">
        <v>46</v>
      </c>
      <c r="G49">
        <v>2</v>
      </c>
      <c r="H49">
        <v>3</v>
      </c>
      <c r="I49">
        <f t="shared" si="1"/>
        <v>0</v>
      </c>
    </row>
    <row r="50" spans="1:9" x14ac:dyDescent="0.35">
      <c r="A50">
        <v>85</v>
      </c>
      <c r="B50">
        <v>1</v>
      </c>
      <c r="C50">
        <v>0</v>
      </c>
      <c r="D50">
        <f t="shared" si="2"/>
        <v>3.61</v>
      </c>
      <c r="F50">
        <v>68</v>
      </c>
      <c r="G50">
        <v>2</v>
      </c>
      <c r="H50">
        <v>4</v>
      </c>
      <c r="I50">
        <f t="shared" si="1"/>
        <v>1</v>
      </c>
    </row>
    <row r="51" spans="1:9" x14ac:dyDescent="0.35">
      <c r="A51">
        <v>29</v>
      </c>
      <c r="B51">
        <v>1</v>
      </c>
      <c r="C51">
        <v>3</v>
      </c>
      <c r="D51">
        <f t="shared" si="2"/>
        <v>1.2100000000000002</v>
      </c>
      <c r="F51">
        <v>15</v>
      </c>
      <c r="G51">
        <v>2</v>
      </c>
      <c r="H51">
        <v>2</v>
      </c>
      <c r="I51">
        <f t="shared" si="1"/>
        <v>1</v>
      </c>
    </row>
    <row r="52" spans="1:9" x14ac:dyDescent="0.35">
      <c r="F52">
        <v>35</v>
      </c>
      <c r="G52">
        <v>2</v>
      </c>
      <c r="H52">
        <v>3</v>
      </c>
      <c r="I52">
        <f t="shared" si="1"/>
        <v>0</v>
      </c>
    </row>
    <row r="53" spans="1:9" x14ac:dyDescent="0.35">
      <c r="A53" t="s">
        <v>146</v>
      </c>
      <c r="C53">
        <f>SUM(C42:C51)/10</f>
        <v>1.9</v>
      </c>
      <c r="D53">
        <f>SUM(D42:D51)/(10-1)</f>
        <v>2.1</v>
      </c>
      <c r="F53">
        <v>56</v>
      </c>
      <c r="G53">
        <v>2</v>
      </c>
      <c r="H53">
        <v>1</v>
      </c>
      <c r="I53">
        <f t="shared" si="1"/>
        <v>4</v>
      </c>
    </row>
    <row r="54" spans="1:9" x14ac:dyDescent="0.35">
      <c r="F54">
        <v>16</v>
      </c>
      <c r="G54">
        <v>2</v>
      </c>
      <c r="H54">
        <v>2</v>
      </c>
      <c r="I54">
        <f t="shared" si="1"/>
        <v>1</v>
      </c>
    </row>
    <row r="55" spans="1:9" x14ac:dyDescent="0.35">
      <c r="F55">
        <v>11</v>
      </c>
      <c r="G55">
        <v>2</v>
      </c>
      <c r="H55">
        <v>3</v>
      </c>
      <c r="I55">
        <f t="shared" si="1"/>
        <v>0</v>
      </c>
    </row>
    <row r="56" spans="1:9" x14ac:dyDescent="0.35">
      <c r="F56">
        <v>55</v>
      </c>
      <c r="G56">
        <v>2</v>
      </c>
      <c r="H56">
        <v>1</v>
      </c>
      <c r="I56">
        <f t="shared" si="1"/>
        <v>4</v>
      </c>
    </row>
    <row r="58" spans="1:9" x14ac:dyDescent="0.35">
      <c r="F58" t="s">
        <v>146</v>
      </c>
      <c r="H58">
        <f>SUM(H42:H56)/15</f>
        <v>3</v>
      </c>
      <c r="I58">
        <f>SUM(I42:I56)/(15-1)</f>
        <v>1.8571428571428572</v>
      </c>
    </row>
  </sheetData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1E61-A294-455A-90C8-0717EA9499FB}">
  <dimension ref="A3:K30"/>
  <sheetViews>
    <sheetView workbookViewId="0">
      <selection activeCell="E5" sqref="E5"/>
    </sheetView>
  </sheetViews>
  <sheetFormatPr defaultRowHeight="14.5" x14ac:dyDescent="0.35"/>
  <cols>
    <col min="8" max="8" width="13.08984375" customWidth="1"/>
    <col min="9" max="9" width="9.26953125" bestFit="1" customWidth="1"/>
  </cols>
  <sheetData>
    <row r="3" spans="1:11" ht="15" thickBot="1" x14ac:dyDescent="0.4"/>
    <row r="4" spans="1:11" ht="44" thickBot="1" x14ac:dyDescent="0.4">
      <c r="A4" s="76" t="s">
        <v>131</v>
      </c>
      <c r="B4" s="74" t="s">
        <v>132</v>
      </c>
      <c r="C4" s="74" t="s">
        <v>133</v>
      </c>
      <c r="D4" s="74" t="s">
        <v>134</v>
      </c>
      <c r="E4" s="74" t="s">
        <v>151</v>
      </c>
      <c r="F4" s="75" t="s">
        <v>152</v>
      </c>
    </row>
    <row r="5" spans="1:11" x14ac:dyDescent="0.35">
      <c r="A5" s="46">
        <v>1</v>
      </c>
      <c r="B5">
        <v>45</v>
      </c>
      <c r="C5" s="72">
        <f>+B5/B7</f>
        <v>0.39130434782608697</v>
      </c>
      <c r="D5">
        <v>10</v>
      </c>
      <c r="E5">
        <f>+D25</f>
        <v>2</v>
      </c>
      <c r="F5" s="59">
        <f>+E5/D5</f>
        <v>0.2</v>
      </c>
      <c r="H5" t="s">
        <v>76</v>
      </c>
      <c r="I5" s="2">
        <f>SQRT((C5^2)*(1-D5/B5)*F5*(1-F5)/(D5-1)+(C6^2)*(1-D6/B6)*F6*(1-F6)/(D6-1))</f>
        <v>8.2085810194239398E-2</v>
      </c>
    </row>
    <row r="6" spans="1:11" x14ac:dyDescent="0.35">
      <c r="A6" s="46">
        <v>2</v>
      </c>
      <c r="B6">
        <v>70</v>
      </c>
      <c r="C6" s="72">
        <f>+B6/B7</f>
        <v>0.60869565217391308</v>
      </c>
      <c r="D6">
        <v>15</v>
      </c>
      <c r="E6">
        <f>+K30</f>
        <v>5</v>
      </c>
      <c r="F6" s="59">
        <f>+E6/D6</f>
        <v>0.33333333333333331</v>
      </c>
      <c r="H6" t="s">
        <v>173</v>
      </c>
      <c r="I6">
        <v>0.05</v>
      </c>
    </row>
    <row r="7" spans="1:11" ht="15" thickBot="1" x14ac:dyDescent="0.4">
      <c r="A7" s="49" t="s">
        <v>136</v>
      </c>
      <c r="B7" s="4">
        <f>+B5+B6</f>
        <v>115</v>
      </c>
      <c r="C7" s="73">
        <f>+B7/B7</f>
        <v>1</v>
      </c>
      <c r="D7" s="4">
        <f>+D5+D6</f>
        <v>25</v>
      </c>
      <c r="E7" s="4">
        <f>+E5+E6</f>
        <v>7</v>
      </c>
      <c r="F7" s="61">
        <f>+F5*C5+F6*C6</f>
        <v>0.28115942028985508</v>
      </c>
      <c r="H7" t="s">
        <v>177</v>
      </c>
      <c r="I7" s="2">
        <f>_xlfn.T.INV.2T(I6,(D7-1))</f>
        <v>2.0638985616280254</v>
      </c>
    </row>
    <row r="8" spans="1:11" x14ac:dyDescent="0.35">
      <c r="I8" s="2"/>
    </row>
    <row r="9" spans="1:11" ht="15" thickBot="1" x14ac:dyDescent="0.4">
      <c r="I9" s="2"/>
    </row>
    <row r="10" spans="1:11" x14ac:dyDescent="0.35">
      <c r="H10" s="100" t="s">
        <v>178</v>
      </c>
      <c r="I10" s="101"/>
      <c r="J10" s="102"/>
    </row>
    <row r="11" spans="1:11" ht="15" thickBot="1" x14ac:dyDescent="0.4">
      <c r="H11" s="67">
        <f>+F7-I7*I5</f>
        <v>0.11174263469989329</v>
      </c>
      <c r="I11" s="4" t="s">
        <v>176</v>
      </c>
      <c r="J11" s="68">
        <f>+F7+I5*I7</f>
        <v>0.45057620587981684</v>
      </c>
    </row>
    <row r="14" spans="1:11" x14ac:dyDescent="0.35">
      <c r="A14" t="s">
        <v>137</v>
      </c>
      <c r="B14" t="s">
        <v>138</v>
      </c>
      <c r="C14" t="s">
        <v>99</v>
      </c>
      <c r="D14" t="s">
        <v>149</v>
      </c>
      <c r="H14" t="s">
        <v>137</v>
      </c>
      <c r="I14" t="s">
        <v>138</v>
      </c>
      <c r="J14" t="s">
        <v>99</v>
      </c>
      <c r="K14" t="s">
        <v>149</v>
      </c>
    </row>
    <row r="15" spans="1:11" x14ac:dyDescent="0.35">
      <c r="A15">
        <v>8</v>
      </c>
      <c r="B15">
        <v>1</v>
      </c>
      <c r="C15">
        <f>IF(B15&lt;=3,0,1)</f>
        <v>0</v>
      </c>
      <c r="D15">
        <f>IF(C15&lt;=3,0,1)</f>
        <v>0</v>
      </c>
      <c r="H15">
        <v>49</v>
      </c>
      <c r="I15">
        <v>2</v>
      </c>
      <c r="J15">
        <v>5</v>
      </c>
      <c r="K15">
        <f>IF(J15&lt;=3,0,1)</f>
        <v>1</v>
      </c>
    </row>
    <row r="16" spans="1:11" x14ac:dyDescent="0.35">
      <c r="A16">
        <v>3</v>
      </c>
      <c r="B16">
        <v>1</v>
      </c>
      <c r="C16">
        <v>4</v>
      </c>
      <c r="D16">
        <f t="shared" ref="D16:D24" si="0">IF(C16&lt;=3,0,1)</f>
        <v>1</v>
      </c>
      <c r="H16">
        <v>5</v>
      </c>
      <c r="I16">
        <v>2</v>
      </c>
      <c r="J16">
        <v>2</v>
      </c>
      <c r="K16">
        <f t="shared" ref="K16:K29" si="1">IF(J16&lt;=3,0,1)</f>
        <v>0</v>
      </c>
    </row>
    <row r="17" spans="1:11" x14ac:dyDescent="0.35">
      <c r="A17">
        <v>55</v>
      </c>
      <c r="B17">
        <v>1</v>
      </c>
      <c r="C17">
        <v>2</v>
      </c>
      <c r="D17">
        <f t="shared" si="0"/>
        <v>0</v>
      </c>
      <c r="H17">
        <v>1</v>
      </c>
      <c r="I17">
        <v>2</v>
      </c>
      <c r="J17">
        <v>5</v>
      </c>
      <c r="K17">
        <f t="shared" si="1"/>
        <v>1</v>
      </c>
    </row>
    <row r="18" spans="1:11" x14ac:dyDescent="0.35">
      <c r="A18">
        <v>19</v>
      </c>
      <c r="B18">
        <v>1</v>
      </c>
      <c r="C18">
        <v>1</v>
      </c>
      <c r="D18">
        <f t="shared" si="0"/>
        <v>0</v>
      </c>
      <c r="H18">
        <v>99</v>
      </c>
      <c r="I18">
        <v>2</v>
      </c>
      <c r="J18">
        <v>4</v>
      </c>
      <c r="K18">
        <f t="shared" si="1"/>
        <v>1</v>
      </c>
    </row>
    <row r="19" spans="1:11" x14ac:dyDescent="0.35">
      <c r="A19">
        <v>76</v>
      </c>
      <c r="B19">
        <v>1</v>
      </c>
      <c r="C19">
        <v>1</v>
      </c>
      <c r="D19">
        <f t="shared" si="0"/>
        <v>0</v>
      </c>
      <c r="H19">
        <v>30</v>
      </c>
      <c r="I19">
        <v>2</v>
      </c>
      <c r="J19">
        <v>2</v>
      </c>
      <c r="K19">
        <f t="shared" si="1"/>
        <v>0</v>
      </c>
    </row>
    <row r="20" spans="1:11" x14ac:dyDescent="0.35">
      <c r="A20">
        <v>68</v>
      </c>
      <c r="B20">
        <v>1</v>
      </c>
      <c r="C20">
        <v>4</v>
      </c>
      <c r="D20">
        <f t="shared" si="0"/>
        <v>1</v>
      </c>
      <c r="H20">
        <v>93</v>
      </c>
      <c r="I20">
        <v>2</v>
      </c>
      <c r="J20">
        <v>5</v>
      </c>
      <c r="K20">
        <f t="shared" si="1"/>
        <v>1</v>
      </c>
    </row>
    <row r="21" spans="1:11" x14ac:dyDescent="0.35">
      <c r="A21">
        <v>5</v>
      </c>
      <c r="B21">
        <v>1</v>
      </c>
      <c r="C21">
        <v>2</v>
      </c>
      <c r="D21">
        <f t="shared" si="0"/>
        <v>0</v>
      </c>
      <c r="H21">
        <v>105</v>
      </c>
      <c r="I21">
        <v>2</v>
      </c>
      <c r="J21">
        <v>3</v>
      </c>
      <c r="K21">
        <f t="shared" si="1"/>
        <v>0</v>
      </c>
    </row>
    <row r="22" spans="1:11" x14ac:dyDescent="0.35">
      <c r="A22">
        <v>28</v>
      </c>
      <c r="B22">
        <v>1</v>
      </c>
      <c r="C22">
        <v>2</v>
      </c>
      <c r="D22">
        <f t="shared" si="0"/>
        <v>0</v>
      </c>
      <c r="H22">
        <v>46</v>
      </c>
      <c r="I22">
        <v>2</v>
      </c>
      <c r="J22">
        <v>3</v>
      </c>
      <c r="K22">
        <f t="shared" si="1"/>
        <v>0</v>
      </c>
    </row>
    <row r="23" spans="1:11" x14ac:dyDescent="0.35">
      <c r="A23">
        <v>85</v>
      </c>
      <c r="B23">
        <v>1</v>
      </c>
      <c r="C23">
        <v>0</v>
      </c>
      <c r="D23">
        <f t="shared" si="0"/>
        <v>0</v>
      </c>
      <c r="H23">
        <v>68</v>
      </c>
      <c r="I23">
        <v>2</v>
      </c>
      <c r="J23">
        <v>4</v>
      </c>
      <c r="K23">
        <f t="shared" si="1"/>
        <v>1</v>
      </c>
    </row>
    <row r="24" spans="1:11" x14ac:dyDescent="0.35">
      <c r="A24">
        <v>29</v>
      </c>
      <c r="B24">
        <v>1</v>
      </c>
      <c r="C24">
        <v>3</v>
      </c>
      <c r="D24">
        <f t="shared" si="0"/>
        <v>0</v>
      </c>
      <c r="H24">
        <v>15</v>
      </c>
      <c r="I24">
        <v>2</v>
      </c>
      <c r="J24">
        <v>2</v>
      </c>
      <c r="K24">
        <f t="shared" si="1"/>
        <v>0</v>
      </c>
    </row>
    <row r="25" spans="1:11" x14ac:dyDescent="0.35">
      <c r="A25" t="s">
        <v>150</v>
      </c>
      <c r="D25">
        <f>SUM(D15:D24)</f>
        <v>2</v>
      </c>
      <c r="H25">
        <v>35</v>
      </c>
      <c r="I25">
        <v>2</v>
      </c>
      <c r="J25">
        <v>3</v>
      </c>
      <c r="K25">
        <f t="shared" si="1"/>
        <v>0</v>
      </c>
    </row>
    <row r="26" spans="1:11" x14ac:dyDescent="0.35">
      <c r="H26">
        <v>56</v>
      </c>
      <c r="I26">
        <v>2</v>
      </c>
      <c r="J26">
        <v>1</v>
      </c>
      <c r="K26">
        <f t="shared" si="1"/>
        <v>0</v>
      </c>
    </row>
    <row r="27" spans="1:11" x14ac:dyDescent="0.35">
      <c r="H27">
        <v>16</v>
      </c>
      <c r="I27">
        <v>2</v>
      </c>
      <c r="J27">
        <v>2</v>
      </c>
      <c r="K27">
        <f t="shared" si="1"/>
        <v>0</v>
      </c>
    </row>
    <row r="28" spans="1:11" x14ac:dyDescent="0.35">
      <c r="H28">
        <v>11</v>
      </c>
      <c r="I28">
        <v>2</v>
      </c>
      <c r="J28">
        <v>3</v>
      </c>
      <c r="K28">
        <f t="shared" si="1"/>
        <v>0</v>
      </c>
    </row>
    <row r="29" spans="1:11" x14ac:dyDescent="0.35">
      <c r="H29">
        <v>55</v>
      </c>
      <c r="I29">
        <v>2</v>
      </c>
      <c r="J29">
        <v>1</v>
      </c>
      <c r="K29">
        <f t="shared" si="1"/>
        <v>0</v>
      </c>
    </row>
    <row r="30" spans="1:11" x14ac:dyDescent="0.35">
      <c r="H30" t="s">
        <v>150</v>
      </c>
      <c r="K30">
        <f>SUM(K15:K29)</f>
        <v>5</v>
      </c>
    </row>
  </sheetData>
  <mergeCells count="1">
    <mergeCell ref="H10:J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Campione c.s. senza ripetizioni</vt:lpstr>
      <vt:lpstr>Campione c.s. con ripetizioni</vt:lpstr>
      <vt:lpstr>Campione casuale sistematico</vt:lpstr>
      <vt:lpstr>Campione stratificato</vt:lpstr>
      <vt:lpstr>Stima dei parametri</vt:lpstr>
      <vt:lpstr>Stima proporzione</vt:lpstr>
      <vt:lpstr>Esericizio di calcolo</vt:lpstr>
      <vt:lpstr>Campione strat_libro pag.72</vt:lpstr>
      <vt:lpstr>Pag.72_Proporzione</vt:lpstr>
      <vt:lpstr>Intervallo confidenza-pag.74</vt:lpstr>
      <vt:lpstr>Numerosità campionaria vs 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Cannata</dc:creator>
  <cp:lastModifiedBy>CANNATA ROBERTO</cp:lastModifiedBy>
  <dcterms:created xsi:type="dcterms:W3CDTF">2015-06-05T18:19:34Z</dcterms:created>
  <dcterms:modified xsi:type="dcterms:W3CDTF">2026-01-09T18:52:52Z</dcterms:modified>
</cp:coreProperties>
</file>