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bich\lezioni\TNT\Excel\"/>
    </mc:Choice>
  </mc:AlternateContent>
  <xr:revisionPtr revIDLastSave="0" documentId="13_ncr:1_{C2C99A0F-49A1-43E1-84AE-6B6026D148B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tarlink-5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H28" i="1" s="1"/>
  <c r="H29" i="1" s="1"/>
  <c r="H24" i="1"/>
  <c r="B18" i="1" l="1"/>
  <c r="B16" i="1"/>
  <c r="B17" i="1" s="1"/>
  <c r="B14" i="1"/>
  <c r="D16" i="1" s="1"/>
  <c r="B13" i="1"/>
  <c r="B2" i="1"/>
  <c r="B10" i="1" s="1"/>
  <c r="B11" i="1" s="1"/>
  <c r="B21" i="1" l="1"/>
  <c r="D18" i="1"/>
  <c r="E21" i="1"/>
  <c r="B22" i="1"/>
  <c r="B3" i="1"/>
  <c r="D8" i="1" s="1"/>
  <c r="B5" i="1"/>
  <c r="B6" i="1" s="1"/>
  <c r="B8" i="1" l="1"/>
  <c r="J26" i="1" l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S3" i="1"/>
  <c r="R3" i="1"/>
  <c r="Q3" i="1"/>
  <c r="P3" i="1"/>
  <c r="O3" i="1"/>
  <c r="N3" i="1"/>
  <c r="M3" i="1"/>
  <c r="I26" i="1" l="1"/>
  <c r="H4" i="1"/>
  <c r="H17" i="1" s="1"/>
  <c r="J17" i="1" s="1"/>
  <c r="H13" i="1"/>
  <c r="H10" i="1"/>
  <c r="H5" i="1"/>
  <c r="H6" i="1" s="1"/>
  <c r="H7" i="1" l="1"/>
  <c r="H18" i="1"/>
  <c r="H20" i="1" s="1"/>
  <c r="H8" i="1" l="1"/>
  <c r="H9" i="1" s="1"/>
  <c r="J7" i="1"/>
  <c r="H14" i="1" l="1"/>
  <c r="H11" i="1"/>
  <c r="H16" i="1" s="1"/>
  <c r="H21" i="1" s="1"/>
  <c r="H22" i="1" l="1"/>
  <c r="H27" i="1"/>
  <c r="J16" i="1"/>
</calcChain>
</file>

<file path=xl/sharedStrings.xml><?xml version="1.0" encoding="utf-8"?>
<sst xmlns="http://schemas.openxmlformats.org/spreadsheetml/2006/main" count="95" uniqueCount="67">
  <si>
    <t>N</t>
  </si>
  <si>
    <t>NFFT</t>
  </si>
  <si>
    <t>Tsampling</t>
  </si>
  <si>
    <t>T</t>
  </si>
  <si>
    <t>Tslot</t>
  </si>
  <si>
    <t>b</t>
  </si>
  <si>
    <t>bit rate</t>
  </si>
  <si>
    <t>bit</t>
  </si>
  <si>
    <t>r</t>
  </si>
  <si>
    <t>bit/s/Hz</t>
  </si>
  <si>
    <t>MHz</t>
  </si>
  <si>
    <t>Mbit/s</t>
  </si>
  <si>
    <t>kHz</t>
  </si>
  <si>
    <t>ns</t>
  </si>
  <si>
    <t>W available</t>
  </si>
  <si>
    <t>W total</t>
  </si>
  <si>
    <t>W used</t>
  </si>
  <si>
    <t>The input parameters are in red</t>
  </si>
  <si>
    <r>
      <rPr>
        <sz val="12"/>
        <color theme="1"/>
        <rFont val="Symbol"/>
        <family val="1"/>
        <charset val="2"/>
      </rPr>
      <t>D</t>
    </r>
    <r>
      <rPr>
        <sz val="12"/>
        <color theme="1"/>
        <rFont val="Calibri"/>
        <family val="2"/>
        <scheme val="minor"/>
      </rPr>
      <t xml:space="preserve"> f</t>
    </r>
  </si>
  <si>
    <r>
      <rPr>
        <sz val="12"/>
        <color theme="1"/>
        <rFont val="Symbol"/>
        <family val="1"/>
        <charset val="2"/>
      </rPr>
      <t>m</t>
    </r>
    <r>
      <rPr>
        <sz val="12"/>
        <color theme="1"/>
        <rFont val="Calibri"/>
        <family val="2"/>
        <scheme val="minor"/>
      </rPr>
      <t>s</t>
    </r>
  </si>
  <si>
    <t>5G</t>
  </si>
  <si>
    <t>Index</t>
  </si>
  <si>
    <t>long symbols</t>
  </si>
  <si>
    <t>short symbols</t>
  </si>
  <si>
    <t>short symbol duration</t>
  </si>
  <si>
    <t>long symbol duration</t>
  </si>
  <si>
    <t>CP1 (samples)</t>
  </si>
  <si>
    <t>CP2 (samples)</t>
  </si>
  <si>
    <t>Resource Blocks</t>
  </si>
  <si>
    <t>Tc (480 kHz e NFFT=4096)</t>
  </si>
  <si>
    <t>in Tc time</t>
  </si>
  <si>
    <t>Margin</t>
  </si>
  <si>
    <t>BW [MHz]</t>
  </si>
  <si>
    <t>FR1</t>
  </si>
  <si>
    <t>FR2</t>
  </si>
  <si>
    <r>
      <rPr>
        <b/>
        <sz val="11"/>
        <color rgb="FF00B050"/>
        <rFont val="Symbol"/>
        <family val="1"/>
        <charset val="2"/>
      </rPr>
      <t>D</t>
    </r>
    <r>
      <rPr>
        <b/>
        <vertAlign val="subscript"/>
        <sz val="11"/>
        <color rgb="FF00B050"/>
        <rFont val="Calibri"/>
        <family val="2"/>
        <scheme val="minor"/>
      </rPr>
      <t>f</t>
    </r>
    <r>
      <rPr>
        <b/>
        <sz val="11"/>
        <color rgb="FF00B050"/>
        <rFont val="Calibri"/>
        <family val="2"/>
        <scheme val="minor"/>
      </rPr>
      <t xml:space="preserve"> (kHz)</t>
    </r>
  </si>
  <si>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s</t>
    </r>
  </si>
  <si>
    <t>Starlink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</si>
  <si>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f</t>
    </r>
  </si>
  <si>
    <t>Hz</t>
  </si>
  <si>
    <t>s</t>
  </si>
  <si>
    <t>W</t>
  </si>
  <si>
    <t>Ts</t>
  </si>
  <si>
    <t>CP1</t>
  </si>
  <si>
    <t>Tsym</t>
  </si>
  <si>
    <t>Tg</t>
  </si>
  <si>
    <t>Frame symbols</t>
  </si>
  <si>
    <t>Frame length</t>
  </si>
  <si>
    <t>Useful carriers</t>
  </si>
  <si>
    <t>Useful symbols</t>
  </si>
  <si>
    <t>useful bit rate</t>
  </si>
  <si>
    <r>
      <t>3x5</t>
    </r>
    <r>
      <rPr>
        <vertAlign val="superscript"/>
        <sz val="12"/>
        <color theme="1"/>
        <rFont val="Calibri"/>
        <family val="2"/>
        <scheme val="minor"/>
      </rPr>
      <t>7</t>
    </r>
  </si>
  <si>
    <t>samples</t>
  </si>
  <si>
    <t>Net bandwidth</t>
  </si>
  <si>
    <t>66/15</t>
  </si>
  <si>
    <t>68/15</t>
  </si>
  <si>
    <t>first symbol</t>
  </si>
  <si>
    <t>standard symbols</t>
  </si>
  <si>
    <t>per frame</t>
  </si>
  <si>
    <t>Frame rate</t>
  </si>
  <si>
    <t>frames/s</t>
  </si>
  <si>
    <t>Code rate</t>
  </si>
  <si>
    <t>Useful bit rate</t>
  </si>
  <si>
    <t>R</t>
  </si>
  <si>
    <t>CNRt</t>
  </si>
  <si>
    <t>info bits/symbol</t>
  </si>
  <si>
    <t>[dB]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</si>
</sst>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2"/>
      <color theme="1"/>
      <name val="Symbol"/>
      <family val="1"/>
      <charset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B050"/>
      <name val="Symbol"/>
      <family val="1"/>
      <charset val="2"/>
    </font>
    <font>
      <b/>
      <vertAlign val="subscript"/>
      <sz val="11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Symbol"/>
      <family val="1"/>
      <charset val="2"/>
    </font>
    <font>
      <b/>
      <sz val="11"/>
      <color theme="1"/>
      <name val="Symbol"/>
      <family val="1"/>
      <charset val="2"/>
    </font>
    <font>
      <b/>
      <sz val="1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7" fillId="0" borderId="1" xfId="0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0" xfId="0" applyFont="1"/>
    <xf numFmtId="2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7" xfId="0" applyFont="1" applyBorder="1"/>
    <xf numFmtId="0" fontId="9" fillId="0" borderId="0" xfId="0" applyFont="1"/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1" fontId="14" fillId="0" borderId="0" xfId="0" applyNumberFormat="1" applyFont="1"/>
    <xf numFmtId="0" fontId="14" fillId="0" borderId="0" xfId="0" applyFont="1"/>
    <xf numFmtId="0" fontId="0" fillId="0" borderId="0" xfId="0" applyFont="1"/>
    <xf numFmtId="2" fontId="1" fillId="0" borderId="0" xfId="0" applyNumberFormat="1" applyFont="1"/>
    <xf numFmtId="11" fontId="0" fillId="0" borderId="0" xfId="0" applyNumberFormat="1" applyFont="1"/>
    <xf numFmtId="164" fontId="0" fillId="0" borderId="0" xfId="0" applyNumberFormat="1" applyFont="1"/>
    <xf numFmtId="2" fontId="0" fillId="0" borderId="0" xfId="0" applyNumberFormat="1" applyFont="1"/>
    <xf numFmtId="0" fontId="17" fillId="0" borderId="1" xfId="0" applyFont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2" fontId="17" fillId="0" borderId="5" xfId="0" applyNumberFormat="1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1" fontId="1" fillId="0" borderId="0" xfId="0" applyNumberFormat="1" applyFont="1"/>
    <xf numFmtId="11" fontId="3" fillId="0" borderId="0" xfId="0" applyNumberFormat="1" applyFont="1"/>
    <xf numFmtId="2" fontId="3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zoomScale="120" zoomScaleNormal="120" workbookViewId="0">
      <selection activeCell="G27" sqref="G27"/>
    </sheetView>
  </sheetViews>
  <sheetFormatPr defaultRowHeight="15.75"/>
  <cols>
    <col min="1" max="1" width="14.5703125" customWidth="1"/>
    <col min="2" max="2" width="11.85546875" customWidth="1"/>
    <col min="4" max="4" width="11.140625" style="2" customWidth="1"/>
    <col min="5" max="5" width="9.140625" style="2"/>
    <col min="6" max="6" width="12.85546875" style="2" customWidth="1"/>
    <col min="7" max="7" width="23.5703125" style="2" customWidth="1"/>
    <col min="8" max="8" width="10.42578125" style="2" bestFit="1" customWidth="1"/>
    <col min="9" max="16384" width="9.140625" style="2"/>
  </cols>
  <sheetData>
    <row r="1" spans="1:20">
      <c r="B1" s="15" t="s">
        <v>37</v>
      </c>
      <c r="H1" s="19" t="s">
        <v>20</v>
      </c>
      <c r="L1" s="14" t="s">
        <v>21</v>
      </c>
      <c r="M1" s="14">
        <v>0</v>
      </c>
      <c r="N1" s="14">
        <v>1</v>
      </c>
      <c r="O1" s="14">
        <v>2</v>
      </c>
      <c r="P1" s="14">
        <v>2</v>
      </c>
      <c r="Q1" s="14">
        <v>3</v>
      </c>
      <c r="R1" s="14">
        <v>5</v>
      </c>
      <c r="S1" s="14">
        <v>6</v>
      </c>
      <c r="T1" s="14" t="s">
        <v>32</v>
      </c>
    </row>
    <row r="2" spans="1:20" ht="18">
      <c r="A2" s="14" t="s">
        <v>38</v>
      </c>
      <c r="B2" s="35">
        <f>3*5^7</f>
        <v>234375</v>
      </c>
      <c r="C2" s="24" t="s">
        <v>39</v>
      </c>
      <c r="D2" s="2" t="s">
        <v>51</v>
      </c>
      <c r="G2" s="2" t="s">
        <v>21</v>
      </c>
      <c r="H2" s="23">
        <v>0</v>
      </c>
      <c r="I2" s="20" t="s">
        <v>33</v>
      </c>
      <c r="L2" s="14"/>
      <c r="M2" s="15" t="s">
        <v>33</v>
      </c>
      <c r="N2"/>
      <c r="O2"/>
      <c r="P2" s="16" t="s">
        <v>34</v>
      </c>
      <c r="Q2"/>
      <c r="R2"/>
      <c r="S2"/>
      <c r="T2"/>
    </row>
    <row r="3" spans="1:20" ht="18">
      <c r="A3" s="14" t="s">
        <v>3</v>
      </c>
      <c r="B3" s="26">
        <f>1/B2</f>
        <v>4.2666666666666668E-6</v>
      </c>
      <c r="C3" s="24" t="s">
        <v>40</v>
      </c>
      <c r="D3" s="2" t="s">
        <v>17</v>
      </c>
      <c r="G3" s="2" t="s">
        <v>14</v>
      </c>
      <c r="H3" s="22">
        <v>5</v>
      </c>
      <c r="I3" s="2" t="s">
        <v>10</v>
      </c>
      <c r="L3" s="17" t="s">
        <v>35</v>
      </c>
      <c r="M3" s="14">
        <f t="shared" ref="M3:S3" si="0">15*2^M1</f>
        <v>15</v>
      </c>
      <c r="N3" s="14">
        <f t="shared" si="0"/>
        <v>30</v>
      </c>
      <c r="O3" s="14">
        <f t="shared" si="0"/>
        <v>60</v>
      </c>
      <c r="P3" s="18">
        <f t="shared" si="0"/>
        <v>60</v>
      </c>
      <c r="Q3" s="18">
        <f t="shared" si="0"/>
        <v>120</v>
      </c>
      <c r="R3" s="18">
        <f t="shared" si="0"/>
        <v>480</v>
      </c>
      <c r="S3" s="18">
        <f t="shared" si="0"/>
        <v>960</v>
      </c>
      <c r="T3"/>
    </row>
    <row r="4" spans="1:20">
      <c r="A4" s="14" t="s">
        <v>1</v>
      </c>
      <c r="B4" s="35">
        <v>1024</v>
      </c>
      <c r="C4" s="24"/>
      <c r="G4" s="2" t="s">
        <v>28</v>
      </c>
      <c r="H4" s="2">
        <f>IF(I2=M2,IF(H2=M1,SUMIF(T4:T21,H3,M4:M21),IF(H2=N1,SUMIF(T4:T21,H3,N4:N21),IF(H2=O1,SUMIF(T4:T21,H3,O4:O21),"errore"))),IF(H2=P1,SUMIF(T4:T21,H3,P4:P21),IF(H2=Q1,SUMIF(T4:T21,H3,Q4:Q21),IF(H2=R1,SUMIF(T4:T21,H3,R4:R21),IF(H2=S1,SUMIF(T4:T21,H3,S4:S21),"errore")))))</f>
        <v>25</v>
      </c>
      <c r="L4" s="14">
        <v>1</v>
      </c>
      <c r="M4">
        <v>25</v>
      </c>
      <c r="N4">
        <v>11</v>
      </c>
      <c r="O4"/>
      <c r="P4"/>
      <c r="Q4"/>
      <c r="R4"/>
      <c r="S4"/>
      <c r="T4" s="14">
        <f>L4*5</f>
        <v>5</v>
      </c>
    </row>
    <row r="5" spans="1:20">
      <c r="A5" s="14" t="s">
        <v>41</v>
      </c>
      <c r="B5" s="26">
        <f>B4*B2</f>
        <v>240000000</v>
      </c>
      <c r="C5" s="24" t="s">
        <v>39</v>
      </c>
      <c r="G5" s="3" t="s">
        <v>18</v>
      </c>
      <c r="H5" s="2">
        <f>15*2^H2</f>
        <v>15</v>
      </c>
      <c r="I5" s="2" t="s">
        <v>12</v>
      </c>
      <c r="L5" s="14">
        <v>2</v>
      </c>
      <c r="M5">
        <v>52</v>
      </c>
      <c r="N5">
        <v>24</v>
      </c>
      <c r="O5">
        <v>11</v>
      </c>
      <c r="P5"/>
      <c r="Q5"/>
      <c r="R5"/>
      <c r="S5"/>
      <c r="T5" s="14">
        <f t="shared" ref="T5:T21" si="1">L5*5</f>
        <v>10</v>
      </c>
    </row>
    <row r="6" spans="1:20">
      <c r="A6" s="14" t="s">
        <v>42</v>
      </c>
      <c r="B6" s="26">
        <f>1/B5</f>
        <v>4.1666666666666668E-9</v>
      </c>
      <c r="C6" s="24" t="s">
        <v>40</v>
      </c>
      <c r="G6" s="2" t="s">
        <v>3</v>
      </c>
      <c r="H6" s="4">
        <f>1/H5*1000</f>
        <v>66.666666666666671</v>
      </c>
      <c r="I6" s="3" t="s">
        <v>19</v>
      </c>
      <c r="L6" s="14">
        <v>3</v>
      </c>
      <c r="M6">
        <v>79</v>
      </c>
      <c r="N6">
        <v>38</v>
      </c>
      <c r="O6">
        <v>18</v>
      </c>
      <c r="P6"/>
      <c r="Q6"/>
      <c r="R6"/>
      <c r="S6"/>
      <c r="T6" s="14">
        <f t="shared" si="1"/>
        <v>15</v>
      </c>
    </row>
    <row r="7" spans="1:20">
      <c r="A7" s="14" t="s">
        <v>43</v>
      </c>
      <c r="B7" s="1">
        <v>32</v>
      </c>
      <c r="C7" s="24" t="s">
        <v>52</v>
      </c>
      <c r="G7" s="2" t="s">
        <v>1</v>
      </c>
      <c r="H7" s="2">
        <f>2^CEILING(LOG(H17,2),1)</f>
        <v>512</v>
      </c>
      <c r="J7" s="2">
        <f>H7*H$5</f>
        <v>7680</v>
      </c>
      <c r="L7" s="14">
        <v>4</v>
      </c>
      <c r="M7">
        <v>106</v>
      </c>
      <c r="N7">
        <v>51</v>
      </c>
      <c r="O7">
        <v>24</v>
      </c>
      <c r="P7"/>
      <c r="Q7"/>
      <c r="R7"/>
      <c r="S7"/>
      <c r="T7" s="14">
        <f t="shared" si="1"/>
        <v>20</v>
      </c>
    </row>
    <row r="8" spans="1:20">
      <c r="A8" s="14" t="s">
        <v>44</v>
      </c>
      <c r="B8" s="26">
        <f>B$3+B7*B$6</f>
        <v>4.4000000000000002E-6</v>
      </c>
      <c r="C8" s="24" t="s">
        <v>40</v>
      </c>
      <c r="D8" s="36">
        <f>B3+B6*B7</f>
        <v>4.4000000000000002E-6</v>
      </c>
      <c r="G8" s="2" t="s">
        <v>15</v>
      </c>
      <c r="H8" s="4">
        <f>H7*H5/1000</f>
        <v>7.68</v>
      </c>
      <c r="I8" s="2" t="s">
        <v>10</v>
      </c>
      <c r="L8" s="14">
        <v>5</v>
      </c>
      <c r="M8">
        <v>133</v>
      </c>
      <c r="N8">
        <v>65</v>
      </c>
      <c r="O8">
        <v>31</v>
      </c>
      <c r="P8"/>
      <c r="Q8"/>
      <c r="R8"/>
      <c r="S8"/>
      <c r="T8" s="14">
        <f t="shared" si="1"/>
        <v>25</v>
      </c>
    </row>
    <row r="9" spans="1:20">
      <c r="A9" s="14" t="s">
        <v>0</v>
      </c>
      <c r="B9" s="1">
        <v>1024</v>
      </c>
      <c r="C9" s="24"/>
      <c r="G9" s="2" t="s">
        <v>2</v>
      </c>
      <c r="H9" s="4">
        <f>1/H8*1000</f>
        <v>130.20833333333334</v>
      </c>
      <c r="I9" s="2" t="s">
        <v>13</v>
      </c>
      <c r="L9" s="14">
        <v>6</v>
      </c>
      <c r="M9">
        <v>160</v>
      </c>
      <c r="N9">
        <v>78</v>
      </c>
      <c r="O9">
        <v>38</v>
      </c>
      <c r="P9" s="1"/>
      <c r="Q9" s="1"/>
      <c r="R9" s="1"/>
      <c r="S9" s="1"/>
      <c r="T9" s="14">
        <f t="shared" si="1"/>
        <v>30</v>
      </c>
    </row>
    <row r="10" spans="1:20">
      <c r="A10" s="14" t="s">
        <v>53</v>
      </c>
      <c r="B10" s="27">
        <f>B9*B2/1000000</f>
        <v>240</v>
      </c>
      <c r="C10" s="24" t="s">
        <v>10</v>
      </c>
      <c r="G10" s="2" t="s">
        <v>26</v>
      </c>
      <c r="H10" s="12">
        <f>64*(144*2^-H$2+16)</f>
        <v>10240</v>
      </c>
      <c r="I10" s="2" t="s">
        <v>30</v>
      </c>
      <c r="L10" s="14">
        <v>8</v>
      </c>
      <c r="M10">
        <v>216</v>
      </c>
      <c r="N10">
        <v>106</v>
      </c>
      <c r="O10">
        <v>51</v>
      </c>
      <c r="P10"/>
      <c r="Q10"/>
      <c r="R10"/>
      <c r="S10"/>
      <c r="T10" s="14">
        <f t="shared" si="1"/>
        <v>40</v>
      </c>
    </row>
    <row r="11" spans="1:20">
      <c r="A11" s="14" t="s">
        <v>41</v>
      </c>
      <c r="B11" s="27">
        <f>B10</f>
        <v>240</v>
      </c>
      <c r="C11" s="24" t="s">
        <v>10</v>
      </c>
      <c r="G11" s="2" t="s">
        <v>25</v>
      </c>
      <c r="H11" s="4">
        <f>H$6+H10*H$24/1000</f>
        <v>71.875</v>
      </c>
      <c r="I11" s="3" t="s">
        <v>19</v>
      </c>
      <c r="L11" s="14">
        <v>10</v>
      </c>
      <c r="M11">
        <v>270</v>
      </c>
      <c r="N11">
        <v>133</v>
      </c>
      <c r="O11">
        <v>65</v>
      </c>
      <c r="P11"/>
      <c r="Q11">
        <v>32</v>
      </c>
      <c r="R11"/>
      <c r="S11"/>
      <c r="T11" s="14">
        <f t="shared" si="1"/>
        <v>50</v>
      </c>
    </row>
    <row r="12" spans="1:20">
      <c r="A12" s="14" t="s">
        <v>5</v>
      </c>
      <c r="B12" s="1">
        <v>2</v>
      </c>
      <c r="C12" s="24" t="s">
        <v>7</v>
      </c>
      <c r="G12" s="2" t="s">
        <v>22</v>
      </c>
      <c r="H12" s="21">
        <v>2</v>
      </c>
      <c r="I12" s="3"/>
      <c r="L12" s="14">
        <v>12</v>
      </c>
      <c r="M12"/>
      <c r="N12">
        <v>162</v>
      </c>
      <c r="O12">
        <v>79</v>
      </c>
      <c r="P12"/>
      <c r="Q12"/>
      <c r="R12"/>
      <c r="S12"/>
      <c r="T12" s="14">
        <f t="shared" si="1"/>
        <v>60</v>
      </c>
    </row>
    <row r="13" spans="1:20">
      <c r="A13" s="24" t="s">
        <v>44</v>
      </c>
      <c r="B13" s="24">
        <f>66/15</f>
        <v>4.4000000000000004</v>
      </c>
      <c r="C13" s="26" t="s">
        <v>36</v>
      </c>
      <c r="D13" s="2" t="s">
        <v>54</v>
      </c>
      <c r="G13" s="2" t="s">
        <v>27</v>
      </c>
      <c r="H13" s="12">
        <f>64*(144*2^-H$2)</f>
        <v>9216</v>
      </c>
      <c r="L13" s="14">
        <v>14</v>
      </c>
      <c r="M13"/>
      <c r="N13">
        <v>189</v>
      </c>
      <c r="O13">
        <v>93</v>
      </c>
      <c r="P13"/>
      <c r="Q13"/>
      <c r="R13"/>
      <c r="S13"/>
      <c r="T13" s="14">
        <f t="shared" si="1"/>
        <v>70</v>
      </c>
    </row>
    <row r="14" spans="1:20">
      <c r="A14" s="24" t="s">
        <v>45</v>
      </c>
      <c r="B14" s="25">
        <f>68/15</f>
        <v>4.5333333333333332</v>
      </c>
      <c r="C14" s="26" t="s">
        <v>36</v>
      </c>
      <c r="D14" s="2" t="s">
        <v>55</v>
      </c>
      <c r="E14" s="2" t="s">
        <v>56</v>
      </c>
      <c r="G14" s="2" t="s">
        <v>24</v>
      </c>
      <c r="H14" s="4">
        <f>H$6+H13*H$24/1000</f>
        <v>71.354166666666671</v>
      </c>
      <c r="I14" s="3" t="s">
        <v>19</v>
      </c>
      <c r="L14" s="14">
        <v>16</v>
      </c>
      <c r="M14"/>
      <c r="N14">
        <v>217</v>
      </c>
      <c r="O14">
        <v>107</v>
      </c>
      <c r="P14"/>
      <c r="Q14"/>
      <c r="R14"/>
      <c r="S14"/>
      <c r="T14" s="14">
        <f t="shared" si="1"/>
        <v>80</v>
      </c>
    </row>
    <row r="15" spans="1:20">
      <c r="A15" s="24" t="s">
        <v>46</v>
      </c>
      <c r="B15" s="1">
        <v>302</v>
      </c>
      <c r="C15" s="24"/>
      <c r="E15" s="2" t="s">
        <v>57</v>
      </c>
      <c r="G15" s="2" t="s">
        <v>23</v>
      </c>
      <c r="H15" s="21">
        <v>12</v>
      </c>
      <c r="L15" s="14">
        <v>18</v>
      </c>
      <c r="M15"/>
      <c r="N15">
        <v>245</v>
      </c>
      <c r="O15">
        <v>121</v>
      </c>
      <c r="P15"/>
      <c r="Q15"/>
      <c r="R15"/>
      <c r="S15"/>
      <c r="T15" s="14">
        <f t="shared" si="1"/>
        <v>90</v>
      </c>
    </row>
    <row r="16" spans="1:20">
      <c r="A16" s="24" t="s">
        <v>47</v>
      </c>
      <c r="B16" s="28">
        <f>(B15*B13+B14)</f>
        <v>1333.3333333333335</v>
      </c>
      <c r="C16" s="26" t="s">
        <v>36</v>
      </c>
      <c r="D16" s="2">
        <f>B14+B13*B15</f>
        <v>1333.3333333333335</v>
      </c>
      <c r="E16" s="5"/>
      <c r="G16" s="2" t="s">
        <v>4</v>
      </c>
      <c r="H16" s="4">
        <f>(H11*H12+H15*H14)</f>
        <v>1000</v>
      </c>
      <c r="I16" s="3" t="s">
        <v>19</v>
      </c>
      <c r="J16" s="2">
        <f>H15*H14+H12*H11</f>
        <v>1000</v>
      </c>
      <c r="L16" s="14">
        <v>20</v>
      </c>
      <c r="M16"/>
      <c r="N16">
        <v>273</v>
      </c>
      <c r="O16">
        <v>135</v>
      </c>
      <c r="P16"/>
      <c r="Q16">
        <v>66</v>
      </c>
      <c r="R16"/>
      <c r="S16"/>
      <c r="T16" s="14">
        <f t="shared" si="1"/>
        <v>100</v>
      </c>
    </row>
    <row r="17" spans="1:20">
      <c r="A17" s="24" t="s">
        <v>59</v>
      </c>
      <c r="B17" s="24">
        <f>1/B16*1000000</f>
        <v>749.99999999999989</v>
      </c>
      <c r="C17" s="26" t="s">
        <v>60</v>
      </c>
      <c r="G17" s="2" t="s">
        <v>0</v>
      </c>
      <c r="H17" s="2">
        <f>12*H4</f>
        <v>300</v>
      </c>
      <c r="J17" s="2">
        <f>H17*H$5</f>
        <v>4500</v>
      </c>
      <c r="L17" s="14">
        <v>40</v>
      </c>
      <c r="M17"/>
      <c r="N17"/>
      <c r="O17"/>
      <c r="P17">
        <v>264</v>
      </c>
      <c r="Q17">
        <v>132</v>
      </c>
      <c r="R17"/>
      <c r="S17"/>
      <c r="T17" s="14">
        <f t="shared" si="1"/>
        <v>200</v>
      </c>
    </row>
    <row r="18" spans="1:20">
      <c r="A18" s="24" t="s">
        <v>48</v>
      </c>
      <c r="B18" s="35">
        <f>B4-4</f>
        <v>1020</v>
      </c>
      <c r="C18" s="24"/>
      <c r="D18" s="37">
        <f>B18*B2/1000000</f>
        <v>239.0625</v>
      </c>
      <c r="E18" s="2" t="s">
        <v>10</v>
      </c>
      <c r="G18" s="2" t="s">
        <v>16</v>
      </c>
      <c r="H18" s="4">
        <f>H17*H5/1000</f>
        <v>4.5</v>
      </c>
      <c r="I18" s="2" t="s">
        <v>10</v>
      </c>
      <c r="L18" s="14">
        <v>80</v>
      </c>
      <c r="M18"/>
      <c r="N18"/>
      <c r="O18"/>
      <c r="P18"/>
      <c r="Q18">
        <v>264</v>
      </c>
      <c r="R18">
        <v>66</v>
      </c>
      <c r="S18">
        <v>33</v>
      </c>
      <c r="T18" s="14">
        <f t="shared" si="1"/>
        <v>400</v>
      </c>
    </row>
    <row r="19" spans="1:20">
      <c r="A19" s="24" t="s">
        <v>49</v>
      </c>
      <c r="B19" s="1">
        <v>298</v>
      </c>
      <c r="C19" s="24" t="s">
        <v>58</v>
      </c>
      <c r="G19" s="2" t="s">
        <v>5</v>
      </c>
      <c r="H19" s="23">
        <v>4</v>
      </c>
      <c r="I19" s="2" t="s">
        <v>7</v>
      </c>
      <c r="L19" s="14">
        <v>160</v>
      </c>
      <c r="M19"/>
      <c r="N19"/>
      <c r="O19"/>
      <c r="P19"/>
      <c r="Q19"/>
      <c r="R19">
        <v>124</v>
      </c>
      <c r="S19">
        <v>62</v>
      </c>
      <c r="T19" s="14">
        <f t="shared" si="1"/>
        <v>800</v>
      </c>
    </row>
    <row r="20" spans="1:20">
      <c r="G20" s="2" t="s">
        <v>31</v>
      </c>
      <c r="H20" s="2">
        <f>(H3-H18)/2*1000</f>
        <v>250</v>
      </c>
      <c r="I20" s="2" t="s">
        <v>12</v>
      </c>
      <c r="L20" s="14">
        <v>320</v>
      </c>
      <c r="M20"/>
      <c r="N20"/>
      <c r="O20"/>
      <c r="P20"/>
      <c r="Q20"/>
      <c r="R20">
        <v>248</v>
      </c>
      <c r="S20">
        <v>124</v>
      </c>
      <c r="T20" s="14">
        <f t="shared" si="1"/>
        <v>1600</v>
      </c>
    </row>
    <row r="21" spans="1:20">
      <c r="A21" s="29" t="s">
        <v>50</v>
      </c>
      <c r="B21" s="30">
        <f>B18*B19/B16*B12</f>
        <v>455.93999999999994</v>
      </c>
      <c r="C21" s="31" t="s">
        <v>11</v>
      </c>
      <c r="E21" s="2">
        <f>B18*B19*B12/B16</f>
        <v>455.93999999999994</v>
      </c>
      <c r="G21" s="6" t="s">
        <v>6</v>
      </c>
      <c r="H21" s="7">
        <f>(H15+H12)*H19/H16*H17</f>
        <v>16.8</v>
      </c>
      <c r="I21" s="8" t="s">
        <v>11</v>
      </c>
      <c r="L21" s="14">
        <v>400</v>
      </c>
      <c r="M21"/>
      <c r="N21"/>
      <c r="O21"/>
      <c r="P21"/>
      <c r="Q21"/>
      <c r="R21"/>
      <c r="S21">
        <v>148</v>
      </c>
      <c r="T21" s="14">
        <f t="shared" si="1"/>
        <v>2000</v>
      </c>
    </row>
    <row r="22" spans="1:20">
      <c r="A22" s="32" t="s">
        <v>8</v>
      </c>
      <c r="B22" s="33">
        <f>B21/B$11</f>
        <v>1.8997499999999998</v>
      </c>
      <c r="C22" s="34" t="s">
        <v>9</v>
      </c>
      <c r="G22" s="9" t="s">
        <v>8</v>
      </c>
      <c r="H22" s="10">
        <f>H21/H3</f>
        <v>3.3600000000000003</v>
      </c>
      <c r="I22" s="11" t="s">
        <v>9</v>
      </c>
    </row>
    <row r="24" spans="1:20">
      <c r="G24" t="s">
        <v>29</v>
      </c>
      <c r="H24" s="13">
        <f>1 / (480 *1000 *4096)*1000000000</f>
        <v>0.50862630208333337</v>
      </c>
      <c r="I24" t="s">
        <v>13</v>
      </c>
    </row>
    <row r="26" spans="1:20">
      <c r="G26" s="2" t="s">
        <v>61</v>
      </c>
      <c r="H26" s="37">
        <f>6/7</f>
        <v>0.8571428571428571</v>
      </c>
      <c r="I26" s="2">
        <f>SUMIF(M1:S1,H2,M4:S4)*SUMIF(T4:T21,H3,N4:N21)</f>
        <v>275</v>
      </c>
      <c r="J26" s="2">
        <f>273*11</f>
        <v>3003</v>
      </c>
    </row>
    <row r="27" spans="1:20">
      <c r="G27" s="2" t="s">
        <v>62</v>
      </c>
      <c r="H27" s="37">
        <f>H26*H21</f>
        <v>14.4</v>
      </c>
      <c r="I27" s="2" t="s">
        <v>11</v>
      </c>
    </row>
    <row r="28" spans="1:20">
      <c r="G28" s="2" t="s">
        <v>63</v>
      </c>
      <c r="H28" s="37">
        <f>H19*H26</f>
        <v>3.4285714285714284</v>
      </c>
      <c r="I28" s="2" t="s">
        <v>65</v>
      </c>
    </row>
    <row r="29" spans="1:20">
      <c r="G29" s="2" t="s">
        <v>64</v>
      </c>
      <c r="H29" s="37">
        <f>10*LOG10(2^H28-1)</f>
        <v>9.8977014924910254</v>
      </c>
      <c r="I29" s="2" t="s">
        <v>66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1B7EF398A9D94CA24C6F37199751EA" ma:contentTypeVersion="7" ma:contentTypeDescription="Creare un nuovo documento." ma:contentTypeScope="" ma:versionID="9f95459b50231555efb2af917e34d9d9">
  <xsd:schema xmlns:xsd="http://www.w3.org/2001/XMLSchema" xmlns:xs="http://www.w3.org/2001/XMLSchema" xmlns:p="http://schemas.microsoft.com/office/2006/metadata/properties" xmlns:ns2="bd8b2226-92cc-45e0-8b79-887515b32dec" targetNamespace="http://schemas.microsoft.com/office/2006/metadata/properties" ma:root="true" ma:fieldsID="63afc67d60fe08e633c3e8c59494ec5d" ns2:_="">
    <xsd:import namespace="bd8b2226-92cc-45e0-8b79-887515b32d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8b2226-92cc-45e0-8b79-887515b32d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92C10D-0EA2-4CE7-A7A9-1E8EBD17D619}"/>
</file>

<file path=customXml/itemProps2.xml><?xml version="1.0" encoding="utf-8"?>
<ds:datastoreItem xmlns:ds="http://schemas.openxmlformats.org/officeDocument/2006/customXml" ds:itemID="{7D3DC466-951C-4864-B8F1-99EBA6B9CAC2}"/>
</file>

<file path=customXml/itemProps3.xml><?xml version="1.0" encoding="utf-8"?>
<ds:datastoreItem xmlns:ds="http://schemas.openxmlformats.org/officeDocument/2006/customXml" ds:itemID="{FFEBB61C-3269-4D23-A554-89E898D5C3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Starlink-5G</vt:lpstr>
    </vt:vector>
  </TitlesOfParts>
  <Company>Università degli studi di Trieste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BABICH FULVIO</dc:creator>
  <cp:lastModifiedBy>BABICH FULVIO</cp:lastModifiedBy>
  <dcterms:created xsi:type="dcterms:W3CDTF">2024-10-24T13:00:12Z</dcterms:created>
  <dcterms:modified xsi:type="dcterms:W3CDTF">2025-11-25T08:56:36Z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0x010100421B7EF398A9D94CA24C6F37199751EA</vt:lpwstr>
  </property>
</Properties>
</file>