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5940\Desktop\Lavoro\UNITS\DIDATTICA_TS\Materiali_AA_vari\Slide_Ts_26-27\Valutazione EPP\Materiali\Modello Treviso aggiornato\"/>
    </mc:Choice>
  </mc:AlternateContent>
  <xr:revisionPtr revIDLastSave="0" documentId="13_ncr:1_{CE411755-839B-45D3-822D-646BBBEE59ED}" xr6:coauthVersionLast="36" xr6:coauthVersionMax="36" xr10:uidLastSave="{00000000-0000-0000-0000-000000000000}"/>
  <bookViews>
    <workbookView xWindow="0" yWindow="0" windowWidth="28800" windowHeight="12230" activeTab="1" xr2:uid="{00000000-000D-0000-FFFF-FFFF00000000}"/>
  </bookViews>
  <sheets>
    <sheet name="Descrizione" sheetId="7" r:id="rId1"/>
    <sheet name="Fiscalità e Finanza" sheetId="16" r:id="rId2"/>
    <sheet name="Ca - Costo area" sheetId="3" r:id="rId3"/>
    <sheet name="Cc - Costo costruzione" sheetId="6" r:id="rId4"/>
    <sheet name="On - Oneri concessori" sheetId="4" r:id="rId5"/>
    <sheet name="St - Spese tecniche" sheetId="5" r:id="rId6"/>
    <sheet name="Sg - Spese generali" sheetId="9" r:id="rId7"/>
    <sheet name="RT - Ricavi totali" sheetId="10" r:id="rId8"/>
    <sheet name="Ricavi da Locazione" sheetId="14" r:id="rId9"/>
    <sheet name="Sc - Spese commercializzazione" sheetId="8" r:id="rId10"/>
    <sheet name="I - Interessi" sheetId="11" r:id="rId11"/>
    <sheet name="T - Tasse" sheetId="12" r:id="rId12"/>
    <sheet name="Distribuzione Costi&amp;Ricavi" sheetId="2" r:id="rId13"/>
    <sheet name="Flusso di cassa" sheetId="1" r:id="rId14"/>
    <sheet name="Grafici" sheetId="13" r:id="rId15"/>
    <sheet name="Risultati" sheetId="15" r:id="rId1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3" i="14" l="1"/>
  <c r="D17" i="6"/>
  <c r="D16" i="6"/>
  <c r="D15" i="6"/>
  <c r="E45" i="6"/>
  <c r="B45" i="6"/>
  <c r="C51" i="10" l="1"/>
  <c r="C50" i="10"/>
  <c r="D50" i="10"/>
  <c r="E50" i="10"/>
  <c r="B50" i="10"/>
  <c r="E48" i="10"/>
  <c r="D48" i="10"/>
  <c r="C48" i="10"/>
  <c r="B48" i="10"/>
  <c r="C23" i="10"/>
  <c r="D23" i="10"/>
  <c r="E23" i="10"/>
  <c r="B23" i="10"/>
  <c r="C46" i="10"/>
  <c r="D46" i="10"/>
  <c r="E46" i="10"/>
  <c r="B46" i="10"/>
  <c r="A46" i="10"/>
  <c r="B14" i="11" l="1"/>
  <c r="C14" i="11"/>
  <c r="D14" i="11"/>
  <c r="E14" i="11"/>
  <c r="F14" i="11"/>
  <c r="B7" i="7" l="1"/>
  <c r="B11" i="7" s="1"/>
  <c r="B37" i="16"/>
  <c r="B29" i="16"/>
  <c r="B30" i="16"/>
  <c r="B32" i="16" s="1"/>
  <c r="B36" i="16" s="1"/>
  <c r="C22" i="16"/>
  <c r="B22" i="16"/>
  <c r="B23" i="16" s="1"/>
  <c r="B25" i="16" s="1"/>
  <c r="B15" i="7" l="1"/>
  <c r="B18" i="7"/>
  <c r="B38" i="16"/>
  <c r="B39" i="16" s="1"/>
  <c r="E16" i="6"/>
  <c r="E17" i="6" s="1"/>
  <c r="B12" i="7" l="1"/>
  <c r="B14" i="7" s="1"/>
  <c r="B16" i="7"/>
  <c r="B20" i="7" s="1"/>
  <c r="A27" i="3"/>
  <c r="B21" i="7" l="1"/>
  <c r="B3" i="3"/>
  <c r="B23" i="1" l="1"/>
  <c r="A23" i="1"/>
  <c r="C5" i="4" l="1"/>
  <c r="C4" i="4"/>
  <c r="B24" i="14" l="1"/>
  <c r="B26" i="14" s="1"/>
  <c r="B7" i="14"/>
  <c r="B8" i="14" s="1"/>
  <c r="H8" i="14" s="1"/>
  <c r="H6" i="14" l="1"/>
  <c r="H19" i="14" s="1"/>
  <c r="H7" i="14"/>
  <c r="H15" i="14" l="1"/>
  <c r="H14" i="14"/>
  <c r="H13" i="14"/>
  <c r="H18" i="14"/>
  <c r="H9" i="14"/>
  <c r="H16" i="14"/>
  <c r="H17" i="14"/>
  <c r="H12" i="14"/>
  <c r="H20" i="14" l="1"/>
  <c r="H21" i="14" s="1"/>
  <c r="H22" i="14" s="1"/>
  <c r="B33" i="14" l="1"/>
  <c r="H23" i="14"/>
  <c r="B27" i="14" s="1"/>
  <c r="B28" i="14" s="1"/>
  <c r="B34" i="14" s="1"/>
  <c r="B35" i="14" l="1"/>
  <c r="B36" i="14" s="1"/>
  <c r="B4" i="6" l="1"/>
  <c r="A51" i="10" l="1"/>
  <c r="A50" i="10"/>
  <c r="A49" i="10"/>
  <c r="A48" i="10"/>
  <c r="A26" i="10"/>
  <c r="E25" i="10"/>
  <c r="E49" i="10" s="1"/>
  <c r="D25" i="10"/>
  <c r="D49" i="10" s="1"/>
  <c r="C25" i="10"/>
  <c r="C49" i="10" s="1"/>
  <c r="B25" i="10"/>
  <c r="B49" i="10" s="1"/>
  <c r="A25" i="10"/>
  <c r="F11" i="10"/>
  <c r="E11" i="10"/>
  <c r="D11" i="10"/>
  <c r="C11" i="10"/>
  <c r="B41" i="6"/>
  <c r="C38" i="6" s="1"/>
  <c r="E38" i="6" s="1"/>
  <c r="C34" i="6"/>
  <c r="E34" i="6" s="1"/>
  <c r="C25" i="6"/>
  <c r="E25" i="6" s="1"/>
  <c r="C32" i="6"/>
  <c r="E32" i="6" s="1"/>
  <c r="F17" i="6"/>
  <c r="F16" i="6"/>
  <c r="F15" i="6"/>
  <c r="D18" i="3"/>
  <c r="F18" i="3" s="1"/>
  <c r="D19" i="3"/>
  <c r="F19" i="3" s="1"/>
  <c r="D17" i="3"/>
  <c r="F17" i="3" s="1"/>
  <c r="F20" i="3" s="1"/>
  <c r="A5" i="5"/>
  <c r="A6" i="5"/>
  <c r="A7" i="5"/>
  <c r="A4" i="5"/>
  <c r="D29" i="1"/>
  <c r="E29" i="1"/>
  <c r="F29" i="1"/>
  <c r="G29" i="1"/>
  <c r="C29" i="1"/>
  <c r="B31" i="1"/>
  <c r="B30" i="1"/>
  <c r="D4" i="6"/>
  <c r="B7" i="3" s="1"/>
  <c r="A16" i="4"/>
  <c r="A15" i="4"/>
  <c r="A14" i="4"/>
  <c r="H5" i="2"/>
  <c r="H7" i="2"/>
  <c r="H8" i="2"/>
  <c r="H9" i="2"/>
  <c r="H10" i="2"/>
  <c r="H12" i="2"/>
  <c r="H4" i="2"/>
  <c r="B31" i="10" l="1"/>
  <c r="D47" i="10"/>
  <c r="D52" i="10" s="1"/>
  <c r="E47" i="10"/>
  <c r="E52" i="10" s="1"/>
  <c r="B47" i="10"/>
  <c r="B52" i="10" s="1"/>
  <c r="C47" i="10"/>
  <c r="C52" i="10" s="1"/>
  <c r="C36" i="6"/>
  <c r="E36" i="6" s="1"/>
  <c r="C23" i="6"/>
  <c r="C26" i="6"/>
  <c r="E26" i="6" s="1"/>
  <c r="C8" i="1"/>
  <c r="B4" i="3"/>
  <c r="B27" i="3" s="1"/>
  <c r="C28" i="6"/>
  <c r="E28" i="6" s="1"/>
  <c r="C33" i="6"/>
  <c r="E33" i="6" s="1"/>
  <c r="F18" i="6"/>
  <c r="B26" i="3"/>
  <c r="B6" i="6"/>
  <c r="B4" i="4"/>
  <c r="D4" i="4" s="1"/>
  <c r="F4" i="4" s="1"/>
  <c r="D8" i="1"/>
  <c r="E8" i="1"/>
  <c r="B4" i="5"/>
  <c r="D4" i="5" s="1"/>
  <c r="G8" i="1"/>
  <c r="F8" i="1"/>
  <c r="E23" i="6"/>
  <c r="B43" i="6"/>
  <c r="C27" i="6"/>
  <c r="E27" i="6" s="1"/>
  <c r="C30" i="6"/>
  <c r="E30" i="6" s="1"/>
  <c r="C31" i="6"/>
  <c r="E31" i="6" s="1"/>
  <c r="C24" i="6"/>
  <c r="E24" i="6" s="1"/>
  <c r="C40" i="6"/>
  <c r="E40" i="6" s="1"/>
  <c r="C29" i="6"/>
  <c r="E29" i="6" s="1"/>
  <c r="C37" i="6"/>
  <c r="E37" i="6" s="1"/>
  <c r="C39" i="6"/>
  <c r="E39" i="6" s="1"/>
  <c r="C35" i="6"/>
  <c r="E35" i="6" s="1"/>
  <c r="B56" i="10" l="1"/>
  <c r="C56" i="10" s="1"/>
  <c r="B55" i="10"/>
  <c r="C55" i="10" s="1"/>
  <c r="C3" i="10" s="1"/>
  <c r="B57" i="10"/>
  <c r="B8" i="4"/>
  <c r="B7" i="6"/>
  <c r="B5" i="4"/>
  <c r="C41" i="6"/>
  <c r="H8" i="1"/>
  <c r="B14" i="15" s="1"/>
  <c r="E41" i="6"/>
  <c r="E43" i="6" s="1"/>
  <c r="E46" i="6" s="1"/>
  <c r="C6" i="6" s="1"/>
  <c r="C7" i="6" s="1"/>
  <c r="B9" i="4"/>
  <c r="B10" i="4" l="1"/>
  <c r="D10" i="4" s="1"/>
  <c r="F10" i="4" s="1"/>
  <c r="B16" i="4" s="1"/>
  <c r="B5" i="6"/>
  <c r="D5" i="6" s="1"/>
  <c r="E9" i="1" s="1"/>
  <c r="B58" i="10"/>
  <c r="C57" i="10"/>
  <c r="D5" i="4"/>
  <c r="F5" i="4" s="1"/>
  <c r="B15" i="4" s="1"/>
  <c r="B28" i="3"/>
  <c r="B29" i="3" s="1"/>
  <c r="B32" i="3" s="1"/>
  <c r="B33" i="3" s="1"/>
  <c r="B5" i="3" s="1"/>
  <c r="D6" i="6"/>
  <c r="D7" i="6"/>
  <c r="B5" i="5" l="1"/>
  <c r="D5" i="5" s="1"/>
  <c r="C9" i="1"/>
  <c r="B14" i="4"/>
  <c r="B17" i="4" s="1"/>
  <c r="G6" i="1" s="1"/>
  <c r="G9" i="1"/>
  <c r="F9" i="1"/>
  <c r="D9" i="1"/>
  <c r="B3" i="10"/>
  <c r="D3" i="10" s="1"/>
  <c r="D4" i="10" s="1"/>
  <c r="C10" i="1"/>
  <c r="G10" i="1"/>
  <c r="E10" i="1"/>
  <c r="D10" i="1"/>
  <c r="B6" i="5"/>
  <c r="D6" i="5" s="1"/>
  <c r="F10" i="1"/>
  <c r="D8" i="6"/>
  <c r="B4" i="9" s="1"/>
  <c r="F11" i="1"/>
  <c r="C11" i="1"/>
  <c r="G11" i="1"/>
  <c r="D11" i="1"/>
  <c r="B7" i="5"/>
  <c r="D7" i="5" s="1"/>
  <c r="E11" i="1"/>
  <c r="H9" i="1" l="1"/>
  <c r="B15" i="15" s="1"/>
  <c r="B6" i="3"/>
  <c r="B8" i="3" s="1"/>
  <c r="C17" i="1"/>
  <c r="C14" i="1" s="1"/>
  <c r="D6" i="1"/>
  <c r="E17" i="1"/>
  <c r="E14" i="1" s="1"/>
  <c r="C4" i="8"/>
  <c r="C6" i="8" s="1"/>
  <c r="C6" i="1"/>
  <c r="F17" i="1"/>
  <c r="F14" i="1" s="1"/>
  <c r="G17" i="1"/>
  <c r="G14" i="1" s="1"/>
  <c r="D17" i="1"/>
  <c r="D14" i="1" s="1"/>
  <c r="F6" i="1"/>
  <c r="E6" i="1"/>
  <c r="D8" i="5"/>
  <c r="B5" i="9" s="1"/>
  <c r="B6" i="9" s="1"/>
  <c r="B8" i="9" s="1"/>
  <c r="E12" i="1"/>
  <c r="E7" i="1"/>
  <c r="H11" i="1"/>
  <c r="B17" i="15" s="1"/>
  <c r="D7" i="1"/>
  <c r="D12" i="1"/>
  <c r="G7" i="1"/>
  <c r="G12" i="1"/>
  <c r="F7" i="1"/>
  <c r="F12" i="1"/>
  <c r="H10" i="1"/>
  <c r="B16" i="15" s="1"/>
  <c r="C12" i="1"/>
  <c r="C7" i="1"/>
  <c r="H14" i="1" l="1"/>
  <c r="B20" i="15" s="1"/>
  <c r="H17" i="1"/>
  <c r="B25" i="15" s="1"/>
  <c r="H6" i="1"/>
  <c r="B12" i="15" s="1"/>
  <c r="B10" i="3"/>
  <c r="B9" i="3"/>
  <c r="B11" i="3"/>
  <c r="G13" i="1"/>
  <c r="E13" i="1"/>
  <c r="H7" i="1"/>
  <c r="B13" i="15" s="1"/>
  <c r="C13" i="1"/>
  <c r="H12" i="1"/>
  <c r="B18" i="15" s="1"/>
  <c r="D13" i="1"/>
  <c r="F13" i="1"/>
  <c r="B12" i="3" l="1"/>
  <c r="F5" i="1" s="1"/>
  <c r="F15" i="1" s="1"/>
  <c r="F18" i="1" s="1"/>
  <c r="H13" i="1"/>
  <c r="B19" i="15" s="1"/>
  <c r="E5" i="1" l="1"/>
  <c r="E15" i="1" s="1"/>
  <c r="E18" i="1" s="1"/>
  <c r="E23" i="1" s="1"/>
  <c r="D5" i="1"/>
  <c r="D15" i="1" s="1"/>
  <c r="D18" i="1" s="1"/>
  <c r="C5" i="11" s="1"/>
  <c r="C5" i="1"/>
  <c r="C15" i="1" s="1"/>
  <c r="C18" i="1" s="1"/>
  <c r="G5" i="1"/>
  <c r="G15" i="1" s="1"/>
  <c r="G18" i="1" s="1"/>
  <c r="G23" i="1" s="1"/>
  <c r="F30" i="1"/>
  <c r="F23" i="1"/>
  <c r="E5" i="11"/>
  <c r="B7" i="15" l="1"/>
  <c r="B6" i="15"/>
  <c r="D23" i="1"/>
  <c r="D30" i="1"/>
  <c r="E30" i="1"/>
  <c r="D5" i="11"/>
  <c r="H5" i="1"/>
  <c r="B11" i="15" s="1"/>
  <c r="G30" i="1"/>
  <c r="H15" i="1"/>
  <c r="H18" i="1" s="1"/>
  <c r="H23" i="1" s="1"/>
  <c r="F5" i="11"/>
  <c r="C23" i="1"/>
  <c r="C30" i="1"/>
  <c r="B5" i="11"/>
  <c r="B6" i="11" l="1"/>
  <c r="G5" i="11"/>
  <c r="B7" i="11" l="1"/>
  <c r="B8" i="11" s="1"/>
  <c r="C6" i="11" l="1"/>
  <c r="C7" i="11" l="1"/>
  <c r="C8" i="11" s="1"/>
  <c r="C9" i="11"/>
  <c r="C10" i="11" s="1"/>
  <c r="C11" i="11" l="1"/>
  <c r="C12" i="11" s="1"/>
  <c r="C15" i="11" s="1"/>
  <c r="D6" i="11"/>
  <c r="D7" i="11" l="1"/>
  <c r="D8" i="11" s="1"/>
  <c r="E6" i="11" s="1"/>
  <c r="D24" i="1"/>
  <c r="D25" i="1" s="1"/>
  <c r="D9" i="11"/>
  <c r="D10" i="11" s="1"/>
  <c r="E7" i="11" l="1"/>
  <c r="E8" i="11" s="1"/>
  <c r="D11" i="11"/>
  <c r="D12" i="11" s="1"/>
  <c r="D15" i="11" s="1"/>
  <c r="E9" i="11" l="1"/>
  <c r="F6" i="11"/>
  <c r="E24" i="1"/>
  <c r="F7" i="11" l="1"/>
  <c r="F8" i="11" s="1"/>
  <c r="E10" i="11"/>
  <c r="E11" i="11"/>
  <c r="E12" i="11" s="1"/>
  <c r="E25" i="1"/>
  <c r="F24" i="1" l="1"/>
  <c r="F25" i="1" s="1"/>
  <c r="E15" i="11"/>
  <c r="F9" i="11"/>
  <c r="F10" i="11" l="1"/>
  <c r="F11" i="11" s="1"/>
  <c r="F12" i="11" l="1"/>
  <c r="G24" i="1" l="1"/>
  <c r="G25" i="1" s="1"/>
  <c r="F15" i="11"/>
  <c r="G8" i="11"/>
  <c r="B9" i="11" l="1"/>
  <c r="B10" i="11" s="1"/>
  <c r="B11" i="11" l="1"/>
  <c r="G11" i="11" s="1"/>
  <c r="B12" i="11" l="1"/>
  <c r="C24" i="1" s="1"/>
  <c r="B15" i="11" l="1"/>
  <c r="E16" i="11" s="1"/>
  <c r="E5" i="12" s="1"/>
  <c r="E6" i="12" s="1"/>
  <c r="G12" i="11"/>
  <c r="C25" i="1"/>
  <c r="H24" i="1"/>
  <c r="B21" i="15" s="1"/>
  <c r="B16" i="11" l="1"/>
  <c r="B5" i="12" s="1"/>
  <c r="B6" i="12" s="1"/>
  <c r="B7" i="12" s="1"/>
  <c r="B8" i="12" s="1"/>
  <c r="C26" i="1" s="1"/>
  <c r="C27" i="1" s="1"/>
  <c r="F16" i="11"/>
  <c r="F5" i="12" s="1"/>
  <c r="F6" i="12" s="1"/>
  <c r="F7" i="12" s="1"/>
  <c r="F8" i="12" s="1"/>
  <c r="G26" i="1" s="1"/>
  <c r="G27" i="1" s="1"/>
  <c r="G31" i="1" s="1"/>
  <c r="C16" i="11"/>
  <c r="C5" i="12" s="1"/>
  <c r="C6" i="12" s="1"/>
  <c r="G15" i="11"/>
  <c r="D16" i="11"/>
  <c r="D5" i="12" s="1"/>
  <c r="D6" i="12" s="1"/>
  <c r="H25" i="1"/>
  <c r="D7" i="12" l="1"/>
  <c r="D8" i="12" s="1"/>
  <c r="E26" i="1" s="1"/>
  <c r="E27" i="1" s="1"/>
  <c r="E31" i="1" s="1"/>
  <c r="C7" i="12"/>
  <c r="C8" i="12" s="1"/>
  <c r="D26" i="1" s="1"/>
  <c r="D27" i="1" s="1"/>
  <c r="D31" i="1" s="1"/>
  <c r="E7" i="12"/>
  <c r="E8" i="12" s="1"/>
  <c r="F26" i="1" s="1"/>
  <c r="F27" i="1" s="1"/>
  <c r="F31" i="1" s="1"/>
  <c r="C31" i="1"/>
  <c r="C32" i="1" s="1"/>
  <c r="C7" i="15" l="1"/>
  <c r="H26" i="1"/>
  <c r="B22" i="15" s="1"/>
  <c r="B23" i="15" s="1"/>
  <c r="B27" i="15" s="1"/>
  <c r="C6" i="15"/>
  <c r="D32" i="1"/>
  <c r="E32" i="1" s="1"/>
  <c r="F32" i="1" s="1"/>
  <c r="G32" i="1" s="1"/>
  <c r="H27" i="1" l="1"/>
</calcChain>
</file>

<file path=xl/sharedStrings.xml><?xml version="1.0" encoding="utf-8"?>
<sst xmlns="http://schemas.openxmlformats.org/spreadsheetml/2006/main" count="474" uniqueCount="345">
  <si>
    <t>Spese tecniche</t>
  </si>
  <si>
    <t>Costo costruzione</t>
  </si>
  <si>
    <t>. Residenze</t>
  </si>
  <si>
    <t>. Autorimesse</t>
  </si>
  <si>
    <t>Spese commercializzazione</t>
  </si>
  <si>
    <t>Spese generali</t>
  </si>
  <si>
    <t>Totale</t>
  </si>
  <si>
    <t>RICAVI</t>
  </si>
  <si>
    <t>Totale costi</t>
  </si>
  <si>
    <t>Totale ricavi</t>
  </si>
  <si>
    <t>Tasse</t>
  </si>
  <si>
    <t>Acquisizione area</t>
  </si>
  <si>
    <t>. Opere urbanizzazione</t>
  </si>
  <si>
    <t>RT</t>
  </si>
  <si>
    <t>FE</t>
  </si>
  <si>
    <t>SPESE</t>
  </si>
  <si>
    <t>FF</t>
  </si>
  <si>
    <t>T</t>
  </si>
  <si>
    <t>Oneri concessori</t>
  </si>
  <si>
    <t>. Demolizioni</t>
  </si>
  <si>
    <t>Importo</t>
  </si>
  <si>
    <t>Oneri</t>
  </si>
  <si>
    <t>Urbanizzazione primaria</t>
  </si>
  <si>
    <t>Urbanizzazione secondaria</t>
  </si>
  <si>
    <t>Tariffa (€/mc)</t>
  </si>
  <si>
    <t>Dimensioni (mq)</t>
  </si>
  <si>
    <t>Superficie residenziale</t>
  </si>
  <si>
    <t>Superficie equivalente</t>
  </si>
  <si>
    <t>Costo unitario (€/mq)</t>
  </si>
  <si>
    <t>Costo totale (€)</t>
  </si>
  <si>
    <t>Totale (€)</t>
  </si>
  <si>
    <t>Aliquota</t>
  </si>
  <si>
    <t>Contributo (€)</t>
  </si>
  <si>
    <t>Riepilogo oneri</t>
  </si>
  <si>
    <t>Contributo costo costruzione</t>
  </si>
  <si>
    <t>Importo (€)</t>
  </si>
  <si>
    <t>Costo unitario (€/mc-mq)</t>
  </si>
  <si>
    <t>Superficie lotto (mq)</t>
  </si>
  <si>
    <t>Indice fondiario (mc/mq)</t>
  </si>
  <si>
    <t>Volume edificabile (mc)</t>
  </si>
  <si>
    <t>Altezza interpiano (ml)</t>
  </si>
  <si>
    <t>Superficie residenziale (mq)</t>
  </si>
  <si>
    <t>S1 - Acquisizione area (€)</t>
  </si>
  <si>
    <t>Valore totale (€)</t>
  </si>
  <si>
    <t>Spese intermediario (€)</t>
  </si>
  <si>
    <t>Spese notarili (€)</t>
  </si>
  <si>
    <t>Aliquote</t>
  </si>
  <si>
    <t>Voce</t>
  </si>
  <si>
    <t>Dimensioni (mc/mq)</t>
  </si>
  <si>
    <t>Importo CC (€)</t>
  </si>
  <si>
    <t>RT - Ricavi totali</t>
  </si>
  <si>
    <t>Quantità (mq)</t>
  </si>
  <si>
    <t xml:space="preserve">Totale </t>
  </si>
  <si>
    <t>Valore unitario (€/mq)</t>
  </si>
  <si>
    <t>Ricavo totale</t>
  </si>
  <si>
    <t>Totale spese</t>
  </si>
  <si>
    <t>FE - Flusso economico</t>
  </si>
  <si>
    <t>Capitale a debito</t>
  </si>
  <si>
    <t>Dimensioni</t>
  </si>
  <si>
    <t>Struttura finanziaria</t>
  </si>
  <si>
    <t>DESCRIZIONE INVESTIMENTO</t>
  </si>
  <si>
    <t>Interessi passivi</t>
  </si>
  <si>
    <t>T - Tasse</t>
  </si>
  <si>
    <t>Tasse sugli utili</t>
  </si>
  <si>
    <t>IRAP</t>
  </si>
  <si>
    <t>Tasso interesse passivo (TAN)</t>
  </si>
  <si>
    <t>Beta</t>
  </si>
  <si>
    <t>Tasso inflazione</t>
  </si>
  <si>
    <t>Tassazione</t>
  </si>
  <si>
    <t>Saggio rendimento interno annuo</t>
  </si>
  <si>
    <t>Ca - Costo area</t>
  </si>
  <si>
    <t>On - Oneri concessori</t>
  </si>
  <si>
    <t>CC - Costo di costruzione</t>
  </si>
  <si>
    <t>St - Spese tecniche</t>
  </si>
  <si>
    <t>Sg - Spese generali</t>
  </si>
  <si>
    <t>Cc - Costo costruzione</t>
  </si>
  <si>
    <t>Sc - Spese commercializzazione</t>
  </si>
  <si>
    <t>I - Interessi</t>
  </si>
  <si>
    <t>Ca</t>
  </si>
  <si>
    <t>On</t>
  </si>
  <si>
    <t>Cc</t>
  </si>
  <si>
    <t>Cc1</t>
  </si>
  <si>
    <t>Cc2</t>
  </si>
  <si>
    <t>Cc3</t>
  </si>
  <si>
    <t>Cc4</t>
  </si>
  <si>
    <t>St</t>
  </si>
  <si>
    <t>Sg</t>
  </si>
  <si>
    <t>Sc</t>
  </si>
  <si>
    <t>CT</t>
  </si>
  <si>
    <t>I</t>
  </si>
  <si>
    <t>Interessi</t>
  </si>
  <si>
    <t>FN</t>
  </si>
  <si>
    <t>Esposizione/Int. Passivi</t>
  </si>
  <si>
    <t>Esposizione/Int. Attivi</t>
  </si>
  <si>
    <t>Tasso interesse attivo (TAN)</t>
  </si>
  <si>
    <t>Imponibile</t>
  </si>
  <si>
    <t>Valutazione intervento di demolizione e ricostruzione edificio uso residenziale</t>
  </si>
  <si>
    <t>Superficie in pianta (mq)</t>
  </si>
  <si>
    <t>Altezza massima (ml)</t>
  </si>
  <si>
    <t>Piani fuori terra</t>
  </si>
  <si>
    <t>Superficie scoperta (mq)</t>
  </si>
  <si>
    <t>Via Verdi</t>
  </si>
  <si>
    <t>Via Malcanton</t>
  </si>
  <si>
    <t>Via Castellana</t>
  </si>
  <si>
    <t>Superficie (mq)</t>
  </si>
  <si>
    <t>Prezzo (€)</t>
  </si>
  <si>
    <t>Prezzo unitario (€/mc)</t>
  </si>
  <si>
    <t>Unità di misura</t>
  </si>
  <si>
    <t>Mercato immobiliare</t>
  </si>
  <si>
    <t>Mercato costruzioni</t>
  </si>
  <si>
    <t>Valori</t>
  </si>
  <si>
    <t>Incidenza area</t>
  </si>
  <si>
    <t>Superfice area (mq)</t>
  </si>
  <si>
    <t>Valore mercato abitazioni nuove ordinarie (€/mq)</t>
  </si>
  <si>
    <t>Valore ordinariamente costruibile (€)</t>
  </si>
  <si>
    <t>Valore totale area (€)</t>
  </si>
  <si>
    <t>Anno di costruzione</t>
  </si>
  <si>
    <t>Is</t>
  </si>
  <si>
    <t>Costo di costruzione attuale (€/mq)</t>
  </si>
  <si>
    <t>Costo di costruzione (€/mq)</t>
  </si>
  <si>
    <t>Anno</t>
  </si>
  <si>
    <t>Indice ISTAT</t>
  </si>
  <si>
    <t>Elementi funzionali</t>
  </si>
  <si>
    <t>Costo noto (€)</t>
  </si>
  <si>
    <r>
      <t>P</t>
    </r>
    <r>
      <rPr>
        <i/>
        <vertAlign val="subscript"/>
        <sz val="11"/>
        <color theme="1"/>
        <rFont val="Calibri"/>
        <family val="2"/>
        <scheme val="minor"/>
      </rPr>
      <t>f</t>
    </r>
  </si>
  <si>
    <r>
      <t>C</t>
    </r>
    <r>
      <rPr>
        <i/>
        <vertAlign val="subscript"/>
        <sz val="11"/>
        <color theme="1"/>
        <rFont val="Calibri"/>
        <family val="2"/>
        <scheme val="minor"/>
      </rPr>
      <t>f</t>
    </r>
  </si>
  <si>
    <r>
      <t>P</t>
    </r>
    <r>
      <rPr>
        <i/>
        <vertAlign val="subscript"/>
        <sz val="11"/>
        <color theme="1"/>
        <rFont val="Calibri"/>
        <family val="2"/>
        <scheme val="minor"/>
      </rPr>
      <t>f</t>
    </r>
    <r>
      <rPr>
        <i/>
        <sz val="11"/>
        <color theme="1"/>
        <rFont val="Calibri"/>
        <family val="2"/>
        <scheme val="minor"/>
      </rPr>
      <t>*C</t>
    </r>
    <r>
      <rPr>
        <i/>
        <vertAlign val="subscript"/>
        <sz val="11"/>
        <color theme="1"/>
        <rFont val="Calibri"/>
        <family val="2"/>
        <scheme val="minor"/>
      </rPr>
      <t>f</t>
    </r>
  </si>
  <si>
    <t>Scavi e movimenti di terra</t>
  </si>
  <si>
    <t>Sondaggi e diaframmi</t>
  </si>
  <si>
    <t>Fondazioni</t>
  </si>
  <si>
    <t>Strutture c.a.</t>
  </si>
  <si>
    <t>Murature e tavolati</t>
  </si>
  <si>
    <t>Vespai, sottofondi e pavimenti</t>
  </si>
  <si>
    <t>Opere in pietra</t>
  </si>
  <si>
    <t>Rivestimenti e zoccolini</t>
  </si>
  <si>
    <t>Intonaci e tinteggiature</t>
  </si>
  <si>
    <t>Canne e fognature</t>
  </si>
  <si>
    <t>Coibentazione</t>
  </si>
  <si>
    <t>Impermeabilizzazioni e copertura</t>
  </si>
  <si>
    <t>Opere e serramenti e lattonerie</t>
  </si>
  <si>
    <t>Serramenti in legno</t>
  </si>
  <si>
    <t>Impianto di climatizzazione</t>
  </si>
  <si>
    <t>Impianto idrosanitario</t>
  </si>
  <si>
    <t>Impianto elettrico</t>
  </si>
  <si>
    <t>Impianto ascensori</t>
  </si>
  <si>
    <t>Somma</t>
  </si>
  <si>
    <t>Costo unitario storico (€/mq)</t>
  </si>
  <si>
    <t>Stima per comparazione diretta</t>
  </si>
  <si>
    <t>Stima per elementi funzionali</t>
  </si>
  <si>
    <t>Indici CC</t>
  </si>
  <si>
    <t>Costo unitario medio attuale (€/mq)</t>
  </si>
  <si>
    <t>Cc1 - Demolizioni (mc)</t>
  </si>
  <si>
    <t>Cc3 - Residenze (mq)</t>
  </si>
  <si>
    <t>Cc4 - Autorimesse/cantine (mq)</t>
  </si>
  <si>
    <t>Componente</t>
  </si>
  <si>
    <t>Superficie non residenziale (peso 0,6)</t>
  </si>
  <si>
    <t>Tabella dei dati</t>
  </si>
  <si>
    <t>Prezzo</t>
  </si>
  <si>
    <t>?</t>
  </si>
  <si>
    <t>Prezzo unitario</t>
  </si>
  <si>
    <t>Finiture</t>
  </si>
  <si>
    <t>Ottime</t>
  </si>
  <si>
    <t>Buone</t>
  </si>
  <si>
    <t>Normali</t>
  </si>
  <si>
    <t xml:space="preserve">Orto/giardino esclusivo (mq) </t>
  </si>
  <si>
    <t>Garage/Cantina (mq)</t>
  </si>
  <si>
    <t>Climatizzazione centralizzata</t>
  </si>
  <si>
    <t>SI</t>
  </si>
  <si>
    <t>NO</t>
  </si>
  <si>
    <t>Localizzazione</t>
  </si>
  <si>
    <t>Periferia</t>
  </si>
  <si>
    <t>Semiperiferia</t>
  </si>
  <si>
    <t>Tabella degli aggiustamenti</t>
  </si>
  <si>
    <t>Parametri</t>
  </si>
  <si>
    <t>Immobili simili</t>
  </si>
  <si>
    <t>da Buone a Ottime</t>
  </si>
  <si>
    <t>da Normali a Ottime</t>
  </si>
  <si>
    <t>da Semiperiferia a Periferia</t>
  </si>
  <si>
    <t>Prezzi marginali</t>
  </si>
  <si>
    <t xml:space="preserve">  . da Normali a Buone</t>
  </si>
  <si>
    <t>€/mq</t>
  </si>
  <si>
    <t xml:space="preserve">  .da Buone a Ottime</t>
  </si>
  <si>
    <t>€/ mq per cambio di classe</t>
  </si>
  <si>
    <t xml:space="preserve">  . da Periferia a Semiperiferia</t>
  </si>
  <si>
    <t>Tabella di valutazione</t>
  </si>
  <si>
    <t xml:space="preserve">Prezzo totale (€) </t>
  </si>
  <si>
    <t>Prezzo unitario (€/mq)</t>
  </si>
  <si>
    <t>Media</t>
  </si>
  <si>
    <t>Minimo</t>
  </si>
  <si>
    <t>Massimo</t>
  </si>
  <si>
    <t>Scarto massimo/Media</t>
  </si>
  <si>
    <t>Immobile da stimare</t>
  </si>
  <si>
    <t>Superficie commerciale</t>
  </si>
  <si>
    <t>Interessi attivi</t>
  </si>
  <si>
    <t>CAPM</t>
  </si>
  <si>
    <t>PAM</t>
  </si>
  <si>
    <t>Rischio specifico</t>
  </si>
  <si>
    <t>Tasso di sconto</t>
  </si>
  <si>
    <r>
      <t>Il costo del capitale proprio (k</t>
    </r>
    <r>
      <rPr>
        <b/>
        <vertAlign val="subscript"/>
        <sz val="11"/>
        <color theme="1"/>
        <rFont val="Calibri"/>
        <family val="2"/>
        <scheme val="minor"/>
      </rPr>
      <t>e</t>
    </r>
    <r>
      <rPr>
        <b/>
        <sz val="11"/>
        <color theme="1"/>
        <rFont val="Calibri"/>
        <family val="2"/>
        <scheme val="minor"/>
      </rPr>
      <t>)</t>
    </r>
  </si>
  <si>
    <r>
      <t>Il costo del capitale a debito (k</t>
    </r>
    <r>
      <rPr>
        <b/>
        <vertAlign val="subscript"/>
        <sz val="11"/>
        <color theme="1"/>
        <rFont val="Calibri"/>
        <family val="2"/>
        <scheme val="minor"/>
      </rPr>
      <t>d</t>
    </r>
    <r>
      <rPr>
        <b/>
        <sz val="11"/>
        <color theme="1"/>
        <rFont val="Calibri"/>
        <family val="2"/>
        <scheme val="minor"/>
      </rPr>
      <t>)</t>
    </r>
  </si>
  <si>
    <t>Tasso interesse bancario</t>
  </si>
  <si>
    <t>Costo del capitale a debito</t>
  </si>
  <si>
    <t>Il costo medio ponderato del capitale (WACC)</t>
  </si>
  <si>
    <t>Capitale debito</t>
  </si>
  <si>
    <t>Capitale proprio</t>
  </si>
  <si>
    <t>La convenienza dell'investimento</t>
  </si>
  <si>
    <t>Costo del capitale a debito reale annuo</t>
  </si>
  <si>
    <t>Costo capitale proprio nominale</t>
  </si>
  <si>
    <t>Superficie non residenziale (mq)</t>
  </si>
  <si>
    <t>Coefficiente di ponderazione SNR</t>
  </si>
  <si>
    <t>Superficie residenziale SR (mq)</t>
  </si>
  <si>
    <t>Prassi catastale</t>
  </si>
  <si>
    <t>Coefficiente ponderazione scoperto SR</t>
  </si>
  <si>
    <t>Coefficiente pond. scoperto &gt; SR</t>
  </si>
  <si>
    <t>Coefficiente  area inedeficata</t>
  </si>
  <si>
    <t>Immobile costruito</t>
  </si>
  <si>
    <t>Immobile da costruire</t>
  </si>
  <si>
    <t>Calcolati come da norma di legge e parametri comunali</t>
  </si>
  <si>
    <t>Aliquote stimate in base alla complessità progettuale ed esecutiva</t>
  </si>
  <si>
    <t>Costo di produzione delle finiture</t>
  </si>
  <si>
    <t>Letteratura specialistica</t>
  </si>
  <si>
    <t>Costo di realizzazione</t>
  </si>
  <si>
    <t>Fonte</t>
  </si>
  <si>
    <t>STIMA PER CAPITALIZZAZIONE DEL REDDITO</t>
  </si>
  <si>
    <t>DATI DI INPUT</t>
  </si>
  <si>
    <t>CALCOLO DEL REDDITO NETTO DA LOCAZIONE</t>
  </si>
  <si>
    <t>Note</t>
  </si>
  <si>
    <t>Importi (€)</t>
  </si>
  <si>
    <t>Dimensioni (SC mq)</t>
  </si>
  <si>
    <t>Da progetto</t>
  </si>
  <si>
    <t>Canone mensile (€/mq/mese)</t>
  </si>
  <si>
    <t>Canone annuo locazione</t>
  </si>
  <si>
    <t>Canone mensile anticipato</t>
  </si>
  <si>
    <t>Interessi su canoni anticipati</t>
  </si>
  <si>
    <t>Cauzione anticipata</t>
  </si>
  <si>
    <t>Massimo tre canoni</t>
  </si>
  <si>
    <t>Interessi su cauzione</t>
  </si>
  <si>
    <t>Tasso Interesse attivo</t>
  </si>
  <si>
    <t>Cauzione</t>
  </si>
  <si>
    <t>Reddito padronale lordo</t>
  </si>
  <si>
    <t>Tasso interesse legale</t>
  </si>
  <si>
    <t>Tasso interesse passivo</t>
  </si>
  <si>
    <t>Spese annue antipate (Sa,Qa,Qm, Imp. Loc.)</t>
  </si>
  <si>
    <t>Spese amministrazione</t>
  </si>
  <si>
    <t>Canone annuo</t>
  </si>
  <si>
    <t>Quota sfitto</t>
  </si>
  <si>
    <t>Quote</t>
  </si>
  <si>
    <t>Assicurazione</t>
  </si>
  <si>
    <t>Quota inesigibilità</t>
  </si>
  <si>
    <t>Reintegrazione</t>
  </si>
  <si>
    <t>Quota assicurazione</t>
  </si>
  <si>
    <t>Manutenzione</t>
  </si>
  <si>
    <t xml:space="preserve">Quota manutenzione </t>
  </si>
  <si>
    <t>Imposte</t>
  </si>
  <si>
    <t>Locali</t>
  </si>
  <si>
    <t>Quota reintegrazione</t>
  </si>
  <si>
    <t>Reddito</t>
  </si>
  <si>
    <t>Imposte sul reddito</t>
  </si>
  <si>
    <t>Canone annuo/Cedolare secca</t>
  </si>
  <si>
    <t>Improduttività</t>
  </si>
  <si>
    <t>Sfitto</t>
  </si>
  <si>
    <t>Imposte locali TASI/IMU</t>
  </si>
  <si>
    <t>Inesigibilità</t>
  </si>
  <si>
    <t>Interessi su anticipazioni</t>
  </si>
  <si>
    <t>CALCOLO DEL SAGGIO MEDIO DI CAPITALIZZAZIONE</t>
  </si>
  <si>
    <t>Spese totali</t>
  </si>
  <si>
    <t>Canone (€/mese/mq)</t>
  </si>
  <si>
    <t>REDDITO NETTO</t>
  </si>
  <si>
    <t>Canone (€/anno/mq)</t>
  </si>
  <si>
    <t>Valore (€/mq)</t>
  </si>
  <si>
    <t>Rendimento lordo</t>
  </si>
  <si>
    <t>Bilancio da locazione ordinario</t>
  </si>
  <si>
    <t>SAGGIO DI CAPITALIZZAZIONE</t>
  </si>
  <si>
    <t>CALCOLO DEL VALORE DI CAPITALIZZAZIONE/MERCATO</t>
  </si>
  <si>
    <t>VALORE DI MERCATO</t>
  </si>
  <si>
    <t>VALORE DI MERCATO (€/mq)</t>
  </si>
  <si>
    <t>Quota reddito netto</t>
  </si>
  <si>
    <t>Importi</t>
  </si>
  <si>
    <t>Cc - Costo Costruzione</t>
  </si>
  <si>
    <t>Superficie commerciale scoperto SR</t>
  </si>
  <si>
    <t>Superficie commerciale scoperto &gt; SR</t>
  </si>
  <si>
    <t>Superficie commerciale SNR</t>
  </si>
  <si>
    <t>PRG</t>
  </si>
  <si>
    <t>Costo capitale proprio reale</t>
  </si>
  <si>
    <t>Costo reale del capitale proprio</t>
  </si>
  <si>
    <t xml:space="preserve">Costo medio ponderato reale </t>
  </si>
  <si>
    <t>Aree simili compravendute di recente</t>
  </si>
  <si>
    <t>Consulente immobiliare</t>
  </si>
  <si>
    <t>Prassi locale</t>
  </si>
  <si>
    <t>Media parcelle</t>
  </si>
  <si>
    <t>Agenzia Entrate</t>
  </si>
  <si>
    <t>Imposte  (€)</t>
  </si>
  <si>
    <t>Media stime CC</t>
  </si>
  <si>
    <t>50% Cc3</t>
  </si>
  <si>
    <t xml:space="preserve">Costo </t>
  </si>
  <si>
    <t>Aggiustato</t>
  </si>
  <si>
    <t>Costo aggiustato unitario attuale (€/mq)</t>
  </si>
  <si>
    <t>Edifici simili costruiti di recente</t>
  </si>
  <si>
    <t>Cc2 - Opere urbanizzazione (mq)</t>
  </si>
  <si>
    <t>Costo demolizione fabbricato (€)</t>
  </si>
  <si>
    <t>Valore di mercato (€)</t>
  </si>
  <si>
    <t>Volume residenziale preesistente (mc)</t>
  </si>
  <si>
    <t>Nuova volumetria (mc)</t>
  </si>
  <si>
    <t>Volume residenziale di progetto (mc)</t>
  </si>
  <si>
    <t>Classe energetica (n. A)</t>
  </si>
  <si>
    <t>FLUSSO CASSA ECONOMICO</t>
  </si>
  <si>
    <t>COSTI</t>
  </si>
  <si>
    <t>ANNO</t>
  </si>
  <si>
    <t>Esposizione  finanziaria</t>
  </si>
  <si>
    <t>FLUSSO CASSA NETTO</t>
  </si>
  <si>
    <t>FLUSSO CASSA FINANZIARIO</t>
  </si>
  <si>
    <t>ESPOSIZIONE FINANZIARIA</t>
  </si>
  <si>
    <t>Rendimento lordo risk free (rf)</t>
  </si>
  <si>
    <t>Rendimento lordo mercato (rm)</t>
  </si>
  <si>
    <t>Stato di conservazione</t>
  </si>
  <si>
    <t>Nuovo</t>
  </si>
  <si>
    <t>Valore unitario (€/mc)</t>
  </si>
  <si>
    <t>Volume edificabile</t>
  </si>
  <si>
    <t>Superficie commerciale edificabile (mq)</t>
  </si>
  <si>
    <t>Valore unitario area (€/mc)</t>
  </si>
  <si>
    <t>RISULTATI</t>
  </si>
  <si>
    <t>ASPETTI FISCALI E FINANZIARI</t>
  </si>
  <si>
    <t>Media costo capitale proprio nominale</t>
  </si>
  <si>
    <t>Agenzia entrate</t>
  </si>
  <si>
    <t>Progetto</t>
  </si>
  <si>
    <t xml:space="preserve">Superficie commerciale totale (mq) </t>
  </si>
  <si>
    <t>Comparazione diretta monoparametrica</t>
  </si>
  <si>
    <t>Mercato immobiliare/OMI</t>
  </si>
  <si>
    <t>Valore attuale netto</t>
  </si>
  <si>
    <t>Flusso di cassa economico (WACC)</t>
  </si>
  <si>
    <t>Flusso di cassa netto (Ke)</t>
  </si>
  <si>
    <t>RICAVI - COSTI</t>
  </si>
  <si>
    <t>Condominio Draganziolo</t>
  </si>
  <si>
    <t>Residence Rio Bianco</t>
  </si>
  <si>
    <t>Residenza Boscalto</t>
  </si>
  <si>
    <t>ESPOSIZIONE</t>
  </si>
  <si>
    <t>Media valori comparabili</t>
  </si>
  <si>
    <t>Superficie equivalente (mq)</t>
  </si>
  <si>
    <t>Superficie</t>
  </si>
  <si>
    <t>Prezzo  corretto</t>
  </si>
  <si>
    <t>Ia (2026)</t>
  </si>
  <si>
    <t>Media stime CDM e IA</t>
  </si>
  <si>
    <t>Mercato locale</t>
  </si>
  <si>
    <t>Rendistato</t>
  </si>
  <si>
    <t>Damoradam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</si>
</sst>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-* #,##0.00\ _€_-;\-* #,##0.00\ _€_-;_-* &quot;-&quot;??\ _€_-;_-@_-"/>
    <numFmt numFmtId="164" formatCode="_-* #,##0.00_-;\-* #,##0.00_-;_-* &quot;-&quot;??_-;_-@_-"/>
    <numFmt numFmtId="165" formatCode="0.0%"/>
    <numFmt numFmtId="166" formatCode="_-* #,##0_-;\-* #,##0_-;_-* &quot;-&quot;??_-;_-@_-"/>
    <numFmt numFmtId="167" formatCode="_-* #,##0.0_-;\-* #,##0.0_-;_-* &quot;-&quot;??_-;_-@_-"/>
    <numFmt numFmtId="168" formatCode="0.0"/>
    <numFmt numFmtId="169" formatCode="_-* #,##0\ _€_-;\-* #,##0\ _€_-;_-* &quot;-&quot;??\ _€_-;_-@_-"/>
    <numFmt numFmtId="170" formatCode="_-* #,##0.0\ _€_-;\-* #,##0.0\ _€_-;_-* &quot;-&quot;??\ _€_-;_-@_-"/>
    <numFmt numFmtId="171" formatCode="0.000%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Arial"/>
      <family val="2"/>
    </font>
    <font>
      <i/>
      <sz val="11"/>
      <color theme="1"/>
      <name val="Calibri"/>
      <family val="2"/>
      <scheme val="minor"/>
    </font>
    <font>
      <i/>
      <vertAlign val="subscript"/>
      <sz val="11"/>
      <color theme="1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b/>
      <vertAlign val="subscript"/>
      <sz val="11"/>
      <color theme="1"/>
      <name val="Calibri"/>
      <family val="2"/>
      <scheme val="minor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/>
    <xf numFmtId="164" fontId="5" fillId="0" borderId="0" applyFont="0" applyFill="0" applyBorder="0" applyAlignment="0" applyProtection="0"/>
  </cellStyleXfs>
  <cellXfs count="413">
    <xf numFmtId="0" fontId="0" fillId="0" borderId="0" xfId="0"/>
    <xf numFmtId="0" fontId="0" fillId="0" borderId="0" xfId="0" applyAlignment="1"/>
    <xf numFmtId="9" fontId="0" fillId="0" borderId="0" xfId="2" applyFont="1"/>
    <xf numFmtId="165" fontId="0" fillId="0" borderId="0" xfId="2" applyNumberFormat="1" applyFont="1" applyAlignment="1">
      <alignment horizontal="center"/>
    </xf>
    <xf numFmtId="164" fontId="0" fillId="0" borderId="0" xfId="1" applyFont="1"/>
    <xf numFmtId="164" fontId="0" fillId="2" borderId="0" xfId="1" applyFont="1" applyFill="1"/>
    <xf numFmtId="9" fontId="0" fillId="2" borderId="0" xfId="2" applyFont="1" applyFill="1"/>
    <xf numFmtId="0" fontId="0" fillId="0" borderId="1" xfId="0" applyBorder="1"/>
    <xf numFmtId="9" fontId="0" fillId="2" borderId="1" xfId="2" applyFont="1" applyFill="1" applyBorder="1"/>
    <xf numFmtId="9" fontId="0" fillId="0" borderId="1" xfId="0" applyNumberFormat="1" applyBorder="1"/>
    <xf numFmtId="0" fontId="0" fillId="0" borderId="1" xfId="0" applyBorder="1" applyAlignment="1"/>
    <xf numFmtId="165" fontId="0" fillId="2" borderId="0" xfId="2" applyNumberFormat="1" applyFont="1" applyFill="1"/>
    <xf numFmtId="0" fontId="3" fillId="0" borderId="0" xfId="0" applyFont="1"/>
    <xf numFmtId="9" fontId="0" fillId="0" borderId="0" xfId="2" applyFont="1" applyFill="1"/>
    <xf numFmtId="10" fontId="0" fillId="0" borderId="0" xfId="2" applyNumberFormat="1" applyFont="1" applyFill="1"/>
    <xf numFmtId="166" fontId="0" fillId="0" borderId="0" xfId="1" applyNumberFormat="1" applyFont="1"/>
    <xf numFmtId="166" fontId="0" fillId="0" borderId="0" xfId="0" applyNumberFormat="1"/>
    <xf numFmtId="0" fontId="4" fillId="0" borderId="0" xfId="0" applyFont="1"/>
    <xf numFmtId="0" fontId="0" fillId="0" borderId="1" xfId="0" applyBorder="1" applyAlignment="1">
      <alignment horizontal="center"/>
    </xf>
    <xf numFmtId="0" fontId="0" fillId="0" borderId="4" xfId="0" applyBorder="1"/>
    <xf numFmtId="0" fontId="0" fillId="0" borderId="6" xfId="0" applyBorder="1"/>
    <xf numFmtId="0" fontId="0" fillId="0" borderId="12" xfId="0" applyBorder="1"/>
    <xf numFmtId="0" fontId="0" fillId="0" borderId="0" xfId="0" applyFill="1" applyBorder="1"/>
    <xf numFmtId="0" fontId="0" fillId="0" borderId="0" xfId="0" applyBorder="1"/>
    <xf numFmtId="0" fontId="0" fillId="0" borderId="10" xfId="0" applyBorder="1"/>
    <xf numFmtId="0" fontId="0" fillId="0" borderId="11" xfId="0" applyBorder="1"/>
    <xf numFmtId="165" fontId="0" fillId="0" borderId="13" xfId="2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65" fontId="0" fillId="0" borderId="5" xfId="2" applyNumberFormat="1" applyFont="1" applyBorder="1" applyAlignment="1">
      <alignment horizontal="center"/>
    </xf>
    <xf numFmtId="165" fontId="0" fillId="2" borderId="5" xfId="2" applyNumberFormat="1" applyFont="1" applyFill="1" applyBorder="1" applyAlignment="1">
      <alignment horizontal="center"/>
    </xf>
    <xf numFmtId="165" fontId="0" fillId="0" borderId="8" xfId="2" applyNumberFormat="1" applyFont="1" applyBorder="1" applyAlignment="1">
      <alignment horizontal="center"/>
    </xf>
    <xf numFmtId="0" fontId="0" fillId="0" borderId="13" xfId="0" applyBorder="1" applyAlignment="1">
      <alignment horizontal="right"/>
    </xf>
    <xf numFmtId="165" fontId="0" fillId="0" borderId="14" xfId="2" applyNumberFormat="1" applyFont="1" applyBorder="1" applyAlignment="1">
      <alignment horizontal="center"/>
    </xf>
    <xf numFmtId="164" fontId="0" fillId="0" borderId="9" xfId="1" applyNumberFormat="1" applyFont="1" applyBorder="1"/>
    <xf numFmtId="164" fontId="0" fillId="2" borderId="10" xfId="1" applyNumberFormat="1" applyFont="1" applyFill="1" applyBorder="1"/>
    <xf numFmtId="164" fontId="0" fillId="0" borderId="10" xfId="1" applyNumberFormat="1" applyFont="1" applyBorder="1"/>
    <xf numFmtId="164" fontId="0" fillId="0" borderId="11" xfId="0" applyNumberFormat="1" applyBorder="1"/>
    <xf numFmtId="0" fontId="0" fillId="0" borderId="1" xfId="0" applyFont="1" applyBorder="1"/>
    <xf numFmtId="0" fontId="6" fillId="0" borderId="15" xfId="0" applyFont="1" applyBorder="1" applyAlignment="1">
      <alignment horizontal="left" wrapText="1" readingOrder="1"/>
    </xf>
    <xf numFmtId="0" fontId="6" fillId="0" borderId="16" xfId="0" applyFont="1" applyBorder="1" applyAlignment="1">
      <alignment horizontal="left" wrapText="1" readingOrder="1"/>
    </xf>
    <xf numFmtId="0" fontId="6" fillId="0" borderId="17" xfId="0" applyFont="1" applyBorder="1" applyAlignment="1">
      <alignment horizontal="left" wrapText="1" readingOrder="1"/>
    </xf>
    <xf numFmtId="0" fontId="7" fillId="0" borderId="1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0" fillId="0" borderId="2" xfId="0" applyBorder="1"/>
    <xf numFmtId="166" fontId="0" fillId="0" borderId="9" xfId="1" applyNumberFormat="1" applyFont="1" applyBorder="1"/>
    <xf numFmtId="10" fontId="0" fillId="0" borderId="18" xfId="2" applyNumberFormat="1" applyFont="1" applyBorder="1"/>
    <xf numFmtId="168" fontId="0" fillId="0" borderId="10" xfId="0" applyNumberFormat="1" applyBorder="1"/>
    <xf numFmtId="10" fontId="0" fillId="0" borderId="5" xfId="2" applyNumberFormat="1" applyFont="1" applyBorder="1"/>
    <xf numFmtId="166" fontId="0" fillId="0" borderId="11" xfId="1" applyNumberFormat="1" applyFont="1" applyBorder="1"/>
    <xf numFmtId="10" fontId="0" fillId="0" borderId="7" xfId="2" applyNumberFormat="1" applyFont="1" applyBorder="1"/>
    <xf numFmtId="10" fontId="0" fillId="0" borderId="8" xfId="2" applyNumberFormat="1" applyFont="1" applyBorder="1"/>
    <xf numFmtId="166" fontId="0" fillId="0" borderId="1" xfId="1" applyNumberFormat="1" applyFont="1" applyBorder="1"/>
    <xf numFmtId="10" fontId="0" fillId="0" borderId="14" xfId="2" applyNumberFormat="1" applyFont="1" applyBorder="1"/>
    <xf numFmtId="166" fontId="0" fillId="0" borderId="3" xfId="0" applyNumberFormat="1" applyBorder="1"/>
    <xf numFmtId="166" fontId="0" fillId="0" borderId="9" xfId="0" applyNumberFormat="1" applyBorder="1"/>
    <xf numFmtId="166" fontId="0" fillId="0" borderId="18" xfId="0" applyNumberFormat="1" applyBorder="1"/>
    <xf numFmtId="166" fontId="0" fillId="0" borderId="7" xfId="0" applyNumberFormat="1" applyBorder="1"/>
    <xf numFmtId="166" fontId="0" fillId="0" borderId="11" xfId="0" applyNumberFormat="1" applyBorder="1"/>
    <xf numFmtId="166" fontId="0" fillId="0" borderId="8" xfId="0" applyNumberFormat="1" applyBorder="1"/>
    <xf numFmtId="167" fontId="0" fillId="0" borderId="10" xfId="1" applyNumberFormat="1" applyFont="1" applyBorder="1"/>
    <xf numFmtId="166" fontId="0" fillId="0" borderId="0" xfId="0" applyNumberFormat="1" applyBorder="1"/>
    <xf numFmtId="166" fontId="0" fillId="0" borderId="10" xfId="0" applyNumberFormat="1" applyBorder="1"/>
    <xf numFmtId="167" fontId="0" fillId="0" borderId="5" xfId="0" applyNumberFormat="1" applyBorder="1"/>
    <xf numFmtId="166" fontId="0" fillId="0" borderId="2" xfId="1" applyNumberFormat="1" applyFont="1" applyBorder="1"/>
    <xf numFmtId="166" fontId="0" fillId="0" borderId="4" xfId="1" applyNumberFormat="1" applyFont="1" applyBorder="1"/>
    <xf numFmtId="166" fontId="0" fillId="0" borderId="6" xfId="1" applyNumberFormat="1" applyFont="1" applyBorder="1"/>
    <xf numFmtId="0" fontId="7" fillId="0" borderId="3" xfId="0" applyFont="1" applyBorder="1" applyAlignment="1">
      <alignment horizontal="center" vertical="center"/>
    </xf>
    <xf numFmtId="3" fontId="0" fillId="0" borderId="10" xfId="0" applyNumberForma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3" xfId="0" applyBorder="1"/>
    <xf numFmtId="166" fontId="0" fillId="2" borderId="0" xfId="1" applyNumberFormat="1" applyFont="1" applyFill="1" applyBorder="1"/>
    <xf numFmtId="166" fontId="0" fillId="0" borderId="5" xfId="1" applyNumberFormat="1" applyFont="1" applyBorder="1"/>
    <xf numFmtId="166" fontId="0" fillId="0" borderId="0" xfId="1" applyNumberFormat="1" applyFont="1" applyBorder="1"/>
    <xf numFmtId="166" fontId="0" fillId="2" borderId="10" xfId="1" applyNumberFormat="1" applyFont="1" applyFill="1" applyBorder="1"/>
    <xf numFmtId="0" fontId="0" fillId="0" borderId="13" xfId="0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166" fontId="0" fillId="0" borderId="14" xfId="0" applyNumberFormat="1" applyBorder="1"/>
    <xf numFmtId="0" fontId="0" fillId="0" borderId="1" xfId="0" applyBorder="1" applyAlignment="1">
      <alignment vertical="center"/>
    </xf>
    <xf numFmtId="0" fontId="9" fillId="0" borderId="0" xfId="0" applyFont="1"/>
    <xf numFmtId="0" fontId="9" fillId="0" borderId="0" xfId="0" applyFont="1" applyAlignment="1">
      <alignment horizontal="right"/>
    </xf>
    <xf numFmtId="0" fontId="10" fillId="0" borderId="0" xfId="0" applyFont="1" applyAlignment="1">
      <alignment horizontal="right"/>
    </xf>
    <xf numFmtId="4" fontId="9" fillId="0" borderId="0" xfId="0" applyNumberFormat="1" applyFont="1" applyAlignment="1">
      <alignment horizontal="right"/>
    </xf>
    <xf numFmtId="3" fontId="9" fillId="0" borderId="0" xfId="0" applyNumberFormat="1" applyFont="1" applyAlignment="1">
      <alignment horizontal="right"/>
    </xf>
    <xf numFmtId="0" fontId="9" fillId="0" borderId="0" xfId="0" quotePrefix="1" applyFont="1" applyAlignment="1">
      <alignment horizontal="left"/>
    </xf>
    <xf numFmtId="0" fontId="9" fillId="0" borderId="0" xfId="0" quotePrefix="1" applyFont="1" applyAlignment="1">
      <alignment horizontal="right"/>
    </xf>
    <xf numFmtId="0" fontId="9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quotePrefix="1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/>
    </xf>
    <xf numFmtId="0" fontId="9" fillId="0" borderId="1" xfId="0" applyFont="1" applyBorder="1" applyAlignment="1">
      <alignment horizontal="center" vertical="center"/>
    </xf>
    <xf numFmtId="2" fontId="9" fillId="0" borderId="0" xfId="0" applyNumberFormat="1" applyFont="1"/>
    <xf numFmtId="166" fontId="9" fillId="0" borderId="0" xfId="4" applyNumberFormat="1" applyFont="1"/>
    <xf numFmtId="0" fontId="9" fillId="0" borderId="1" xfId="0" applyFont="1" applyBorder="1"/>
    <xf numFmtId="4" fontId="9" fillId="0" borderId="1" xfId="0" applyNumberFormat="1" applyFont="1" applyBorder="1" applyAlignment="1">
      <alignment horizontal="right"/>
    </xf>
    <xf numFmtId="0" fontId="9" fillId="0" borderId="1" xfId="0" applyFont="1" applyBorder="1" applyAlignment="1">
      <alignment horizontal="right"/>
    </xf>
    <xf numFmtId="166" fontId="9" fillId="0" borderId="1" xfId="4" applyNumberFormat="1" applyFont="1" applyBorder="1" applyAlignment="1">
      <alignment horizontal="right"/>
    </xf>
    <xf numFmtId="0" fontId="9" fillId="0" borderId="1" xfId="0" quotePrefix="1" applyFont="1" applyBorder="1" applyAlignment="1">
      <alignment horizontal="left"/>
    </xf>
    <xf numFmtId="0" fontId="9" fillId="0" borderId="1" xfId="0" quotePrefix="1" applyFont="1" applyBorder="1" applyAlignment="1">
      <alignment horizontal="right"/>
    </xf>
    <xf numFmtId="0" fontId="9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9" fillId="0" borderId="2" xfId="0" quotePrefix="1" applyFont="1" applyBorder="1" applyAlignment="1">
      <alignment horizontal="left"/>
    </xf>
    <xf numFmtId="0" fontId="9" fillId="0" borderId="4" xfId="0" quotePrefix="1" applyFont="1" applyBorder="1" applyAlignment="1">
      <alignment horizontal="left"/>
    </xf>
    <xf numFmtId="0" fontId="9" fillId="0" borderId="6" xfId="0" quotePrefix="1" applyFont="1" applyBorder="1" applyAlignment="1">
      <alignment horizontal="left"/>
    </xf>
    <xf numFmtId="0" fontId="9" fillId="0" borderId="2" xfId="0" applyFont="1" applyBorder="1"/>
    <xf numFmtId="0" fontId="9" fillId="0" borderId="12" xfId="0" applyFont="1" applyBorder="1" applyAlignment="1">
      <alignment horizontal="left" vertical="center"/>
    </xf>
    <xf numFmtId="0" fontId="9" fillId="0" borderId="9" xfId="0" applyFont="1" applyBorder="1" applyAlignment="1">
      <alignment horizontal="right"/>
    </xf>
    <xf numFmtId="166" fontId="9" fillId="0" borderId="10" xfId="4" applyNumberFormat="1" applyFont="1" applyBorder="1" applyAlignment="1">
      <alignment horizontal="right"/>
    </xf>
    <xf numFmtId="0" fontId="9" fillId="0" borderId="11" xfId="0" applyFont="1" applyBorder="1" applyAlignment="1">
      <alignment horizontal="right"/>
    </xf>
    <xf numFmtId="0" fontId="9" fillId="0" borderId="9" xfId="0" applyFont="1" applyBorder="1"/>
    <xf numFmtId="0" fontId="9" fillId="0" borderId="12" xfId="0" quotePrefix="1" applyFont="1" applyBorder="1" applyAlignment="1">
      <alignment horizontal="left"/>
    </xf>
    <xf numFmtId="166" fontId="9" fillId="0" borderId="10" xfId="4" applyNumberFormat="1" applyFont="1" applyBorder="1" applyAlignment="1">
      <alignment horizontal="right" vertical="center"/>
    </xf>
    <xf numFmtId="0" fontId="9" fillId="0" borderId="10" xfId="0" applyFont="1" applyBorder="1" applyAlignment="1">
      <alignment horizontal="center" vertical="center"/>
    </xf>
    <xf numFmtId="166" fontId="9" fillId="0" borderId="11" xfId="4" applyNumberFormat="1" applyFont="1" applyBorder="1" applyAlignment="1">
      <alignment horizontal="right" vertical="center"/>
    </xf>
    <xf numFmtId="0" fontId="9" fillId="0" borderId="11" xfId="0" applyFont="1" applyBorder="1" applyAlignment="1">
      <alignment horizontal="center" vertical="center"/>
    </xf>
    <xf numFmtId="166" fontId="9" fillId="0" borderId="1" xfId="4" applyNumberFormat="1" applyFont="1" applyBorder="1" applyAlignment="1">
      <alignment horizontal="right" vertical="center"/>
    </xf>
    <xf numFmtId="0" fontId="9" fillId="0" borderId="11" xfId="0" applyFont="1" applyBorder="1" applyAlignment="1">
      <alignment horizontal="right" vertical="center"/>
    </xf>
    <xf numFmtId="0" fontId="9" fillId="0" borderId="4" xfId="0" applyFont="1" applyBorder="1"/>
    <xf numFmtId="3" fontId="9" fillId="0" borderId="0" xfId="0" applyNumberFormat="1" applyFont="1" applyBorder="1" applyAlignment="1">
      <alignment horizontal="right"/>
    </xf>
    <xf numFmtId="0" fontId="9" fillId="0" borderId="6" xfId="0" applyFont="1" applyBorder="1"/>
    <xf numFmtId="166" fontId="9" fillId="0" borderId="10" xfId="4" applyNumberFormat="1" applyFont="1" applyBorder="1"/>
    <xf numFmtId="3" fontId="9" fillId="0" borderId="10" xfId="0" applyNumberFormat="1" applyFont="1" applyBorder="1" applyAlignment="1">
      <alignment horizontal="right"/>
    </xf>
    <xf numFmtId="166" fontId="9" fillId="0" borderId="9" xfId="4" applyNumberFormat="1" applyFont="1" applyBorder="1"/>
    <xf numFmtId="3" fontId="9" fillId="0" borderId="13" xfId="0" applyNumberFormat="1" applyFont="1" applyBorder="1" applyAlignment="1">
      <alignment horizontal="right"/>
    </xf>
    <xf numFmtId="3" fontId="9" fillId="0" borderId="1" xfId="0" applyNumberFormat="1" applyFont="1" applyBorder="1" applyAlignment="1">
      <alignment horizontal="right"/>
    </xf>
    <xf numFmtId="0" fontId="9" fillId="0" borderId="12" xfId="0" applyFont="1" applyBorder="1"/>
    <xf numFmtId="165" fontId="9" fillId="0" borderId="11" xfId="2" applyNumberFormat="1" applyFont="1" applyBorder="1" applyAlignment="1">
      <alignment horizontal="right"/>
    </xf>
    <xf numFmtId="0" fontId="11" fillId="0" borderId="0" xfId="0" applyFont="1"/>
    <xf numFmtId="0" fontId="11" fillId="0" borderId="9" xfId="0" applyFont="1" applyBorder="1"/>
    <xf numFmtId="0" fontId="11" fillId="0" borderId="3" xfId="0" applyFont="1" applyBorder="1" applyAlignment="1">
      <alignment horizontal="center"/>
    </xf>
    <xf numFmtId="0" fontId="11" fillId="0" borderId="9" xfId="0" applyFont="1" applyBorder="1" applyAlignment="1">
      <alignment horizontal="center" wrapText="1"/>
    </xf>
    <xf numFmtId="0" fontId="11" fillId="0" borderId="18" xfId="0" applyFont="1" applyBorder="1" applyAlignment="1">
      <alignment vertical="center"/>
    </xf>
    <xf numFmtId="0" fontId="11" fillId="0" borderId="1" xfId="0" applyFont="1" applyBorder="1" applyAlignment="1"/>
    <xf numFmtId="164" fontId="11" fillId="0" borderId="13" xfId="0" applyNumberFormat="1" applyFont="1" applyBorder="1"/>
    <xf numFmtId="166" fontId="11" fillId="2" borderId="1" xfId="1" applyNumberFormat="1" applyFont="1" applyFill="1" applyBorder="1"/>
    <xf numFmtId="166" fontId="11" fillId="0" borderId="14" xfId="1" applyNumberFormat="1" applyFont="1" applyBorder="1"/>
    <xf numFmtId="0" fontId="11" fillId="0" borderId="11" xfId="0" applyFont="1" applyBorder="1" applyAlignment="1"/>
    <xf numFmtId="166" fontId="11" fillId="0" borderId="8" xfId="1" applyNumberFormat="1" applyFont="1" applyBorder="1"/>
    <xf numFmtId="0" fontId="11" fillId="0" borderId="0" xfId="0" applyFont="1" applyBorder="1" applyAlignment="1"/>
    <xf numFmtId="0" fontId="11" fillId="0" borderId="0" xfId="0" applyFont="1" applyBorder="1" applyAlignment="1">
      <alignment horizontal="right"/>
    </xf>
    <xf numFmtId="166" fontId="11" fillId="0" borderId="0" xfId="1" applyNumberFormat="1" applyFont="1" applyBorder="1"/>
    <xf numFmtId="10" fontId="0" fillId="0" borderId="0" xfId="2" applyNumberFormat="1" applyFont="1" applyFill="1" applyAlignment="1">
      <alignment horizontal="center"/>
    </xf>
    <xf numFmtId="10" fontId="0" fillId="0" borderId="0" xfId="2" applyNumberFormat="1" applyFont="1" applyFill="1" applyAlignment="1">
      <alignment horizontal="center" vertical="center"/>
    </xf>
    <xf numFmtId="2" fontId="0" fillId="0" borderId="0" xfId="0" applyNumberFormat="1" applyAlignment="1"/>
    <xf numFmtId="164" fontId="0" fillId="0" borderId="10" xfId="1" applyFont="1" applyBorder="1" applyAlignment="1">
      <alignment horizontal="right"/>
    </xf>
    <xf numFmtId="164" fontId="0" fillId="0" borderId="11" xfId="1" applyFont="1" applyBorder="1" applyAlignment="1">
      <alignment horizontal="right"/>
    </xf>
    <xf numFmtId="166" fontId="0" fillId="0" borderId="10" xfId="1" applyNumberFormat="1" applyFont="1" applyBorder="1" applyAlignment="1">
      <alignment horizontal="right"/>
    </xf>
    <xf numFmtId="9" fontId="0" fillId="2" borderId="10" xfId="2" applyFont="1" applyFill="1" applyBorder="1" applyAlignment="1">
      <alignment horizontal="right"/>
    </xf>
    <xf numFmtId="0" fontId="0" fillId="0" borderId="1" xfId="0" applyBorder="1" applyAlignment="1">
      <alignment horizontal="center"/>
    </xf>
    <xf numFmtId="0" fontId="9" fillId="0" borderId="1" xfId="0" applyFont="1" applyBorder="1" applyAlignment="1">
      <alignment horizontal="left" vertical="center"/>
    </xf>
    <xf numFmtId="0" fontId="0" fillId="0" borderId="5" xfId="0" applyBorder="1"/>
    <xf numFmtId="0" fontId="0" fillId="0" borderId="14" xfId="0" applyBorder="1" applyAlignment="1">
      <alignment horizontal="center" vertical="center"/>
    </xf>
    <xf numFmtId="166" fontId="0" fillId="3" borderId="10" xfId="1" applyNumberFormat="1" applyFont="1" applyFill="1" applyBorder="1"/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164" fontId="0" fillId="0" borderId="5" xfId="1" applyFont="1" applyBorder="1"/>
    <xf numFmtId="164" fontId="0" fillId="0" borderId="14" xfId="1" applyFont="1" applyBorder="1"/>
    <xf numFmtId="167" fontId="0" fillId="0" borderId="5" xfId="1" applyNumberFormat="1" applyFont="1" applyBorder="1"/>
    <xf numFmtId="167" fontId="0" fillId="0" borderId="14" xfId="1" applyNumberFormat="1" applyFont="1" applyBorder="1"/>
    <xf numFmtId="164" fontId="0" fillId="0" borderId="0" xfId="1" applyFont="1" applyBorder="1"/>
    <xf numFmtId="164" fontId="0" fillId="0" borderId="8" xfId="1" applyFont="1" applyBorder="1"/>
    <xf numFmtId="0" fontId="0" fillId="0" borderId="14" xfId="0" applyBorder="1"/>
    <xf numFmtId="9" fontId="0" fillId="2" borderId="10" xfId="2" applyFont="1" applyFill="1" applyBorder="1"/>
    <xf numFmtId="165" fontId="0" fillId="2" borderId="5" xfId="2" applyNumberFormat="1" applyFont="1" applyFill="1" applyBorder="1"/>
    <xf numFmtId="0" fontId="0" fillId="3" borderId="1" xfId="0" applyFill="1" applyBorder="1"/>
    <xf numFmtId="0" fontId="0" fillId="3" borderId="14" xfId="0" applyFill="1" applyBorder="1" applyAlignment="1">
      <alignment horizontal="center"/>
    </xf>
    <xf numFmtId="0" fontId="9" fillId="0" borderId="2" xfId="0" applyFont="1" applyBorder="1" applyAlignment="1">
      <alignment horizontal="right"/>
    </xf>
    <xf numFmtId="0" fontId="9" fillId="0" borderId="18" xfId="0" applyFont="1" applyBorder="1" applyAlignment="1">
      <alignment horizontal="right"/>
    </xf>
    <xf numFmtId="0" fontId="9" fillId="0" borderId="4" xfId="0" applyFont="1" applyBorder="1" applyAlignment="1">
      <alignment horizontal="right"/>
    </xf>
    <xf numFmtId="0" fontId="9" fillId="0" borderId="5" xfId="0" applyFont="1" applyBorder="1" applyAlignment="1">
      <alignment horizontal="right"/>
    </xf>
    <xf numFmtId="0" fontId="9" fillId="0" borderId="4" xfId="0" applyFont="1" applyBorder="1" applyAlignment="1">
      <alignment horizontal="left"/>
    </xf>
    <xf numFmtId="0" fontId="9" fillId="0" borderId="6" xfId="0" applyFont="1" applyBorder="1" applyAlignment="1">
      <alignment horizontal="left"/>
    </xf>
    <xf numFmtId="0" fontId="9" fillId="0" borderId="8" xfId="0" applyFont="1" applyBorder="1" applyAlignment="1">
      <alignment horizontal="right"/>
    </xf>
    <xf numFmtId="0" fontId="9" fillId="0" borderId="14" xfId="0" applyFont="1" applyBorder="1" applyAlignment="1">
      <alignment horizontal="right"/>
    </xf>
    <xf numFmtId="0" fontId="9" fillId="0" borderId="12" xfId="0" applyFont="1" applyBorder="1" applyAlignment="1">
      <alignment horizontal="left"/>
    </xf>
    <xf numFmtId="0" fontId="13" fillId="0" borderId="0" xfId="0" applyFont="1"/>
    <xf numFmtId="0" fontId="13" fillId="0" borderId="0" xfId="0" applyFont="1" applyBorder="1" applyAlignment="1">
      <alignment horizontal="right"/>
    </xf>
    <xf numFmtId="0" fontId="13" fillId="0" borderId="0" xfId="0" applyFont="1" applyAlignment="1"/>
    <xf numFmtId="0" fontId="13" fillId="0" borderId="12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center" wrapText="1"/>
    </xf>
    <xf numFmtId="0" fontId="13" fillId="0" borderId="1" xfId="0" applyFont="1" applyBorder="1" applyAlignment="1">
      <alignment horizontal="center" vertical="center"/>
    </xf>
    <xf numFmtId="0" fontId="13" fillId="0" borderId="12" xfId="0" applyFont="1" applyFill="1" applyBorder="1" applyAlignment="1">
      <alignment horizontal="left" wrapText="1"/>
    </xf>
    <xf numFmtId="0" fontId="13" fillId="0" borderId="13" xfId="0" applyFont="1" applyFill="1" applyBorder="1" applyAlignment="1">
      <alignment horizontal="left" wrapText="1"/>
    </xf>
    <xf numFmtId="0" fontId="13" fillId="0" borderId="1" xfId="0" applyFont="1" applyBorder="1" applyAlignment="1">
      <alignment horizontal="center"/>
    </xf>
    <xf numFmtId="0" fontId="13" fillId="0" borderId="4" xfId="0" applyFont="1" applyBorder="1" applyAlignment="1">
      <alignment horizontal="left" wrapText="1"/>
    </xf>
    <xf numFmtId="169" fontId="13" fillId="0" borderId="10" xfId="1" applyNumberFormat="1" applyFont="1" applyBorder="1" applyAlignment="1"/>
    <xf numFmtId="0" fontId="13" fillId="0" borderId="5" xfId="0" applyFont="1" applyFill="1" applyBorder="1" applyAlignment="1"/>
    <xf numFmtId="0" fontId="13" fillId="0" borderId="13" xfId="0" applyFont="1" applyBorder="1" applyAlignment="1">
      <alignment horizontal="right"/>
    </xf>
    <xf numFmtId="0" fontId="13" fillId="0" borderId="1" xfId="0" applyFont="1" applyBorder="1" applyAlignment="1"/>
    <xf numFmtId="0" fontId="13" fillId="0" borderId="4" xfId="0" applyFont="1" applyBorder="1"/>
    <xf numFmtId="170" fontId="13" fillId="0" borderId="10" xfId="1" applyNumberFormat="1" applyFont="1" applyBorder="1" applyAlignment="1"/>
    <xf numFmtId="0" fontId="13" fillId="0" borderId="10" xfId="0" applyFont="1" applyBorder="1" applyAlignment="1"/>
    <xf numFmtId="165" fontId="13" fillId="0" borderId="10" xfId="2" applyNumberFormat="1" applyFont="1" applyBorder="1" applyAlignment="1">
      <alignment horizontal="right" vertical="center"/>
    </xf>
    <xf numFmtId="0" fontId="13" fillId="0" borderId="10" xfId="0" applyFont="1" applyBorder="1" applyAlignment="1">
      <alignment vertical="center"/>
    </xf>
    <xf numFmtId="0" fontId="13" fillId="0" borderId="6" xfId="0" applyFont="1" applyFill="1" applyBorder="1" applyAlignment="1">
      <alignment horizontal="left" wrapText="1"/>
    </xf>
    <xf numFmtId="0" fontId="13" fillId="0" borderId="7" xfId="0" applyFont="1" applyBorder="1" applyAlignment="1">
      <alignment horizontal="right"/>
    </xf>
    <xf numFmtId="0" fontId="13" fillId="0" borderId="4" xfId="0" applyFont="1" applyFill="1" applyBorder="1" applyAlignment="1">
      <alignment horizontal="left" wrapText="1"/>
    </xf>
    <xf numFmtId="0" fontId="13" fillId="0" borderId="12" xfId="0" applyFont="1" applyFill="1" applyBorder="1"/>
    <xf numFmtId="0" fontId="13" fillId="0" borderId="4" xfId="0" applyFont="1" applyBorder="1" applyAlignment="1">
      <alignment horizontal="left"/>
    </xf>
    <xf numFmtId="0" fontId="13" fillId="0" borderId="6" xfId="0" applyFont="1" applyBorder="1"/>
    <xf numFmtId="0" fontId="13" fillId="0" borderId="9" xfId="0" applyFont="1" applyBorder="1" applyAlignment="1">
      <alignment horizontal="left"/>
    </xf>
    <xf numFmtId="0" fontId="13" fillId="0" borderId="10" xfId="0" applyFont="1" applyBorder="1" applyAlignment="1">
      <alignment horizontal="left"/>
    </xf>
    <xf numFmtId="0" fontId="13" fillId="0" borderId="11" xfId="0" applyFont="1" applyFill="1" applyBorder="1" applyAlignment="1">
      <alignment horizontal="left"/>
    </xf>
    <xf numFmtId="0" fontId="13" fillId="0" borderId="10" xfId="0" applyFont="1" applyFill="1" applyBorder="1" applyAlignment="1">
      <alignment horizontal="left"/>
    </xf>
    <xf numFmtId="0" fontId="13" fillId="0" borderId="6" xfId="0" applyFont="1" applyBorder="1" applyAlignment="1">
      <alignment horizontal="left" wrapText="1"/>
    </xf>
    <xf numFmtId="165" fontId="13" fillId="0" borderId="11" xfId="2" applyNumberFormat="1" applyFont="1" applyBorder="1" applyAlignment="1">
      <alignment horizontal="right" vertical="center"/>
    </xf>
    <xf numFmtId="0" fontId="13" fillId="0" borderId="11" xfId="0" applyFont="1" applyBorder="1" applyAlignment="1"/>
    <xf numFmtId="0" fontId="13" fillId="0" borderId="2" xfId="0" applyFont="1" applyBorder="1"/>
    <xf numFmtId="0" fontId="13" fillId="0" borderId="3" xfId="0" applyFont="1" applyBorder="1" applyAlignment="1">
      <alignment horizontal="right"/>
    </xf>
    <xf numFmtId="0" fontId="13" fillId="0" borderId="12" xfId="0" applyFont="1" applyBorder="1"/>
    <xf numFmtId="0" fontId="13" fillId="0" borderId="1" xfId="0" applyFont="1" applyFill="1" applyBorder="1" applyAlignment="1">
      <alignment horizontal="left" wrapText="1"/>
    </xf>
    <xf numFmtId="0" fontId="13" fillId="0" borderId="14" xfId="0" applyFont="1" applyFill="1" applyBorder="1" applyAlignment="1">
      <alignment horizontal="center" vertical="center" wrapText="1"/>
    </xf>
    <xf numFmtId="0" fontId="13" fillId="0" borderId="10" xfId="0" applyFont="1" applyBorder="1"/>
    <xf numFmtId="0" fontId="13" fillId="0" borderId="5" xfId="0" applyFont="1" applyBorder="1" applyAlignment="1"/>
    <xf numFmtId="165" fontId="13" fillId="0" borderId="10" xfId="2" applyNumberFormat="1" applyFont="1" applyBorder="1"/>
    <xf numFmtId="0" fontId="13" fillId="0" borderId="0" xfId="0" applyFont="1" applyBorder="1"/>
    <xf numFmtId="43" fontId="13" fillId="0" borderId="0" xfId="0" applyNumberFormat="1" applyFont="1" applyBorder="1" applyAlignment="1"/>
    <xf numFmtId="9" fontId="13" fillId="0" borderId="10" xfId="2" applyFont="1" applyBorder="1"/>
    <xf numFmtId="0" fontId="13" fillId="0" borderId="5" xfId="0" applyFont="1" applyBorder="1"/>
    <xf numFmtId="0" fontId="13" fillId="0" borderId="11" xfId="0" applyFont="1" applyBorder="1"/>
    <xf numFmtId="165" fontId="13" fillId="0" borderId="11" xfId="2" applyNumberFormat="1" applyFont="1" applyBorder="1"/>
    <xf numFmtId="0" fontId="13" fillId="0" borderId="8" xfId="0" applyFont="1" applyBorder="1" applyAlignment="1"/>
    <xf numFmtId="170" fontId="13" fillId="0" borderId="1" xfId="1" applyNumberFormat="1" applyFont="1" applyBorder="1" applyAlignment="1">
      <alignment horizontal="right"/>
    </xf>
    <xf numFmtId="0" fontId="13" fillId="0" borderId="1" xfId="0" applyFont="1" applyBorder="1"/>
    <xf numFmtId="170" fontId="13" fillId="0" borderId="1" xfId="0" applyNumberFormat="1" applyFont="1" applyBorder="1" applyAlignment="1">
      <alignment horizontal="right"/>
    </xf>
    <xf numFmtId="9" fontId="13" fillId="0" borderId="1" xfId="2" applyFont="1" applyBorder="1" applyAlignment="1">
      <alignment horizontal="right"/>
    </xf>
    <xf numFmtId="167" fontId="13" fillId="0" borderId="10" xfId="1" applyNumberFormat="1" applyFont="1" applyBorder="1" applyAlignment="1">
      <alignment horizontal="right"/>
    </xf>
    <xf numFmtId="167" fontId="13" fillId="0" borderId="11" xfId="1" applyNumberFormat="1" applyFont="1" applyBorder="1" applyAlignment="1">
      <alignment horizontal="right"/>
    </xf>
    <xf numFmtId="167" fontId="13" fillId="0" borderId="1" xfId="1" applyNumberFormat="1" applyFont="1" applyBorder="1" applyAlignment="1">
      <alignment horizontal="right"/>
    </xf>
    <xf numFmtId="167" fontId="13" fillId="0" borderId="11" xfId="1" applyNumberFormat="1" applyFont="1" applyBorder="1" applyAlignment="1">
      <alignment horizontal="right" vertical="center"/>
    </xf>
    <xf numFmtId="167" fontId="13" fillId="0" borderId="9" xfId="1" applyNumberFormat="1" applyFont="1" applyBorder="1" applyAlignment="1">
      <alignment horizontal="right"/>
    </xf>
    <xf numFmtId="166" fontId="13" fillId="0" borderId="10" xfId="1" applyNumberFormat="1" applyFont="1" applyBorder="1"/>
    <xf numFmtId="165" fontId="0" fillId="2" borderId="10" xfId="2" applyNumberFormat="1" applyFont="1" applyFill="1" applyBorder="1"/>
    <xf numFmtId="167" fontId="0" fillId="0" borderId="11" xfId="1" applyNumberFormat="1" applyFont="1" applyBorder="1"/>
    <xf numFmtId="9" fontId="0" fillId="3" borderId="1" xfId="2" applyFont="1" applyFill="1" applyBorder="1"/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2" fontId="0" fillId="0" borderId="0" xfId="0" applyNumberFormat="1" applyAlignment="1">
      <alignment horizontal="center"/>
    </xf>
    <xf numFmtId="0" fontId="0" fillId="0" borderId="13" xfId="0" applyBorder="1" applyAlignment="1">
      <alignment horizontal="center" vertical="center"/>
    </xf>
    <xf numFmtId="164" fontId="0" fillId="0" borderId="1" xfId="1" applyFont="1" applyBorder="1"/>
    <xf numFmtId="166" fontId="0" fillId="2" borderId="10" xfId="1" applyNumberFormat="1" applyFont="1" applyFill="1" applyBorder="1" applyAlignment="1">
      <alignment horizontal="right"/>
    </xf>
    <xf numFmtId="166" fontId="0" fillId="0" borderId="10" xfId="1" applyNumberFormat="1" applyFont="1" applyFill="1" applyBorder="1" applyAlignment="1">
      <alignment horizontal="right"/>
    </xf>
    <xf numFmtId="166" fontId="0" fillId="0" borderId="1" xfId="0" applyNumberFormat="1" applyBorder="1"/>
    <xf numFmtId="0" fontId="0" fillId="2" borderId="0" xfId="0" applyFill="1" applyBorder="1" applyAlignment="1">
      <alignment horizontal="center"/>
    </xf>
    <xf numFmtId="10" fontId="0" fillId="0" borderId="2" xfId="2" applyNumberFormat="1" applyFont="1" applyBorder="1"/>
    <xf numFmtId="10" fontId="0" fillId="0" borderId="4" xfId="2" applyNumberFormat="1" applyFont="1" applyBorder="1"/>
    <xf numFmtId="10" fontId="0" fillId="0" borderId="6" xfId="2" applyNumberFormat="1" applyFont="1" applyBorder="1"/>
    <xf numFmtId="0" fontId="7" fillId="0" borderId="9" xfId="0" applyFont="1" applyBorder="1" applyAlignment="1">
      <alignment horizontal="center" vertical="center"/>
    </xf>
    <xf numFmtId="2" fontId="0" fillId="2" borderId="9" xfId="0" applyNumberFormat="1" applyFill="1" applyBorder="1" applyAlignment="1">
      <alignment horizontal="center"/>
    </xf>
    <xf numFmtId="2" fontId="0" fillId="2" borderId="10" xfId="0" applyNumberFormat="1" applyFill="1" applyBorder="1" applyAlignment="1">
      <alignment horizontal="center"/>
    </xf>
    <xf numFmtId="2" fontId="0" fillId="2" borderId="11" xfId="0" applyNumberFormat="1" applyFill="1" applyBorder="1" applyAlignment="1">
      <alignment horizontal="center"/>
    </xf>
    <xf numFmtId="1" fontId="0" fillId="0" borderId="0" xfId="0" applyNumberFormat="1" applyBorder="1"/>
    <xf numFmtId="0" fontId="0" fillId="0" borderId="8" xfId="0" applyBorder="1"/>
    <xf numFmtId="0" fontId="0" fillId="0" borderId="1" xfId="0" applyFill="1" applyBorder="1" applyAlignment="1">
      <alignment horizontal="center" wrapText="1"/>
    </xf>
    <xf numFmtId="0" fontId="0" fillId="0" borderId="1" xfId="0" applyBorder="1" applyAlignment="1">
      <alignment wrapText="1"/>
    </xf>
    <xf numFmtId="164" fontId="0" fillId="0" borderId="1" xfId="0" applyNumberFormat="1" applyBorder="1"/>
    <xf numFmtId="164" fontId="0" fillId="2" borderId="1" xfId="1" applyFont="1" applyFill="1" applyBorder="1"/>
    <xf numFmtId="164" fontId="0" fillId="0" borderId="1" xfId="1" applyFont="1" applyBorder="1" applyAlignment="1">
      <alignment horizontal="right"/>
    </xf>
    <xf numFmtId="0" fontId="0" fillId="0" borderId="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70" fontId="13" fillId="0" borderId="1" xfId="1" applyNumberFormat="1" applyFont="1" applyBorder="1" applyAlignment="1">
      <alignment vertical="center"/>
    </xf>
    <xf numFmtId="165" fontId="13" fillId="0" borderId="10" xfId="2" applyNumberFormat="1" applyFont="1" applyBorder="1" applyAlignment="1">
      <alignment horizontal="center"/>
    </xf>
    <xf numFmtId="0" fontId="2" fillId="0" borderId="4" xfId="0" applyFont="1" applyBorder="1"/>
    <xf numFmtId="166" fontId="2" fillId="0" borderId="0" xfId="1" applyNumberFormat="1" applyFont="1" applyBorder="1"/>
    <xf numFmtId="166" fontId="0" fillId="0" borderId="5" xfId="0" applyNumberFormat="1" applyBorder="1"/>
    <xf numFmtId="0" fontId="0" fillId="0" borderId="7" xfId="0" applyBorder="1"/>
    <xf numFmtId="166" fontId="0" fillId="0" borderId="7" xfId="1" applyNumberFormat="1" applyFont="1" applyBorder="1"/>
    <xf numFmtId="166" fontId="0" fillId="0" borderId="8" xfId="1" applyNumberFormat="1" applyFont="1" applyBorder="1"/>
    <xf numFmtId="0" fontId="2" fillId="0" borderId="5" xfId="0" applyFont="1" applyBorder="1"/>
    <xf numFmtId="0" fontId="0" fillId="0" borderId="9" xfId="0" applyBorder="1"/>
    <xf numFmtId="166" fontId="0" fillId="0" borderId="10" xfId="1" applyNumberFormat="1" applyFont="1" applyBorder="1"/>
    <xf numFmtId="166" fontId="2" fillId="0" borderId="10" xfId="1" applyNumberFormat="1" applyFont="1" applyBorder="1"/>
    <xf numFmtId="0" fontId="0" fillId="0" borderId="18" xfId="0" applyBorder="1"/>
    <xf numFmtId="166" fontId="0" fillId="0" borderId="3" xfId="1" applyNumberFormat="1" applyFont="1" applyBorder="1"/>
    <xf numFmtId="0" fontId="0" fillId="0" borderId="2" xfId="0" applyBorder="1" applyAlignment="1"/>
    <xf numFmtId="0" fontId="0" fillId="0" borderId="18" xfId="0" applyBorder="1" applyAlignment="1"/>
    <xf numFmtId="0" fontId="0" fillId="0" borderId="6" xfId="0" applyBorder="1" applyAlignment="1"/>
    <xf numFmtId="166" fontId="1" fillId="0" borderId="7" xfId="1" applyNumberFormat="1" applyFont="1" applyBorder="1"/>
    <xf numFmtId="166" fontId="1" fillId="0" borderId="11" xfId="1" applyNumberFormat="1" applyFont="1" applyBorder="1"/>
    <xf numFmtId="166" fontId="1" fillId="0" borderId="11" xfId="0" applyNumberFormat="1" applyFont="1" applyBorder="1"/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10" xfId="0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9" xfId="0" applyBorder="1" applyAlignment="1">
      <alignment horizontal="center"/>
    </xf>
    <xf numFmtId="166" fontId="0" fillId="0" borderId="13" xfId="1" applyNumberFormat="1" applyFont="1" applyBorder="1"/>
    <xf numFmtId="166" fontId="0" fillId="0" borderId="18" xfId="1" applyNumberFormat="1" applyFont="1" applyBorder="1"/>
    <xf numFmtId="10" fontId="0" fillId="2" borderId="0" xfId="2" applyNumberFormat="1" applyFont="1" applyFill="1"/>
    <xf numFmtId="165" fontId="0" fillId="0" borderId="0" xfId="2" applyNumberFormat="1" applyFont="1" applyFill="1" applyAlignment="1">
      <alignment horizontal="center" vertical="center"/>
    </xf>
    <xf numFmtId="1" fontId="0" fillId="0" borderId="9" xfId="1" applyNumberFormat="1" applyFont="1" applyBorder="1"/>
    <xf numFmtId="1" fontId="0" fillId="0" borderId="18" xfId="0" applyNumberFormat="1" applyBorder="1"/>
    <xf numFmtId="164" fontId="3" fillId="0" borderId="0" xfId="1" applyFont="1"/>
    <xf numFmtId="0" fontId="7" fillId="0" borderId="0" xfId="0" applyFont="1"/>
    <xf numFmtId="166" fontId="7" fillId="0" borderId="0" xfId="1" applyNumberFormat="1" applyFont="1"/>
    <xf numFmtId="164" fontId="0" fillId="2" borderId="0" xfId="1" applyFont="1" applyFill="1" applyBorder="1" applyAlignment="1">
      <alignment horizontal="center" vertical="center"/>
    </xf>
    <xf numFmtId="165" fontId="0" fillId="0" borderId="13" xfId="2" applyNumberFormat="1" applyFont="1" applyBorder="1" applyAlignment="1">
      <alignment horizontal="center" vertical="center"/>
    </xf>
    <xf numFmtId="164" fontId="0" fillId="0" borderId="13" xfId="0" applyNumberFormat="1" applyBorder="1" applyAlignment="1">
      <alignment horizontal="center" vertical="center"/>
    </xf>
    <xf numFmtId="166" fontId="0" fillId="2" borderId="10" xfId="1" applyNumberFormat="1" applyFont="1" applyFill="1" applyBorder="1" applyAlignment="1">
      <alignment horizontal="center" vertical="center"/>
    </xf>
    <xf numFmtId="166" fontId="0" fillId="0" borderId="10" xfId="1" applyNumberFormat="1" applyFont="1" applyBorder="1" applyAlignment="1">
      <alignment horizontal="center" vertical="center"/>
    </xf>
    <xf numFmtId="166" fontId="0" fillId="2" borderId="0" xfId="1" applyNumberFormat="1" applyFont="1" applyFill="1" applyBorder="1" applyAlignment="1">
      <alignment horizontal="center" vertical="center"/>
    </xf>
    <xf numFmtId="167" fontId="0" fillId="0" borderId="10" xfId="1" applyNumberFormat="1" applyFon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67" fontId="0" fillId="0" borderId="1" xfId="1" applyNumberFormat="1" applyFont="1" applyBorder="1" applyAlignment="1">
      <alignment horizontal="center" vertical="center"/>
    </xf>
    <xf numFmtId="165" fontId="0" fillId="0" borderId="4" xfId="2" applyNumberFormat="1" applyFont="1" applyBorder="1" applyAlignment="1">
      <alignment horizontal="left"/>
    </xf>
    <xf numFmtId="165" fontId="0" fillId="0" borderId="4" xfId="2" applyNumberFormat="1" applyFont="1" applyBorder="1" applyAlignment="1">
      <alignment horizontal="center"/>
    </xf>
    <xf numFmtId="165" fontId="0" fillId="0" borderId="6" xfId="2" applyNumberFormat="1" applyFont="1" applyBorder="1" applyAlignment="1">
      <alignment horizontal="center"/>
    </xf>
    <xf numFmtId="0" fontId="9" fillId="0" borderId="13" xfId="0" applyFont="1" applyBorder="1" applyAlignment="1">
      <alignment horizontal="center"/>
    </xf>
    <xf numFmtId="0" fontId="9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center"/>
    </xf>
    <xf numFmtId="0" fontId="9" fillId="0" borderId="18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9" fillId="0" borderId="2" xfId="0" applyFont="1" applyBorder="1" applyAlignment="1">
      <alignment horizontal="left"/>
    </xf>
    <xf numFmtId="166" fontId="9" fillId="0" borderId="9" xfId="0" applyNumberFormat="1" applyFont="1" applyBorder="1" applyAlignment="1">
      <alignment horizontal="right"/>
    </xf>
    <xf numFmtId="166" fontId="9" fillId="0" borderId="0" xfId="4" applyNumberFormat="1" applyFont="1" applyBorder="1"/>
    <xf numFmtId="166" fontId="9" fillId="0" borderId="3" xfId="4" applyNumberFormat="1" applyFont="1" applyBorder="1"/>
    <xf numFmtId="166" fontId="9" fillId="0" borderId="2" xfId="4" applyNumberFormat="1" applyFont="1" applyBorder="1"/>
    <xf numFmtId="166" fontId="9" fillId="0" borderId="4" xfId="4" applyNumberFormat="1" applyFont="1" applyBorder="1"/>
    <xf numFmtId="166" fontId="9" fillId="0" borderId="12" xfId="4" applyNumberFormat="1" applyFont="1" applyBorder="1"/>
    <xf numFmtId="0" fontId="0" fillId="0" borderId="14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2" xfId="0" applyBorder="1" applyAlignment="1">
      <alignment horizontal="left"/>
    </xf>
    <xf numFmtId="2" fontId="0" fillId="0" borderId="5" xfId="0" applyNumberFormat="1" applyBorder="1" applyAlignment="1">
      <alignment horizontal="center"/>
    </xf>
    <xf numFmtId="2" fontId="0" fillId="0" borderId="8" xfId="0" applyNumberForma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8" xfId="0" applyBorder="1" applyAlignment="1">
      <alignment horizontal="center"/>
    </xf>
    <xf numFmtId="170" fontId="13" fillId="0" borderId="10" xfId="0" applyNumberFormat="1" applyFont="1" applyBorder="1"/>
    <xf numFmtId="0" fontId="3" fillId="0" borderId="12" xfId="0" applyFont="1" applyBorder="1"/>
    <xf numFmtId="165" fontId="0" fillId="2" borderId="10" xfId="2" applyNumberFormat="1" applyFont="1" applyFill="1" applyBorder="1" applyAlignment="1">
      <alignment horizontal="center"/>
    </xf>
    <xf numFmtId="0" fontId="0" fillId="2" borderId="10" xfId="1" applyNumberFormat="1" applyFont="1" applyFill="1" applyBorder="1" applyAlignment="1">
      <alignment horizontal="center" vertical="center"/>
    </xf>
    <xf numFmtId="165" fontId="0" fillId="0" borderId="11" xfId="2" applyNumberFormat="1" applyFont="1" applyBorder="1" applyAlignment="1">
      <alignment horizontal="center"/>
    </xf>
    <xf numFmtId="165" fontId="0" fillId="2" borderId="9" xfId="2" applyNumberFormat="1" applyFont="1" applyFill="1" applyBorder="1" applyAlignment="1">
      <alignment horizontal="center"/>
    </xf>
    <xf numFmtId="165" fontId="0" fillId="2" borderId="11" xfId="0" applyNumberFormat="1" applyFill="1" applyBorder="1" applyAlignment="1">
      <alignment horizontal="center"/>
    </xf>
    <xf numFmtId="165" fontId="0" fillId="0" borderId="5" xfId="2" applyNumberFormat="1" applyFont="1" applyBorder="1" applyAlignment="1">
      <alignment horizontal="center" vertical="center"/>
    </xf>
    <xf numFmtId="165" fontId="3" fillId="0" borderId="8" xfId="2" applyNumberFormat="1" applyFont="1" applyBorder="1" applyAlignment="1">
      <alignment horizontal="center" vertical="center"/>
    </xf>
    <xf numFmtId="0" fontId="3" fillId="0" borderId="11" xfId="0" applyFont="1" applyBorder="1"/>
    <xf numFmtId="0" fontId="3" fillId="0" borderId="1" xfId="0" applyFont="1" applyBorder="1"/>
    <xf numFmtId="10" fontId="0" fillId="0" borderId="14" xfId="2" applyNumberFormat="1" applyFont="1" applyFill="1" applyBorder="1" applyAlignment="1">
      <alignment horizontal="center"/>
    </xf>
    <xf numFmtId="165" fontId="0" fillId="0" borderId="5" xfId="2" applyNumberFormat="1" applyFont="1" applyFill="1" applyBorder="1" applyAlignment="1">
      <alignment horizontal="center" vertical="center"/>
    </xf>
    <xf numFmtId="165" fontId="3" fillId="0" borderId="8" xfId="2" applyNumberFormat="1" applyFont="1" applyFill="1" applyBorder="1" applyAlignment="1">
      <alignment horizontal="center" vertical="center"/>
    </xf>
    <xf numFmtId="165" fontId="0" fillId="0" borderId="14" xfId="2" applyNumberFormat="1" applyFont="1" applyFill="1" applyBorder="1" applyAlignment="1">
      <alignment horizontal="center" vertical="center"/>
    </xf>
    <xf numFmtId="165" fontId="0" fillId="2" borderId="5" xfId="2" applyNumberFormat="1" applyFont="1" applyFill="1" applyBorder="1" applyAlignment="1">
      <alignment horizontal="center" vertical="center"/>
    </xf>
    <xf numFmtId="0" fontId="0" fillId="0" borderId="4" xfId="0" applyBorder="1" applyAlignment="1">
      <alignment horizontal="left"/>
    </xf>
    <xf numFmtId="9" fontId="0" fillId="0" borderId="5" xfId="2" applyFont="1" applyBorder="1" applyAlignment="1">
      <alignment horizontal="center"/>
    </xf>
    <xf numFmtId="0" fontId="0" fillId="0" borderId="6" xfId="0" applyBorder="1" applyAlignment="1">
      <alignment horizontal="left"/>
    </xf>
    <xf numFmtId="9" fontId="0" fillId="0" borderId="10" xfId="2" applyFont="1" applyBorder="1" applyAlignment="1">
      <alignment horizontal="center"/>
    </xf>
    <xf numFmtId="166" fontId="0" fillId="0" borderId="11" xfId="1" applyNumberFormat="1" applyFont="1" applyBorder="1" applyAlignment="1">
      <alignment horizontal="center" vertical="center"/>
    </xf>
    <xf numFmtId="166" fontId="0" fillId="0" borderId="8" xfId="1" applyNumberFormat="1" applyFont="1" applyBorder="1" applyAlignment="1">
      <alignment horizontal="center" vertical="center"/>
    </xf>
    <xf numFmtId="165" fontId="0" fillId="2" borderId="9" xfId="0" applyNumberFormat="1" applyFill="1" applyBorder="1" applyAlignment="1">
      <alignment horizontal="center" vertical="center"/>
    </xf>
    <xf numFmtId="165" fontId="0" fillId="2" borderId="10" xfId="0" applyNumberFormat="1" applyFill="1" applyBorder="1" applyAlignment="1">
      <alignment horizontal="center" vertical="center"/>
    </xf>
    <xf numFmtId="165" fontId="0" fillId="2" borderId="11" xfId="0" applyNumberFormat="1" applyFill="1" applyBorder="1" applyAlignment="1">
      <alignment horizontal="center" vertical="center"/>
    </xf>
    <xf numFmtId="165" fontId="0" fillId="0" borderId="0" xfId="2" applyNumberFormat="1" applyFont="1" applyBorder="1" applyAlignment="1">
      <alignment horizontal="center"/>
    </xf>
    <xf numFmtId="165" fontId="0" fillId="0" borderId="5" xfId="2" applyNumberFormat="1" applyFont="1" applyBorder="1" applyAlignment="1">
      <alignment horizontal="center"/>
    </xf>
    <xf numFmtId="165" fontId="0" fillId="2" borderId="0" xfId="2" applyNumberFormat="1" applyFont="1" applyFill="1" applyBorder="1" applyAlignment="1">
      <alignment horizontal="center"/>
    </xf>
    <xf numFmtId="165" fontId="0" fillId="2" borderId="5" xfId="2" applyNumberFormat="1" applyFont="1" applyFill="1" applyBorder="1" applyAlignment="1">
      <alignment horizontal="center"/>
    </xf>
    <xf numFmtId="165" fontId="3" fillId="0" borderId="7" xfId="2" applyNumberFormat="1" applyFont="1" applyBorder="1" applyAlignment="1">
      <alignment horizontal="center"/>
    </xf>
    <xf numFmtId="165" fontId="3" fillId="0" borderId="8" xfId="2" applyNumberFormat="1" applyFont="1" applyBorder="1" applyAlignment="1">
      <alignment horizontal="center"/>
    </xf>
    <xf numFmtId="165" fontId="0" fillId="0" borderId="2" xfId="2" applyNumberFormat="1" applyFont="1" applyBorder="1" applyAlignment="1">
      <alignment horizontal="center"/>
    </xf>
    <xf numFmtId="165" fontId="0" fillId="0" borderId="18" xfId="2" applyNumberFormat="1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9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9" fillId="0" borderId="9" xfId="0" applyFont="1" applyBorder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9" fillId="0" borderId="12" xfId="0" applyFont="1" applyBorder="1" applyAlignment="1">
      <alignment horizontal="center"/>
    </xf>
    <xf numFmtId="0" fontId="9" fillId="0" borderId="13" xfId="0" applyFont="1" applyBorder="1" applyAlignment="1">
      <alignment horizontal="center"/>
    </xf>
    <xf numFmtId="0" fontId="9" fillId="0" borderId="14" xfId="0" applyFont="1" applyBorder="1" applyAlignment="1">
      <alignment horizontal="center"/>
    </xf>
    <xf numFmtId="0" fontId="11" fillId="0" borderId="12" xfId="0" applyFont="1" applyBorder="1" applyAlignment="1">
      <alignment horizontal="right"/>
    </xf>
    <xf numFmtId="0" fontId="11" fillId="0" borderId="14" xfId="0" applyFont="1" applyBorder="1" applyAlignment="1">
      <alignment horizontal="right"/>
    </xf>
    <xf numFmtId="0" fontId="9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/>
    </xf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13" fillId="0" borderId="0" xfId="0" applyFont="1" applyFill="1" applyBorder="1" applyAlignment="1">
      <alignment horizontal="left" wrapText="1"/>
    </xf>
    <xf numFmtId="0" fontId="13" fillId="0" borderId="2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3" fillId="0" borderId="2" xfId="0" applyFont="1" applyFill="1" applyBorder="1" applyAlignment="1">
      <alignment horizontal="left" vertical="center"/>
    </xf>
    <xf numFmtId="0" fontId="13" fillId="0" borderId="4" xfId="0" applyFont="1" applyFill="1" applyBorder="1" applyAlignment="1">
      <alignment horizontal="left" vertical="center"/>
    </xf>
    <xf numFmtId="0" fontId="13" fillId="0" borderId="6" xfId="0" applyFont="1" applyFill="1" applyBorder="1" applyAlignment="1">
      <alignment horizontal="left" vertical="center"/>
    </xf>
    <xf numFmtId="0" fontId="13" fillId="0" borderId="2" xfId="0" applyFont="1" applyBorder="1" applyAlignment="1">
      <alignment horizontal="left" vertical="center"/>
    </xf>
    <xf numFmtId="0" fontId="13" fillId="0" borderId="6" xfId="0" applyFont="1" applyBorder="1" applyAlignment="1">
      <alignment horizontal="left" vertical="center"/>
    </xf>
    <xf numFmtId="0" fontId="13" fillId="0" borderId="4" xfId="0" applyFont="1" applyBorder="1" applyAlignment="1">
      <alignment horizontal="left" vertical="center"/>
    </xf>
    <xf numFmtId="0" fontId="0" fillId="0" borderId="9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2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2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9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8" xfId="0" applyBorder="1" applyAlignment="1">
      <alignment horizontal="left" vertical="center"/>
    </xf>
    <xf numFmtId="165" fontId="0" fillId="0" borderId="0" xfId="2" applyNumberFormat="1" applyFont="1"/>
    <xf numFmtId="171" fontId="0" fillId="0" borderId="0" xfId="2" applyNumberFormat="1" applyFont="1"/>
  </cellXfs>
  <cellStyles count="5">
    <cellStyle name="Migliaia" xfId="1" builtinId="3"/>
    <cellStyle name="Migliaia 2" xfId="4" xr:uid="{00000000-0005-0000-0000-000001000000}"/>
    <cellStyle name="Normale" xfId="0" builtinId="0"/>
    <cellStyle name="Normale 2" xfId="3" xr:uid="{00000000-0005-0000-0000-000003000000}"/>
    <cellStyle name="Percentual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Flussi di cassa ed Esposizione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'Flusso di cassa'!$B$30</c:f>
              <c:strCache>
                <c:ptCount val="1"/>
                <c:pt idx="0">
                  <c:v>FLUSSO CASSA ECONOMICO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'Flusso di cassa'!$C$29:$G$29</c:f>
              <c:numCache>
                <c:formatCode>General</c:formatCode>
                <c:ptCount val="5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</c:numCache>
            </c:numRef>
          </c:xVal>
          <c:yVal>
            <c:numRef>
              <c:f>'Flusso di cassa'!$C$30:$G$30</c:f>
              <c:numCache>
                <c:formatCode>_-* #,##0_-;\-* #,##0_-;_-* "-"??_-;_-@_-</c:formatCode>
                <c:ptCount val="5"/>
                <c:pt idx="0">
                  <c:v>-304271.36736111116</c:v>
                </c:pt>
                <c:pt idx="1">
                  <c:v>-74769.353333333333</c:v>
                </c:pt>
                <c:pt idx="2">
                  <c:v>-457845.20169242728</c:v>
                </c:pt>
                <c:pt idx="3">
                  <c:v>418106.29500017024</c:v>
                </c:pt>
                <c:pt idx="4">
                  <c:v>923663.74593767803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33C8-4DE6-A140-5079154B955E}"/>
            </c:ext>
          </c:extLst>
        </c:ser>
        <c:ser>
          <c:idx val="1"/>
          <c:order val="1"/>
          <c:tx>
            <c:strRef>
              <c:f>'Flusso di cassa'!$B$31</c:f>
              <c:strCache>
                <c:ptCount val="1"/>
                <c:pt idx="0">
                  <c:v>FLUSSO CASSA NETTO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'Flusso di cassa'!$C$29:$G$29</c:f>
              <c:numCache>
                <c:formatCode>General</c:formatCode>
                <c:ptCount val="5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</c:numCache>
            </c:numRef>
          </c:xVal>
          <c:yVal>
            <c:numRef>
              <c:f>'Flusso di cassa'!$C$31:$G$31</c:f>
              <c:numCache>
                <c:formatCode>_-* #,##0_-;\-* #,##0_-;_-* "-"??_-;_-@_-</c:formatCode>
                <c:ptCount val="5"/>
                <c:pt idx="0">
                  <c:v>-310661.06607569451</c:v>
                </c:pt>
                <c:pt idx="1">
                  <c:v>-82863.392140922922</c:v>
                </c:pt>
                <c:pt idx="2">
                  <c:v>-475723.96455051721</c:v>
                </c:pt>
                <c:pt idx="3">
                  <c:v>408632.310317064</c:v>
                </c:pt>
                <c:pt idx="4">
                  <c:v>796176.89662814094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33C8-4DE6-A140-5079154B955E}"/>
            </c:ext>
          </c:extLst>
        </c:ser>
        <c:ser>
          <c:idx val="2"/>
          <c:order val="2"/>
          <c:tx>
            <c:strRef>
              <c:f>'Flusso di cassa'!$B$32</c:f>
              <c:strCache>
                <c:ptCount val="1"/>
                <c:pt idx="0">
                  <c:v>ESPOSIZIONE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xVal>
            <c:numRef>
              <c:f>'Flusso di cassa'!$C$29:$G$29</c:f>
              <c:numCache>
                <c:formatCode>General</c:formatCode>
                <c:ptCount val="5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</c:numCache>
            </c:numRef>
          </c:xVal>
          <c:yVal>
            <c:numRef>
              <c:f>'Flusso di cassa'!$C$32:$G$32</c:f>
              <c:numCache>
                <c:formatCode>_-* #,##0_-;\-* #,##0_-;_-* "-"??_-;_-@_-</c:formatCode>
                <c:ptCount val="5"/>
                <c:pt idx="0">
                  <c:v>-310661.06607569451</c:v>
                </c:pt>
                <c:pt idx="1">
                  <c:v>-393524.45821661747</c:v>
                </c:pt>
                <c:pt idx="2">
                  <c:v>-869248.42276713462</c:v>
                </c:pt>
                <c:pt idx="3">
                  <c:v>-460616.11245007062</c:v>
                </c:pt>
                <c:pt idx="4">
                  <c:v>335560.78417807032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33C8-4DE6-A140-5079154B95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05912096"/>
        <c:axId val="1949393120"/>
      </c:scatterChart>
      <c:valAx>
        <c:axId val="1705912096"/>
        <c:scaling>
          <c:orientation val="minMax"/>
          <c:max val="4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949393120"/>
        <c:crosses val="autoZero"/>
        <c:crossBetween val="midCat"/>
        <c:majorUnit val="1"/>
      </c:valAx>
      <c:valAx>
        <c:axId val="19493931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_-;\-* #,##0_-;_-* &quot;-&quot;??_-;_-@_-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705912096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12</xdr:col>
      <xdr:colOff>266700</xdr:colOff>
      <xdr:row>24</xdr:row>
      <xdr:rowOff>139700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2DCD0BFC-FE52-4D54-A401-8476897D1DC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2"/>
  <sheetViews>
    <sheetView workbookViewId="0">
      <selection activeCell="I23" sqref="I23"/>
    </sheetView>
  </sheetViews>
  <sheetFormatPr defaultRowHeight="14.5" x14ac:dyDescent="0.35"/>
  <cols>
    <col min="1" max="1" width="37.26953125" customWidth="1"/>
    <col min="2" max="2" width="12.26953125" customWidth="1"/>
    <col min="3" max="3" width="18.1796875" customWidth="1"/>
  </cols>
  <sheetData>
    <row r="1" spans="1:3" ht="18.5" x14ac:dyDescent="0.45">
      <c r="A1" s="17" t="s">
        <v>96</v>
      </c>
    </row>
    <row r="2" spans="1:3" x14ac:dyDescent="0.35">
      <c r="A2" t="s">
        <v>60</v>
      </c>
    </row>
    <row r="4" spans="1:3" x14ac:dyDescent="0.35">
      <c r="B4" s="236" t="s">
        <v>58</v>
      </c>
      <c r="C4" s="237" t="s">
        <v>222</v>
      </c>
    </row>
    <row r="5" spans="1:3" x14ac:dyDescent="0.35">
      <c r="A5" t="s">
        <v>37</v>
      </c>
      <c r="B5" s="5">
        <v>2830</v>
      </c>
      <c r="C5" t="s">
        <v>323</v>
      </c>
    </row>
    <row r="6" spans="1:3" x14ac:dyDescent="0.35">
      <c r="A6" t="s">
        <v>38</v>
      </c>
      <c r="B6" s="5">
        <v>1</v>
      </c>
      <c r="C6" s="235" t="s">
        <v>282</v>
      </c>
    </row>
    <row r="7" spans="1:3" x14ac:dyDescent="0.35">
      <c r="A7" t="s">
        <v>39</v>
      </c>
      <c r="B7" s="4">
        <f>+B6*B5</f>
        <v>2830</v>
      </c>
      <c r="C7" s="235"/>
    </row>
    <row r="8" spans="1:3" x14ac:dyDescent="0.35">
      <c r="A8" t="s">
        <v>40</v>
      </c>
      <c r="B8" s="5">
        <v>3</v>
      </c>
      <c r="C8" s="235" t="s">
        <v>282</v>
      </c>
    </row>
    <row r="9" spans="1:3" x14ac:dyDescent="0.35">
      <c r="A9" t="s">
        <v>98</v>
      </c>
      <c r="B9" s="5">
        <v>7</v>
      </c>
      <c r="C9" s="235" t="s">
        <v>282</v>
      </c>
    </row>
    <row r="10" spans="1:3" x14ac:dyDescent="0.35">
      <c r="A10" t="s">
        <v>99</v>
      </c>
      <c r="B10" s="5">
        <v>2</v>
      </c>
      <c r="C10" s="235" t="s">
        <v>282</v>
      </c>
    </row>
    <row r="11" spans="1:3" x14ac:dyDescent="0.35">
      <c r="A11" t="s">
        <v>210</v>
      </c>
      <c r="B11" s="4">
        <f>+B7/B8</f>
        <v>943.33333333333337</v>
      </c>
      <c r="C11" s="235"/>
    </row>
    <row r="12" spans="1:3" x14ac:dyDescent="0.35">
      <c r="A12" t="s">
        <v>208</v>
      </c>
      <c r="B12" s="5">
        <f>+B15</f>
        <v>471.66666666666669</v>
      </c>
      <c r="C12" s="235" t="s">
        <v>324</v>
      </c>
    </row>
    <row r="13" spans="1:3" x14ac:dyDescent="0.35">
      <c r="A13" t="s">
        <v>209</v>
      </c>
      <c r="B13" s="6">
        <v>0.5</v>
      </c>
      <c r="C13" s="235" t="s">
        <v>211</v>
      </c>
    </row>
    <row r="14" spans="1:3" x14ac:dyDescent="0.35">
      <c r="A14" t="s">
        <v>281</v>
      </c>
      <c r="B14" s="143">
        <f>+B13*B12</f>
        <v>235.83333333333334</v>
      </c>
      <c r="C14" s="238"/>
    </row>
    <row r="15" spans="1:3" x14ac:dyDescent="0.35">
      <c r="A15" t="s">
        <v>97</v>
      </c>
      <c r="B15" s="4">
        <f>+B11/B10</f>
        <v>471.66666666666669</v>
      </c>
      <c r="C15" s="238"/>
    </row>
    <row r="16" spans="1:3" x14ac:dyDescent="0.35">
      <c r="A16" t="s">
        <v>100</v>
      </c>
      <c r="B16" s="4">
        <f>+B5-B15</f>
        <v>2358.3333333333335</v>
      </c>
      <c r="C16" s="238"/>
    </row>
    <row r="17" spans="1:3" x14ac:dyDescent="0.35">
      <c r="A17" t="s">
        <v>212</v>
      </c>
      <c r="B17" s="6">
        <v>0.1</v>
      </c>
      <c r="C17" s="235" t="s">
        <v>211</v>
      </c>
    </row>
    <row r="18" spans="1:3" x14ac:dyDescent="0.35">
      <c r="A18" t="s">
        <v>279</v>
      </c>
      <c r="B18" s="143">
        <f>+B17*B11</f>
        <v>94.333333333333343</v>
      </c>
      <c r="C18" s="238"/>
    </row>
    <row r="19" spans="1:3" x14ac:dyDescent="0.35">
      <c r="A19" t="s">
        <v>213</v>
      </c>
      <c r="B19" s="6">
        <v>0.02</v>
      </c>
      <c r="C19" s="235" t="s">
        <v>211</v>
      </c>
    </row>
    <row r="20" spans="1:3" x14ac:dyDescent="0.35">
      <c r="A20" t="s">
        <v>280</v>
      </c>
      <c r="B20" s="143">
        <f>+(B16-B11)*B19</f>
        <v>28.3</v>
      </c>
      <c r="C20" s="238"/>
    </row>
    <row r="21" spans="1:3" x14ac:dyDescent="0.35">
      <c r="A21" s="12" t="s">
        <v>325</v>
      </c>
      <c r="B21" s="297">
        <f>+B11+B14+B18+B20</f>
        <v>1301.8</v>
      </c>
      <c r="C21" s="235"/>
    </row>
    <row r="22" spans="1:3" x14ac:dyDescent="0.35">
      <c r="B22" s="4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41"/>
  <sheetViews>
    <sheetView tabSelected="1" workbookViewId="0">
      <selection activeCell="B35" sqref="B35"/>
    </sheetView>
  </sheetViews>
  <sheetFormatPr defaultRowHeight="14.5" x14ac:dyDescent="0.35"/>
  <cols>
    <col min="1" max="1" width="40.26953125" customWidth="1"/>
    <col min="2" max="3" width="12.81640625" customWidth="1"/>
    <col min="6" max="6" width="32.1796875" customWidth="1"/>
    <col min="7" max="7" width="15.1796875" customWidth="1"/>
  </cols>
  <sheetData>
    <row r="1" spans="1:2" ht="18.5" x14ac:dyDescent="0.45">
      <c r="A1" s="17" t="s">
        <v>96</v>
      </c>
    </row>
    <row r="2" spans="1:2" x14ac:dyDescent="0.35">
      <c r="A2" t="s">
        <v>321</v>
      </c>
    </row>
    <row r="4" spans="1:2" x14ac:dyDescent="0.35">
      <c r="B4" s="4"/>
    </row>
    <row r="5" spans="1:2" x14ac:dyDescent="0.35">
      <c r="A5" s="12" t="s">
        <v>59</v>
      </c>
    </row>
    <row r="6" spans="1:2" x14ac:dyDescent="0.35">
      <c r="A6" t="s">
        <v>57</v>
      </c>
      <c r="B6" s="6">
        <v>0.3</v>
      </c>
    </row>
    <row r="7" spans="1:2" x14ac:dyDescent="0.35">
      <c r="A7" t="s">
        <v>65</v>
      </c>
      <c r="B7" s="293">
        <v>7.0000000000000007E-2</v>
      </c>
    </row>
    <row r="8" spans="1:2" x14ac:dyDescent="0.35">
      <c r="A8" t="s">
        <v>94</v>
      </c>
      <c r="B8" s="293">
        <v>5.0000000000000001E-3</v>
      </c>
    </row>
    <row r="9" spans="1:2" x14ac:dyDescent="0.35">
      <c r="B9" s="14"/>
    </row>
    <row r="11" spans="1:2" x14ac:dyDescent="0.35">
      <c r="A11" s="12" t="s">
        <v>68</v>
      </c>
      <c r="B11" s="13"/>
    </row>
    <row r="12" spans="1:2" x14ac:dyDescent="0.35">
      <c r="A12" t="s">
        <v>63</v>
      </c>
      <c r="B12" s="11">
        <v>0.24</v>
      </c>
    </row>
    <row r="13" spans="1:2" x14ac:dyDescent="0.35">
      <c r="A13" t="s">
        <v>64</v>
      </c>
      <c r="B13" s="11">
        <v>3.9E-2</v>
      </c>
    </row>
    <row r="15" spans="1:2" x14ac:dyDescent="0.35">
      <c r="A15" s="12" t="s">
        <v>197</v>
      </c>
    </row>
    <row r="16" spans="1:2" x14ac:dyDescent="0.35">
      <c r="A16" s="12"/>
    </row>
    <row r="17" spans="1:4" ht="16.5" x14ac:dyDescent="0.45">
      <c r="A17" s="334" t="s">
        <v>198</v>
      </c>
      <c r="B17" s="327" t="s">
        <v>194</v>
      </c>
      <c r="C17" s="324" t="s">
        <v>195</v>
      </c>
    </row>
    <row r="18" spans="1:4" x14ac:dyDescent="0.35">
      <c r="A18" s="19" t="s">
        <v>312</v>
      </c>
      <c r="B18" s="335">
        <v>0.03</v>
      </c>
      <c r="C18" s="29">
        <v>0.03</v>
      </c>
      <c r="D18" t="s">
        <v>343</v>
      </c>
    </row>
    <row r="19" spans="1:4" x14ac:dyDescent="0.35">
      <c r="A19" s="19" t="s">
        <v>313</v>
      </c>
      <c r="B19" s="338">
        <v>0.09</v>
      </c>
      <c r="C19" s="355">
        <v>0.06</v>
      </c>
    </row>
    <row r="20" spans="1:4" x14ac:dyDescent="0.35">
      <c r="A20" s="19" t="s">
        <v>66</v>
      </c>
      <c r="B20" s="336">
        <v>0.54</v>
      </c>
      <c r="C20" s="356"/>
      <c r="D20" t="s">
        <v>344</v>
      </c>
    </row>
    <row r="21" spans="1:4" x14ac:dyDescent="0.35">
      <c r="A21" s="19" t="s">
        <v>196</v>
      </c>
      <c r="B21" s="339">
        <v>2.5999999999999999E-2</v>
      </c>
      <c r="C21" s="357"/>
    </row>
    <row r="22" spans="1:4" x14ac:dyDescent="0.35">
      <c r="A22" s="20" t="s">
        <v>207</v>
      </c>
      <c r="B22" s="337">
        <f>+B18+B20*(B19-B18)+B21</f>
        <v>8.8399999999999992E-2</v>
      </c>
      <c r="C22" s="30">
        <f>+C19+C18</f>
        <v>0.09</v>
      </c>
    </row>
    <row r="23" spans="1:4" x14ac:dyDescent="0.35">
      <c r="A23" s="272" t="s">
        <v>322</v>
      </c>
      <c r="B23" s="358">
        <f>AVERAGE(B22:C22)</f>
        <v>8.9200000000000002E-2</v>
      </c>
      <c r="C23" s="359"/>
    </row>
    <row r="24" spans="1:4" x14ac:dyDescent="0.35">
      <c r="A24" s="24" t="s">
        <v>67</v>
      </c>
      <c r="B24" s="360">
        <v>2.5000000000000001E-2</v>
      </c>
      <c r="C24" s="361"/>
    </row>
    <row r="25" spans="1:4" x14ac:dyDescent="0.35">
      <c r="A25" s="342" t="s">
        <v>283</v>
      </c>
      <c r="B25" s="362">
        <f>+(1+B23)/(1+B24)-1</f>
        <v>6.263414634146347E-2</v>
      </c>
      <c r="C25" s="363"/>
    </row>
    <row r="26" spans="1:4" x14ac:dyDescent="0.35">
      <c r="B26" s="141"/>
      <c r="C26" s="141"/>
    </row>
    <row r="27" spans="1:4" ht="16.5" x14ac:dyDescent="0.45">
      <c r="A27" s="343" t="s">
        <v>199</v>
      </c>
      <c r="B27" s="344" t="s">
        <v>277</v>
      </c>
      <c r="C27" s="141"/>
    </row>
    <row r="28" spans="1:4" x14ac:dyDescent="0.35">
      <c r="A28" s="24" t="s">
        <v>200</v>
      </c>
      <c r="B28" s="348">
        <v>7.0000000000000007E-2</v>
      </c>
      <c r="C28" s="141"/>
    </row>
    <row r="29" spans="1:4" x14ac:dyDescent="0.35">
      <c r="A29" s="24" t="s">
        <v>68</v>
      </c>
      <c r="B29" s="348">
        <f>+B12+B13</f>
        <v>0.27899999999999997</v>
      </c>
    </row>
    <row r="30" spans="1:4" x14ac:dyDescent="0.35">
      <c r="A30" s="24" t="s">
        <v>201</v>
      </c>
      <c r="B30" s="340">
        <f>+B28*(1-B29)</f>
        <v>5.0470000000000008E-2</v>
      </c>
    </row>
    <row r="31" spans="1:4" x14ac:dyDescent="0.35">
      <c r="A31" s="24" t="s">
        <v>67</v>
      </c>
      <c r="B31" s="348">
        <v>2.5000000000000001E-2</v>
      </c>
    </row>
    <row r="32" spans="1:4" x14ac:dyDescent="0.35">
      <c r="A32" s="342" t="s">
        <v>206</v>
      </c>
      <c r="B32" s="341">
        <f>+(1+B30)/(1+B31)-1</f>
        <v>2.4848780487805033E-2</v>
      </c>
      <c r="C32" s="142"/>
    </row>
    <row r="33" spans="1:3" x14ac:dyDescent="0.35">
      <c r="B33" s="294"/>
      <c r="C33" s="142"/>
    </row>
    <row r="34" spans="1:3" x14ac:dyDescent="0.35">
      <c r="A34" s="343" t="s">
        <v>202</v>
      </c>
      <c r="B34" s="347" t="s">
        <v>277</v>
      </c>
      <c r="C34" s="142"/>
    </row>
    <row r="35" spans="1:3" x14ac:dyDescent="0.35">
      <c r="A35" s="24" t="s">
        <v>203</v>
      </c>
      <c r="B35" s="348">
        <v>0.3</v>
      </c>
      <c r="C35" s="142"/>
    </row>
    <row r="36" spans="1:3" x14ac:dyDescent="0.35">
      <c r="A36" s="24" t="s">
        <v>206</v>
      </c>
      <c r="B36" s="345">
        <f>+B32</f>
        <v>2.4848780487805033E-2</v>
      </c>
      <c r="C36" s="142"/>
    </row>
    <row r="37" spans="1:3" x14ac:dyDescent="0.35">
      <c r="A37" s="24" t="s">
        <v>204</v>
      </c>
      <c r="B37" s="345">
        <f>1-B35</f>
        <v>0.7</v>
      </c>
      <c r="C37" s="142"/>
    </row>
    <row r="38" spans="1:3" x14ac:dyDescent="0.35">
      <c r="A38" s="24" t="s">
        <v>284</v>
      </c>
      <c r="B38" s="345">
        <f>+B25</f>
        <v>6.263414634146347E-2</v>
      </c>
      <c r="C38" s="142"/>
    </row>
    <row r="39" spans="1:3" x14ac:dyDescent="0.35">
      <c r="A39" s="342" t="s">
        <v>285</v>
      </c>
      <c r="B39" s="346">
        <f>+B38*B37+B36*B35</f>
        <v>5.1298536585365935E-2</v>
      </c>
      <c r="C39" s="142"/>
    </row>
    <row r="40" spans="1:3" x14ac:dyDescent="0.35">
      <c r="B40" s="235"/>
      <c r="C40" s="142"/>
    </row>
    <row r="41" spans="1:3" x14ac:dyDescent="0.35">
      <c r="B41" s="142"/>
    </row>
  </sheetData>
  <mergeCells count="4">
    <mergeCell ref="C19:C21"/>
    <mergeCell ref="B23:C23"/>
    <mergeCell ref="B24:C24"/>
    <mergeCell ref="B25:C25"/>
  </mergeCells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33"/>
  <sheetViews>
    <sheetView workbookViewId="0">
      <selection activeCell="A2" sqref="A2:D12"/>
    </sheetView>
  </sheetViews>
  <sheetFormatPr defaultRowHeight="14.5" x14ac:dyDescent="0.35"/>
  <cols>
    <col min="1" max="1" width="44.453125" customWidth="1"/>
    <col min="2" max="2" width="26.453125" customWidth="1"/>
    <col min="3" max="3" width="13.453125" style="3" customWidth="1"/>
    <col min="4" max="4" width="20.6328125" customWidth="1"/>
    <col min="5" max="5" width="28.1796875" customWidth="1"/>
    <col min="6" max="6" width="14" customWidth="1"/>
    <col min="7" max="7" width="17.26953125" customWidth="1"/>
    <col min="8" max="10" width="12" customWidth="1"/>
    <col min="12" max="12" width="47.26953125" customWidth="1"/>
    <col min="13" max="13" width="24.81640625" customWidth="1"/>
    <col min="14" max="14" width="13.1796875" customWidth="1"/>
    <col min="15" max="15" width="15.81640625" customWidth="1"/>
    <col min="16" max="16" width="32.453125" customWidth="1"/>
  </cols>
  <sheetData>
    <row r="1" spans="1:7" x14ac:dyDescent="0.35">
      <c r="A1" t="s">
        <v>70</v>
      </c>
    </row>
    <row r="2" spans="1:7" x14ac:dyDescent="0.35">
      <c r="A2" s="21"/>
      <c r="B2" s="31" t="s">
        <v>20</v>
      </c>
      <c r="C2" s="32" t="s">
        <v>46</v>
      </c>
      <c r="D2" s="7" t="s">
        <v>222</v>
      </c>
    </row>
    <row r="3" spans="1:7" x14ac:dyDescent="0.35">
      <c r="A3" s="19" t="s">
        <v>112</v>
      </c>
      <c r="B3" s="33">
        <f>+Descrizione!B5</f>
        <v>2830</v>
      </c>
      <c r="C3" s="28"/>
      <c r="D3" s="24"/>
    </row>
    <row r="4" spans="1:7" x14ac:dyDescent="0.35">
      <c r="A4" s="19" t="s">
        <v>317</v>
      </c>
      <c r="B4" s="35">
        <f>+Descrizione!B7</f>
        <v>2830</v>
      </c>
      <c r="C4" s="28"/>
      <c r="D4" s="24"/>
    </row>
    <row r="5" spans="1:7" x14ac:dyDescent="0.35">
      <c r="A5" s="19" t="s">
        <v>316</v>
      </c>
      <c r="B5" s="34">
        <f>AVERAGE(F20,B33)</f>
        <v>108.28472222222223</v>
      </c>
      <c r="C5" s="28"/>
      <c r="D5" s="24" t="s">
        <v>341</v>
      </c>
    </row>
    <row r="6" spans="1:7" x14ac:dyDescent="0.35">
      <c r="A6" s="19" t="s">
        <v>43</v>
      </c>
      <c r="B6" s="35">
        <f>+B5*B4</f>
        <v>306445.76388888893</v>
      </c>
      <c r="C6" s="28"/>
      <c r="D6" s="24"/>
    </row>
    <row r="7" spans="1:7" x14ac:dyDescent="0.35">
      <c r="A7" s="19" t="s">
        <v>299</v>
      </c>
      <c r="B7" s="35">
        <f>+'Cc - Costo costruzione'!D4</f>
        <v>22080</v>
      </c>
      <c r="C7" s="28"/>
      <c r="D7" s="24"/>
    </row>
    <row r="8" spans="1:7" x14ac:dyDescent="0.35">
      <c r="A8" s="19" t="s">
        <v>300</v>
      </c>
      <c r="B8" s="35">
        <f>+B6-B7</f>
        <v>284365.76388888893</v>
      </c>
      <c r="C8" s="28"/>
      <c r="D8" s="24"/>
    </row>
    <row r="9" spans="1:7" x14ac:dyDescent="0.35">
      <c r="A9" s="19" t="s">
        <v>44</v>
      </c>
      <c r="B9" s="35">
        <f>+B8*C9</f>
        <v>5687.3152777777786</v>
      </c>
      <c r="C9" s="29">
        <v>0.02</v>
      </c>
      <c r="D9" s="24" t="s">
        <v>288</v>
      </c>
    </row>
    <row r="10" spans="1:7" x14ac:dyDescent="0.35">
      <c r="A10" s="19" t="s">
        <v>45</v>
      </c>
      <c r="B10" s="35">
        <f>+C10*B8</f>
        <v>2843.6576388888893</v>
      </c>
      <c r="C10" s="29">
        <v>0.01</v>
      </c>
      <c r="D10" s="24" t="s">
        <v>289</v>
      </c>
    </row>
    <row r="11" spans="1:7" x14ac:dyDescent="0.35">
      <c r="A11" s="19" t="s">
        <v>291</v>
      </c>
      <c r="B11" s="35">
        <f>+C11*B8</f>
        <v>11374.630555555557</v>
      </c>
      <c r="C11" s="29">
        <v>0.04</v>
      </c>
      <c r="D11" s="24" t="s">
        <v>290</v>
      </c>
    </row>
    <row r="12" spans="1:7" x14ac:dyDescent="0.35">
      <c r="A12" s="20" t="s">
        <v>42</v>
      </c>
      <c r="B12" s="36">
        <f>SUM(B8:B11)</f>
        <v>304271.36736111116</v>
      </c>
      <c r="C12" s="30"/>
      <c r="D12" s="25"/>
      <c r="G12" s="23"/>
    </row>
    <row r="13" spans="1:7" x14ac:dyDescent="0.35">
      <c r="G13" s="23"/>
    </row>
    <row r="14" spans="1:7" x14ac:dyDescent="0.35">
      <c r="G14" s="23"/>
    </row>
    <row r="15" spans="1:7" x14ac:dyDescent="0.35">
      <c r="A15" t="s">
        <v>326</v>
      </c>
      <c r="C15"/>
      <c r="G15" s="22"/>
    </row>
    <row r="16" spans="1:7" ht="43.5" x14ac:dyDescent="0.35">
      <c r="A16" s="21" t="s">
        <v>286</v>
      </c>
      <c r="B16" s="27" t="s">
        <v>104</v>
      </c>
      <c r="C16" s="26" t="s">
        <v>38</v>
      </c>
      <c r="D16" s="27" t="s">
        <v>39</v>
      </c>
      <c r="E16" s="239" t="s">
        <v>105</v>
      </c>
      <c r="F16" s="27" t="s">
        <v>106</v>
      </c>
      <c r="G16" s="23"/>
    </row>
    <row r="17" spans="1:7" x14ac:dyDescent="0.35">
      <c r="A17" s="19" t="s">
        <v>101</v>
      </c>
      <c r="B17" s="303">
        <v>2500</v>
      </c>
      <c r="C17" s="300">
        <v>1.5</v>
      </c>
      <c r="D17" s="304">
        <f>+C17*B17</f>
        <v>3750</v>
      </c>
      <c r="E17" s="305">
        <v>400000</v>
      </c>
      <c r="F17" s="306">
        <f>+E17/D17</f>
        <v>106.66666666666667</v>
      </c>
      <c r="G17" s="23"/>
    </row>
    <row r="18" spans="1:7" x14ac:dyDescent="0.35">
      <c r="A18" s="19" t="s">
        <v>102</v>
      </c>
      <c r="B18" s="303">
        <v>2000</v>
      </c>
      <c r="C18" s="300">
        <v>1</v>
      </c>
      <c r="D18" s="304">
        <f t="shared" ref="D18:D19" si="0">+C18*B18</f>
        <v>2000</v>
      </c>
      <c r="E18" s="305">
        <v>200000</v>
      </c>
      <c r="F18" s="306">
        <f t="shared" ref="F18:F19" si="1">+E18/D18</f>
        <v>100</v>
      </c>
      <c r="G18" s="23"/>
    </row>
    <row r="19" spans="1:7" x14ac:dyDescent="0.35">
      <c r="A19" s="19" t="s">
        <v>103</v>
      </c>
      <c r="B19" s="303">
        <v>3000</v>
      </c>
      <c r="C19" s="300">
        <v>1</v>
      </c>
      <c r="D19" s="304">
        <f t="shared" si="0"/>
        <v>3000</v>
      </c>
      <c r="E19" s="305">
        <v>320000</v>
      </c>
      <c r="F19" s="306">
        <f t="shared" si="1"/>
        <v>106.66666666666667</v>
      </c>
      <c r="G19" s="23"/>
    </row>
    <row r="20" spans="1:7" x14ac:dyDescent="0.35">
      <c r="A20" s="21"/>
      <c r="B20" s="307"/>
      <c r="C20" s="301"/>
      <c r="D20" s="307"/>
      <c r="E20" s="302" t="s">
        <v>187</v>
      </c>
      <c r="F20" s="308">
        <f>AVERAGE(F17:F19)</f>
        <v>104.44444444444446</v>
      </c>
      <c r="G20" s="23"/>
    </row>
    <row r="21" spans="1:7" x14ac:dyDescent="0.35">
      <c r="G21" s="23"/>
    </row>
    <row r="22" spans="1:7" x14ac:dyDescent="0.35">
      <c r="G22" s="23"/>
    </row>
    <row r="23" spans="1:7" x14ac:dyDescent="0.35">
      <c r="A23" t="s">
        <v>111</v>
      </c>
      <c r="E23" s="23"/>
      <c r="F23" s="23"/>
      <c r="G23" s="23"/>
    </row>
    <row r="24" spans="1:7" x14ac:dyDescent="0.35">
      <c r="A24" s="37"/>
      <c r="B24" s="18" t="s">
        <v>110</v>
      </c>
      <c r="C24" s="364" t="s">
        <v>222</v>
      </c>
      <c r="D24" s="365"/>
    </row>
    <row r="25" spans="1:7" x14ac:dyDescent="0.35">
      <c r="A25" s="38" t="s">
        <v>113</v>
      </c>
      <c r="B25" s="241">
        <v>2500</v>
      </c>
      <c r="C25" s="309" t="s">
        <v>327</v>
      </c>
      <c r="D25" s="150"/>
    </row>
    <row r="26" spans="1:7" x14ac:dyDescent="0.35">
      <c r="A26" s="39" t="s">
        <v>112</v>
      </c>
      <c r="B26" s="242">
        <f>+B3</f>
        <v>2830</v>
      </c>
      <c r="C26" s="310"/>
      <c r="D26" s="150"/>
    </row>
    <row r="27" spans="1:7" x14ac:dyDescent="0.35">
      <c r="A27" s="39" t="str">
        <f>+A4</f>
        <v>Volume edificabile</v>
      </c>
      <c r="B27" s="242">
        <f>+B4</f>
        <v>2830</v>
      </c>
      <c r="C27" s="310"/>
      <c r="D27" s="150"/>
    </row>
    <row r="28" spans="1:7" x14ac:dyDescent="0.35">
      <c r="A28" s="39" t="s">
        <v>318</v>
      </c>
      <c r="B28" s="146">
        <f>+Descrizione!B21</f>
        <v>1301.8</v>
      </c>
      <c r="C28" s="310"/>
      <c r="D28" s="150"/>
    </row>
    <row r="29" spans="1:7" x14ac:dyDescent="0.35">
      <c r="A29" s="39" t="s">
        <v>114</v>
      </c>
      <c r="B29" s="146">
        <f>+B28*B25</f>
        <v>3254500</v>
      </c>
      <c r="C29" s="310"/>
      <c r="D29" s="150"/>
    </row>
    <row r="30" spans="1:7" x14ac:dyDescent="0.35">
      <c r="A30" s="39" t="s">
        <v>111</v>
      </c>
      <c r="B30" s="147">
        <v>0.15</v>
      </c>
      <c r="C30" s="309" t="s">
        <v>287</v>
      </c>
      <c r="D30" s="150"/>
    </row>
    <row r="31" spans="1:7" x14ac:dyDescent="0.35">
      <c r="A31" s="39" t="s">
        <v>214</v>
      </c>
      <c r="B31" s="147">
        <v>0.65</v>
      </c>
      <c r="C31" s="309" t="s">
        <v>287</v>
      </c>
      <c r="D31" s="150"/>
    </row>
    <row r="32" spans="1:7" x14ac:dyDescent="0.35">
      <c r="A32" s="39" t="s">
        <v>115</v>
      </c>
      <c r="B32" s="144">
        <f>+B29*B30*B31</f>
        <v>317313.75</v>
      </c>
      <c r="C32" s="310"/>
      <c r="D32" s="150"/>
    </row>
    <row r="33" spans="1:4" x14ac:dyDescent="0.35">
      <c r="A33" s="40" t="s">
        <v>319</v>
      </c>
      <c r="B33" s="145">
        <f>+B32/B27</f>
        <v>112.125</v>
      </c>
      <c r="C33" s="311"/>
      <c r="D33" s="253"/>
    </row>
  </sheetData>
  <mergeCells count="1">
    <mergeCell ref="C24:D24"/>
  </mergeCells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46"/>
  <sheetViews>
    <sheetView workbookViewId="0">
      <selection activeCell="C5" sqref="C5"/>
    </sheetView>
  </sheetViews>
  <sheetFormatPr defaultRowHeight="14.5" x14ac:dyDescent="0.35"/>
  <cols>
    <col min="1" max="1" width="30.453125" customWidth="1"/>
    <col min="2" max="2" width="12.54296875" customWidth="1"/>
    <col min="3" max="3" width="13.81640625" customWidth="1"/>
    <col min="4" max="4" width="13.26953125" bestFit="1" customWidth="1"/>
    <col min="5" max="5" width="19.7265625" customWidth="1"/>
    <col min="6" max="6" width="16.1796875" customWidth="1"/>
    <col min="7" max="9" width="9" customWidth="1"/>
    <col min="10" max="10" width="13.1796875" customWidth="1"/>
    <col min="11" max="12" width="9" customWidth="1"/>
    <col min="13" max="13" width="14.7265625" bestFit="1" customWidth="1"/>
  </cols>
  <sheetData>
    <row r="1" spans="1:9" x14ac:dyDescent="0.35">
      <c r="A1" t="s">
        <v>72</v>
      </c>
      <c r="I1" t="s">
        <v>149</v>
      </c>
    </row>
    <row r="3" spans="1:9" ht="29" x14ac:dyDescent="0.35">
      <c r="A3" s="78" t="s">
        <v>154</v>
      </c>
      <c r="B3" s="74" t="s">
        <v>48</v>
      </c>
      <c r="C3" s="75" t="s">
        <v>36</v>
      </c>
      <c r="D3" s="76" t="s">
        <v>29</v>
      </c>
      <c r="E3" s="254" t="s">
        <v>222</v>
      </c>
    </row>
    <row r="4" spans="1:9" x14ac:dyDescent="0.35">
      <c r="A4" s="24" t="s">
        <v>151</v>
      </c>
      <c r="B4" s="70">
        <f>3*184*2</f>
        <v>1104</v>
      </c>
      <c r="C4" s="73">
        <v>20</v>
      </c>
      <c r="D4" s="71">
        <f>+C4*B4</f>
        <v>22080</v>
      </c>
      <c r="E4" s="331" t="s">
        <v>109</v>
      </c>
    </row>
    <row r="5" spans="1:9" x14ac:dyDescent="0.35">
      <c r="A5" s="24" t="s">
        <v>298</v>
      </c>
      <c r="B5" s="72">
        <f>+Descrizione!B16</f>
        <v>2358.3333333333335</v>
      </c>
      <c r="C5" s="73">
        <v>0</v>
      </c>
      <c r="D5" s="71">
        <f t="shared" ref="D5:D7" si="0">+C5*B5</f>
        <v>0</v>
      </c>
      <c r="E5" s="331" t="s">
        <v>109</v>
      </c>
    </row>
    <row r="6" spans="1:9" x14ac:dyDescent="0.35">
      <c r="A6" s="24" t="s">
        <v>152</v>
      </c>
      <c r="B6" s="252">
        <f>+Descrizione!B11</f>
        <v>943.33333333333337</v>
      </c>
      <c r="C6" s="152">
        <f>AVERAGE(F18,E46)</f>
        <v>1761.1191641084049</v>
      </c>
      <c r="D6" s="71">
        <f t="shared" si="0"/>
        <v>1661322.4114755953</v>
      </c>
      <c r="E6" s="331" t="s">
        <v>292</v>
      </c>
    </row>
    <row r="7" spans="1:9" x14ac:dyDescent="0.35">
      <c r="A7" s="24" t="s">
        <v>153</v>
      </c>
      <c r="B7" s="72">
        <f>+Descrizione!B12</f>
        <v>471.66666666666669</v>
      </c>
      <c r="C7" s="61">
        <f>+C6*0.5</f>
        <v>880.55958205420245</v>
      </c>
      <c r="D7" s="71">
        <f t="shared" si="0"/>
        <v>415330.60286889883</v>
      </c>
      <c r="E7" s="331" t="s">
        <v>293</v>
      </c>
    </row>
    <row r="8" spans="1:9" x14ac:dyDescent="0.35">
      <c r="A8" s="7"/>
      <c r="B8" s="69"/>
      <c r="C8" s="7" t="s">
        <v>6</v>
      </c>
      <c r="D8" s="77">
        <f>SUM(D4:D7)</f>
        <v>2098733.0143444943</v>
      </c>
      <c r="E8" s="332"/>
    </row>
    <row r="13" spans="1:9" x14ac:dyDescent="0.35">
      <c r="A13" t="s">
        <v>147</v>
      </c>
    </row>
    <row r="14" spans="1:9" ht="43.5" x14ac:dyDescent="0.35">
      <c r="A14" s="78" t="s">
        <v>297</v>
      </c>
      <c r="B14" s="153" t="s">
        <v>116</v>
      </c>
      <c r="C14" s="27" t="s">
        <v>119</v>
      </c>
      <c r="D14" s="41" t="s">
        <v>117</v>
      </c>
      <c r="E14" s="41" t="s">
        <v>340</v>
      </c>
      <c r="F14" s="154" t="s">
        <v>118</v>
      </c>
    </row>
    <row r="15" spans="1:9" x14ac:dyDescent="0.35">
      <c r="A15" s="24" t="s">
        <v>332</v>
      </c>
      <c r="B15" s="244">
        <v>2018</v>
      </c>
      <c r="C15" s="67">
        <v>1400</v>
      </c>
      <c r="D15" s="46">
        <f>+J24</f>
        <v>95.2</v>
      </c>
      <c r="E15" s="46">
        <v>121.31</v>
      </c>
      <c r="F15" s="157">
        <f>+C15*E15/D15</f>
        <v>1783.9705882352941</v>
      </c>
    </row>
    <row r="16" spans="1:9" x14ac:dyDescent="0.35">
      <c r="A16" s="24" t="s">
        <v>333</v>
      </c>
      <c r="B16" s="244">
        <v>2017</v>
      </c>
      <c r="C16" s="67">
        <v>1300</v>
      </c>
      <c r="D16" s="46">
        <f>+J23</f>
        <v>93.9</v>
      </c>
      <c r="E16" s="46">
        <f>+E15</f>
        <v>121.31</v>
      </c>
      <c r="F16" s="157">
        <f t="shared" ref="F16:F17" si="1">+C16*E16/D16</f>
        <v>1679.4781682641108</v>
      </c>
    </row>
    <row r="17" spans="1:10" x14ac:dyDescent="0.35">
      <c r="A17" s="24" t="s">
        <v>334</v>
      </c>
      <c r="B17" s="244">
        <v>2019</v>
      </c>
      <c r="C17" s="68">
        <v>1500</v>
      </c>
      <c r="D17" s="46">
        <f>+J25</f>
        <v>95.7</v>
      </c>
      <c r="E17" s="46">
        <f>+E16</f>
        <v>121.31</v>
      </c>
      <c r="F17" s="157">
        <f t="shared" si="1"/>
        <v>1901.41065830721</v>
      </c>
    </row>
    <row r="18" spans="1:10" x14ac:dyDescent="0.35">
      <c r="A18" s="366" t="s">
        <v>150</v>
      </c>
      <c r="B18" s="367"/>
      <c r="C18" s="367"/>
      <c r="D18" s="367"/>
      <c r="E18" s="368"/>
      <c r="F18" s="158">
        <f>AVERAGE(F15:F17)</f>
        <v>1788.286471602205</v>
      </c>
    </row>
    <row r="20" spans="1:10" x14ac:dyDescent="0.35">
      <c r="A20" t="s">
        <v>148</v>
      </c>
      <c r="I20" s="327" t="s">
        <v>120</v>
      </c>
      <c r="J20" s="324" t="s">
        <v>121</v>
      </c>
    </row>
    <row r="21" spans="1:10" x14ac:dyDescent="0.35">
      <c r="A21" s="369" t="s">
        <v>122</v>
      </c>
      <c r="B21" s="366" t="s">
        <v>215</v>
      </c>
      <c r="C21" s="368"/>
      <c r="D21" s="366" t="s">
        <v>216</v>
      </c>
      <c r="E21" s="368"/>
      <c r="I21" s="326">
        <v>2015</v>
      </c>
      <c r="J21" s="329">
        <v>93.1</v>
      </c>
    </row>
    <row r="22" spans="1:10" ht="16.5" x14ac:dyDescent="0.35">
      <c r="A22" s="370"/>
      <c r="B22" s="151" t="s">
        <v>123</v>
      </c>
      <c r="C22" s="66" t="s">
        <v>124</v>
      </c>
      <c r="D22" s="248" t="s">
        <v>125</v>
      </c>
      <c r="E22" s="42" t="s">
        <v>126</v>
      </c>
      <c r="I22" s="326">
        <v>2016</v>
      </c>
      <c r="J22" s="329">
        <v>93.4</v>
      </c>
    </row>
    <row r="23" spans="1:10" x14ac:dyDescent="0.35">
      <c r="A23" s="43" t="s">
        <v>127</v>
      </c>
      <c r="B23" s="63">
        <v>90330</v>
      </c>
      <c r="C23" s="245">
        <f>+B23/B$41</f>
        <v>2.5140593054149268E-2</v>
      </c>
      <c r="D23" s="249">
        <v>1.2</v>
      </c>
      <c r="E23" s="45">
        <f>+D23*C23</f>
        <v>3.0168711664979121E-2</v>
      </c>
      <c r="I23" s="326">
        <v>2017</v>
      </c>
      <c r="J23" s="329">
        <v>93.9</v>
      </c>
    </row>
    <row r="24" spans="1:10" x14ac:dyDescent="0.35">
      <c r="A24" s="19" t="s">
        <v>128</v>
      </c>
      <c r="B24" s="64">
        <v>108230</v>
      </c>
      <c r="C24" s="246">
        <f t="shared" ref="C24:C40" si="2">+B24/B$41</f>
        <v>3.0122510641542959E-2</v>
      </c>
      <c r="D24" s="250">
        <v>1.2</v>
      </c>
      <c r="E24" s="47">
        <f t="shared" ref="E24:E40" si="3">+D24*C24</f>
        <v>3.614701276985155E-2</v>
      </c>
      <c r="I24" s="326">
        <v>2018</v>
      </c>
      <c r="J24" s="329">
        <v>95.2</v>
      </c>
    </row>
    <row r="25" spans="1:10" x14ac:dyDescent="0.35">
      <c r="A25" s="19" t="s">
        <v>129</v>
      </c>
      <c r="B25" s="64">
        <v>112068</v>
      </c>
      <c r="C25" s="246">
        <f t="shared" si="2"/>
        <v>3.1190700568940556E-2</v>
      </c>
      <c r="D25" s="250">
        <v>1.2</v>
      </c>
      <c r="E25" s="47">
        <f t="shared" si="3"/>
        <v>3.7428840682728663E-2</v>
      </c>
      <c r="I25" s="326">
        <v>2019</v>
      </c>
      <c r="J25" s="329">
        <v>95.7</v>
      </c>
    </row>
    <row r="26" spans="1:10" x14ac:dyDescent="0.35">
      <c r="A26" s="19" t="s">
        <v>130</v>
      </c>
      <c r="B26" s="64">
        <v>708547</v>
      </c>
      <c r="C26" s="246">
        <f t="shared" si="2"/>
        <v>0.19720238887123107</v>
      </c>
      <c r="D26" s="250">
        <v>1</v>
      </c>
      <c r="E26" s="47">
        <f t="shared" si="3"/>
        <v>0.19720238887123107</v>
      </c>
      <c r="I26" s="326">
        <v>2020</v>
      </c>
      <c r="J26" s="329">
        <v>96.2</v>
      </c>
    </row>
    <row r="27" spans="1:10" x14ac:dyDescent="0.35">
      <c r="A27" s="19" t="s">
        <v>131</v>
      </c>
      <c r="B27" s="64">
        <v>286217</v>
      </c>
      <c r="C27" s="246">
        <f t="shared" si="2"/>
        <v>7.9659748944751932E-2</v>
      </c>
      <c r="D27" s="250">
        <v>1</v>
      </c>
      <c r="E27" s="47">
        <f t="shared" si="3"/>
        <v>7.9659748944751932E-2</v>
      </c>
      <c r="I27" s="326">
        <v>2021</v>
      </c>
      <c r="J27" s="329">
        <v>108</v>
      </c>
    </row>
    <row r="28" spans="1:10" x14ac:dyDescent="0.35">
      <c r="A28" s="19" t="s">
        <v>132</v>
      </c>
      <c r="B28" s="64">
        <v>259002</v>
      </c>
      <c r="C28" s="246">
        <f t="shared" si="2"/>
        <v>7.2085285975985486E-2</v>
      </c>
      <c r="D28" s="250">
        <v>1</v>
      </c>
      <c r="E28" s="47">
        <f t="shared" si="3"/>
        <v>7.2085285975985486E-2</v>
      </c>
      <c r="I28" s="326">
        <v>2022</v>
      </c>
      <c r="J28" s="329">
        <v>111.93</v>
      </c>
    </row>
    <row r="29" spans="1:10" x14ac:dyDescent="0.35">
      <c r="A29" s="19" t="s">
        <v>133</v>
      </c>
      <c r="B29" s="64">
        <v>50216</v>
      </c>
      <c r="C29" s="246">
        <f t="shared" si="2"/>
        <v>1.3976087908858183E-2</v>
      </c>
      <c r="D29" s="250">
        <v>1</v>
      </c>
      <c r="E29" s="47">
        <f t="shared" si="3"/>
        <v>1.3976087908858183E-2</v>
      </c>
      <c r="I29" s="326">
        <v>2023</v>
      </c>
      <c r="J29" s="329">
        <v>114.15</v>
      </c>
    </row>
    <row r="30" spans="1:10" x14ac:dyDescent="0.35">
      <c r="A30" s="19" t="s">
        <v>134</v>
      </c>
      <c r="B30" s="64">
        <v>254238</v>
      </c>
      <c r="C30" s="246">
        <f t="shared" si="2"/>
        <v>7.0759372267251208E-2</v>
      </c>
      <c r="D30" s="250">
        <v>1</v>
      </c>
      <c r="E30" s="47">
        <f t="shared" si="3"/>
        <v>7.0759372267251208E-2</v>
      </c>
      <c r="I30" s="326">
        <v>2024</v>
      </c>
      <c r="J30" s="329">
        <v>114.15</v>
      </c>
    </row>
    <row r="31" spans="1:10" x14ac:dyDescent="0.35">
      <c r="A31" s="19" t="s">
        <v>135</v>
      </c>
      <c r="B31" s="64">
        <v>214892</v>
      </c>
      <c r="C31" s="246">
        <f t="shared" si="2"/>
        <v>5.9808616435206963E-2</v>
      </c>
      <c r="D31" s="250">
        <v>1</v>
      </c>
      <c r="E31" s="47">
        <f t="shared" si="3"/>
        <v>5.9808616435206963E-2</v>
      </c>
      <c r="I31" s="326">
        <v>2025</v>
      </c>
      <c r="J31" s="329">
        <v>116.2</v>
      </c>
    </row>
    <row r="32" spans="1:10" x14ac:dyDescent="0.35">
      <c r="A32" s="19" t="s">
        <v>136</v>
      </c>
      <c r="B32" s="64">
        <v>71057</v>
      </c>
      <c r="C32" s="246">
        <f t="shared" si="2"/>
        <v>1.9776542905443204E-2</v>
      </c>
      <c r="D32" s="250">
        <v>1</v>
      </c>
      <c r="E32" s="47">
        <f t="shared" si="3"/>
        <v>1.9776542905443204E-2</v>
      </c>
      <c r="I32" s="325">
        <v>2026</v>
      </c>
      <c r="J32" s="330">
        <v>121.3</v>
      </c>
    </row>
    <row r="33" spans="1:5" x14ac:dyDescent="0.35">
      <c r="A33" s="19" t="s">
        <v>137</v>
      </c>
      <c r="B33" s="64">
        <v>75093</v>
      </c>
      <c r="C33" s="246">
        <f t="shared" si="2"/>
        <v>2.0899840077662251E-2</v>
      </c>
      <c r="D33" s="250">
        <v>1.2</v>
      </c>
      <c r="E33" s="47">
        <f t="shared" si="3"/>
        <v>2.5079808093194701E-2</v>
      </c>
    </row>
    <row r="34" spans="1:5" x14ac:dyDescent="0.35">
      <c r="A34" s="19" t="s">
        <v>138</v>
      </c>
      <c r="B34" s="64">
        <v>84818</v>
      </c>
      <c r="C34" s="246">
        <f t="shared" si="2"/>
        <v>2.3606496420533963E-2</v>
      </c>
      <c r="D34" s="250">
        <v>1.4</v>
      </c>
      <c r="E34" s="47">
        <f t="shared" si="3"/>
        <v>3.3049094988747543E-2</v>
      </c>
    </row>
    <row r="35" spans="1:5" ht="15" customHeight="1" x14ac:dyDescent="0.35">
      <c r="A35" s="19" t="s">
        <v>139</v>
      </c>
      <c r="B35" s="64">
        <v>267525</v>
      </c>
      <c r="C35" s="246">
        <f t="shared" si="2"/>
        <v>7.445740237807244E-2</v>
      </c>
      <c r="D35" s="250">
        <v>1.3</v>
      </c>
      <c r="E35" s="47">
        <f t="shared" si="3"/>
        <v>9.679462309149417E-2</v>
      </c>
    </row>
    <row r="36" spans="1:5" x14ac:dyDescent="0.35">
      <c r="A36" s="19" t="s">
        <v>140</v>
      </c>
      <c r="B36" s="64">
        <v>305635</v>
      </c>
      <c r="C36" s="246">
        <f t="shared" si="2"/>
        <v>8.5064155409110068E-2</v>
      </c>
      <c r="D36" s="250">
        <v>1.25</v>
      </c>
      <c r="E36" s="47">
        <f t="shared" si="3"/>
        <v>0.10633019426138758</v>
      </c>
    </row>
    <row r="37" spans="1:5" x14ac:dyDescent="0.35">
      <c r="A37" s="19" t="s">
        <v>141</v>
      </c>
      <c r="B37" s="64">
        <v>190845</v>
      </c>
      <c r="C37" s="246">
        <f t="shared" si="2"/>
        <v>5.3115869383583716E-2</v>
      </c>
      <c r="D37" s="250">
        <v>1.3</v>
      </c>
      <c r="E37" s="47">
        <f t="shared" si="3"/>
        <v>6.9050630198658827E-2</v>
      </c>
    </row>
    <row r="38" spans="1:5" x14ac:dyDescent="0.35">
      <c r="A38" s="19" t="s">
        <v>142</v>
      </c>
      <c r="B38" s="64">
        <v>138343</v>
      </c>
      <c r="C38" s="246">
        <f t="shared" si="2"/>
        <v>3.8503543284514254E-2</v>
      </c>
      <c r="D38" s="250">
        <v>1.3</v>
      </c>
      <c r="E38" s="47">
        <f t="shared" si="3"/>
        <v>5.0054606269868532E-2</v>
      </c>
    </row>
    <row r="39" spans="1:5" x14ac:dyDescent="0.35">
      <c r="A39" s="19" t="s">
        <v>143</v>
      </c>
      <c r="B39" s="64">
        <v>243870</v>
      </c>
      <c r="C39" s="246">
        <f t="shared" si="2"/>
        <v>6.7873756538418928E-2</v>
      </c>
      <c r="D39" s="250">
        <v>1.3</v>
      </c>
      <c r="E39" s="47">
        <f t="shared" si="3"/>
        <v>8.8235883499944615E-2</v>
      </c>
    </row>
    <row r="40" spans="1:5" x14ac:dyDescent="0.35">
      <c r="A40" s="20" t="s">
        <v>144</v>
      </c>
      <c r="B40" s="65">
        <v>132068</v>
      </c>
      <c r="C40" s="247">
        <f t="shared" si="2"/>
        <v>3.6757088934743561E-2</v>
      </c>
      <c r="D40" s="251">
        <v>1.2</v>
      </c>
      <c r="E40" s="50">
        <f t="shared" si="3"/>
        <v>4.4108506721692274E-2</v>
      </c>
    </row>
    <row r="41" spans="1:5" x14ac:dyDescent="0.35">
      <c r="A41" s="21" t="s">
        <v>145</v>
      </c>
      <c r="B41" s="51">
        <f>SUM(B23:B40)</f>
        <v>3592994</v>
      </c>
      <c r="C41" s="49">
        <f>SUM(C23:C40)</f>
        <v>0.99999999999999989</v>
      </c>
      <c r="D41" s="25"/>
      <c r="E41" s="52">
        <f>SUM(E23:E40)</f>
        <v>1.1297159555512757</v>
      </c>
    </row>
    <row r="42" spans="1:5" x14ac:dyDescent="0.35">
      <c r="A42" s="43" t="s">
        <v>104</v>
      </c>
      <c r="B42" s="44">
        <v>3050</v>
      </c>
      <c r="C42" s="53"/>
      <c r="D42" s="54" t="s">
        <v>294</v>
      </c>
      <c r="E42" s="55"/>
    </row>
    <row r="43" spans="1:5" x14ac:dyDescent="0.35">
      <c r="A43" s="20" t="s">
        <v>146</v>
      </c>
      <c r="B43" s="48">
        <f>+B41/B42</f>
        <v>1178.0308196721312</v>
      </c>
      <c r="C43" s="56"/>
      <c r="D43" s="57" t="s">
        <v>295</v>
      </c>
      <c r="E43" s="58">
        <f>+B43*E41</f>
        <v>1330.8402131147543</v>
      </c>
    </row>
    <row r="44" spans="1:5" x14ac:dyDescent="0.35">
      <c r="A44" s="43" t="s">
        <v>120</v>
      </c>
      <c r="B44" s="295">
        <v>2015</v>
      </c>
      <c r="C44" s="53"/>
      <c r="D44" s="54"/>
      <c r="E44" s="296">
        <v>2026</v>
      </c>
    </row>
    <row r="45" spans="1:5" x14ac:dyDescent="0.35">
      <c r="A45" s="19" t="s">
        <v>121</v>
      </c>
      <c r="B45" s="59">
        <f>+J21</f>
        <v>93.1</v>
      </c>
      <c r="C45" s="60"/>
      <c r="D45" s="61"/>
      <c r="E45" s="62">
        <f>+J32</f>
        <v>121.3</v>
      </c>
    </row>
    <row r="46" spans="1:5" x14ac:dyDescent="0.35">
      <c r="A46" s="366" t="s">
        <v>296</v>
      </c>
      <c r="B46" s="367"/>
      <c r="C46" s="367"/>
      <c r="D46" s="368"/>
      <c r="E46" s="243">
        <f>+E43*E45/B45</f>
        <v>1733.9518566146048</v>
      </c>
    </row>
  </sheetData>
  <mergeCells count="5">
    <mergeCell ref="A18:E18"/>
    <mergeCell ref="A21:A22"/>
    <mergeCell ref="B21:C21"/>
    <mergeCell ref="D21:E21"/>
    <mergeCell ref="A46:D46"/>
  </mergeCells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20"/>
  <sheetViews>
    <sheetView workbookViewId="0">
      <selection activeCell="A13" sqref="A13:B17"/>
    </sheetView>
  </sheetViews>
  <sheetFormatPr defaultRowHeight="14.5" x14ac:dyDescent="0.35"/>
  <cols>
    <col min="1" max="1" width="33.81640625" customWidth="1"/>
    <col min="2" max="2" width="13.81640625" customWidth="1"/>
    <col min="3" max="3" width="19.1796875" customWidth="1"/>
    <col min="4" max="4" width="15.26953125" customWidth="1"/>
    <col min="5" max="5" width="11.7265625" customWidth="1"/>
    <col min="6" max="6" width="11.26953125" customWidth="1"/>
  </cols>
  <sheetData>
    <row r="1" spans="1:6" x14ac:dyDescent="0.35">
      <c r="A1" t="s">
        <v>71</v>
      </c>
    </row>
    <row r="3" spans="1:6" ht="43.5" x14ac:dyDescent="0.35">
      <c r="A3" s="7" t="s">
        <v>21</v>
      </c>
      <c r="B3" s="27" t="s">
        <v>303</v>
      </c>
      <c r="C3" s="255" t="s">
        <v>301</v>
      </c>
      <c r="D3" s="255" t="s">
        <v>302</v>
      </c>
      <c r="E3" s="27" t="s">
        <v>24</v>
      </c>
      <c r="F3" s="27" t="s">
        <v>30</v>
      </c>
    </row>
    <row r="4" spans="1:6" x14ac:dyDescent="0.35">
      <c r="A4" s="7" t="s">
        <v>22</v>
      </c>
      <c r="B4" s="240">
        <f>+'Ca - Costo area'!B3</f>
        <v>2830</v>
      </c>
      <c r="C4" s="7">
        <f>3*184</f>
        <v>552</v>
      </c>
      <c r="D4" s="256">
        <f>+B4-C4</f>
        <v>2278</v>
      </c>
      <c r="E4" s="257">
        <v>14.61</v>
      </c>
      <c r="F4" s="258">
        <f>+E4*D4</f>
        <v>33281.58</v>
      </c>
    </row>
    <row r="5" spans="1:6" x14ac:dyDescent="0.35">
      <c r="A5" s="7" t="s">
        <v>23</v>
      </c>
      <c r="B5" s="240">
        <f>+B4</f>
        <v>2830</v>
      </c>
      <c r="C5" s="7">
        <f>3*184</f>
        <v>552</v>
      </c>
      <c r="D5" s="256">
        <f>+B5-C5</f>
        <v>2278</v>
      </c>
      <c r="E5" s="257">
        <v>21.27</v>
      </c>
      <c r="F5" s="258">
        <f>+E5*D5</f>
        <v>48453.06</v>
      </c>
    </row>
    <row r="7" spans="1:6" ht="44.25" customHeight="1" x14ac:dyDescent="0.35">
      <c r="A7" s="7" t="s">
        <v>34</v>
      </c>
      <c r="B7" s="75" t="s">
        <v>25</v>
      </c>
      <c r="C7" s="75" t="s">
        <v>28</v>
      </c>
      <c r="D7" s="75" t="s">
        <v>29</v>
      </c>
      <c r="E7" s="75" t="s">
        <v>31</v>
      </c>
      <c r="F7" s="75" t="s">
        <v>32</v>
      </c>
    </row>
    <row r="8" spans="1:6" x14ac:dyDescent="0.35">
      <c r="A8" s="7" t="s">
        <v>26</v>
      </c>
      <c r="B8" s="240">
        <f>+Descrizione!B11</f>
        <v>943.33333333333337</v>
      </c>
      <c r="C8" s="7"/>
      <c r="D8" s="7"/>
      <c r="E8" s="7"/>
      <c r="F8" s="7"/>
    </row>
    <row r="9" spans="1:6" x14ac:dyDescent="0.35">
      <c r="A9" s="7" t="s">
        <v>155</v>
      </c>
      <c r="B9" s="240">
        <f>+Descrizione!B12</f>
        <v>471.66666666666669</v>
      </c>
      <c r="C9" s="7"/>
      <c r="D9" s="7"/>
      <c r="E9" s="7"/>
      <c r="F9" s="7"/>
    </row>
    <row r="10" spans="1:6" x14ac:dyDescent="0.35">
      <c r="A10" s="7" t="s">
        <v>27</v>
      </c>
      <c r="B10" s="240">
        <f>+B8+B9*0.6</f>
        <v>1226.3333333333335</v>
      </c>
      <c r="C10" s="257">
        <v>260</v>
      </c>
      <c r="D10" s="240">
        <f>+C10*B10</f>
        <v>318846.66666666669</v>
      </c>
      <c r="E10" s="8">
        <v>7.0000000000000007E-2</v>
      </c>
      <c r="F10" s="240">
        <f>+E10*D10</f>
        <v>22319.26666666667</v>
      </c>
    </row>
    <row r="13" spans="1:6" x14ac:dyDescent="0.35">
      <c r="A13" s="7" t="s">
        <v>33</v>
      </c>
      <c r="B13" s="7" t="s">
        <v>35</v>
      </c>
    </row>
    <row r="14" spans="1:6" x14ac:dyDescent="0.35">
      <c r="A14" s="7" t="str">
        <f>+A4</f>
        <v>Urbanizzazione primaria</v>
      </c>
      <c r="B14" s="240">
        <f>IF(F4&gt;'Cc - Costo costruzione'!D5,'On - Oneri concessori'!F4,0)</f>
        <v>33281.58</v>
      </c>
    </row>
    <row r="15" spans="1:6" x14ac:dyDescent="0.35">
      <c r="A15" s="7" t="str">
        <f>+A5</f>
        <v>Urbanizzazione secondaria</v>
      </c>
      <c r="B15" s="240">
        <f>+F5</f>
        <v>48453.06</v>
      </c>
    </row>
    <row r="16" spans="1:6" x14ac:dyDescent="0.35">
      <c r="A16" s="7" t="str">
        <f>+A7</f>
        <v>Contributo costo costruzione</v>
      </c>
      <c r="B16" s="240">
        <f>+F10</f>
        <v>22319.26666666667</v>
      </c>
    </row>
    <row r="17" spans="1:2" x14ac:dyDescent="0.35">
      <c r="A17" s="7" t="s">
        <v>6</v>
      </c>
      <c r="B17" s="240">
        <f>SUM(B14:B16)</f>
        <v>104053.90666666668</v>
      </c>
    </row>
    <row r="20" spans="1:2" x14ac:dyDescent="0.35">
      <c r="A20" t="s">
        <v>217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10"/>
  <sheetViews>
    <sheetView workbookViewId="0">
      <selection activeCell="A3" sqref="A3:D8"/>
    </sheetView>
  </sheetViews>
  <sheetFormatPr defaultRowHeight="14.5" x14ac:dyDescent="0.35"/>
  <cols>
    <col min="1" max="1" width="29.26953125" customWidth="1"/>
    <col min="2" max="2" width="14.7265625" customWidth="1"/>
    <col min="4" max="4" width="12" customWidth="1"/>
  </cols>
  <sheetData>
    <row r="1" spans="1:4" x14ac:dyDescent="0.35">
      <c r="A1" t="s">
        <v>73</v>
      </c>
    </row>
    <row r="3" spans="1:4" x14ac:dyDescent="0.35">
      <c r="A3" s="7" t="s">
        <v>47</v>
      </c>
      <c r="B3" s="69" t="s">
        <v>49</v>
      </c>
      <c r="C3" s="7" t="s">
        <v>31</v>
      </c>
      <c r="D3" s="161" t="s">
        <v>35</v>
      </c>
    </row>
    <row r="4" spans="1:4" x14ac:dyDescent="0.35">
      <c r="A4" s="24" t="str">
        <f>+'Cc - Costo costruzione'!A4</f>
        <v>Cc1 - Demolizioni (mc)</v>
      </c>
      <c r="B4" s="159">
        <f>+'Cc - Costo costruzione'!D4</f>
        <v>22080</v>
      </c>
      <c r="C4" s="162">
        <v>0</v>
      </c>
      <c r="D4" s="155">
        <f>+C4*B4</f>
        <v>0</v>
      </c>
    </row>
    <row r="5" spans="1:4" x14ac:dyDescent="0.35">
      <c r="A5" s="24" t="str">
        <f>+'Cc - Costo costruzione'!A5</f>
        <v>Cc2 - Opere urbanizzazione (mq)</v>
      </c>
      <c r="B5" s="159">
        <f>+'Cc - Costo costruzione'!D5</f>
        <v>0</v>
      </c>
      <c r="C5" s="162">
        <v>7.0000000000000007E-2</v>
      </c>
      <c r="D5" s="155">
        <f t="shared" ref="D5:D7" si="0">+C5*B5</f>
        <v>0</v>
      </c>
    </row>
    <row r="6" spans="1:4" x14ac:dyDescent="0.35">
      <c r="A6" s="24" t="str">
        <f>+'Cc - Costo costruzione'!A6</f>
        <v>Cc3 - Residenze (mq)</v>
      </c>
      <c r="B6" s="159">
        <f>+'Cc - Costo costruzione'!D6</f>
        <v>1661322.4114755953</v>
      </c>
      <c r="C6" s="162">
        <v>7.0000000000000007E-2</v>
      </c>
      <c r="D6" s="155">
        <f t="shared" si="0"/>
        <v>116292.56880329168</v>
      </c>
    </row>
    <row r="7" spans="1:4" x14ac:dyDescent="0.35">
      <c r="A7" s="24" t="str">
        <f>+'Cc - Costo costruzione'!A7</f>
        <v>Cc4 - Autorimesse/cantine (mq)</v>
      </c>
      <c r="B7" s="159">
        <f>+'Cc - Costo costruzione'!D7</f>
        <v>415330.60286889883</v>
      </c>
      <c r="C7" s="162">
        <v>7.0000000000000007E-2</v>
      </c>
      <c r="D7" s="155">
        <f t="shared" si="0"/>
        <v>29073.14220082292</v>
      </c>
    </row>
    <row r="8" spans="1:4" x14ac:dyDescent="0.35">
      <c r="A8" s="7"/>
      <c r="B8" s="69"/>
      <c r="C8" s="69" t="s">
        <v>6</v>
      </c>
      <c r="D8" s="156">
        <f>SUM(D4:D7)</f>
        <v>145365.71100411459</v>
      </c>
    </row>
    <row r="10" spans="1:4" x14ac:dyDescent="0.35">
      <c r="A10" t="s">
        <v>218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8"/>
  <sheetViews>
    <sheetView workbookViewId="0">
      <selection activeCell="A3" sqref="A3:B8"/>
    </sheetView>
  </sheetViews>
  <sheetFormatPr defaultRowHeight="14.5" x14ac:dyDescent="0.35"/>
  <cols>
    <col min="1" max="1" width="26" customWidth="1"/>
    <col min="2" max="2" width="16.81640625" customWidth="1"/>
  </cols>
  <sheetData>
    <row r="1" spans="1:2" x14ac:dyDescent="0.35">
      <c r="A1" t="s">
        <v>74</v>
      </c>
    </row>
    <row r="3" spans="1:2" x14ac:dyDescent="0.35">
      <c r="A3" s="164" t="s">
        <v>47</v>
      </c>
      <c r="B3" s="165" t="s">
        <v>35</v>
      </c>
    </row>
    <row r="4" spans="1:2" x14ac:dyDescent="0.35">
      <c r="A4" s="24" t="s">
        <v>75</v>
      </c>
      <c r="B4" s="155">
        <f>+'Cc - Costo costruzione'!D8</f>
        <v>2098733.0143444943</v>
      </c>
    </row>
    <row r="5" spans="1:2" x14ac:dyDescent="0.35">
      <c r="A5" s="24" t="s">
        <v>73</v>
      </c>
      <c r="B5" s="155">
        <f>+'St - Spese tecniche'!D8</f>
        <v>145365.71100411459</v>
      </c>
    </row>
    <row r="6" spans="1:2" x14ac:dyDescent="0.35">
      <c r="A6" s="24" t="s">
        <v>6</v>
      </c>
      <c r="B6" s="155">
        <f>SUM(B4:B5)</f>
        <v>2244098.725348609</v>
      </c>
    </row>
    <row r="7" spans="1:2" x14ac:dyDescent="0.35">
      <c r="A7" s="24" t="s">
        <v>31</v>
      </c>
      <c r="B7" s="163">
        <v>0.03</v>
      </c>
    </row>
    <row r="8" spans="1:2" x14ac:dyDescent="0.35">
      <c r="A8" s="25" t="s">
        <v>35</v>
      </c>
      <c r="B8" s="160">
        <f>+B6*B7</f>
        <v>67322.961760458275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58"/>
  <sheetViews>
    <sheetView topLeftCell="A37" workbookViewId="0">
      <selection activeCell="A2" sqref="A2:D4"/>
    </sheetView>
  </sheetViews>
  <sheetFormatPr defaultColWidth="9.1796875" defaultRowHeight="15.5" x14ac:dyDescent="0.35"/>
  <cols>
    <col min="1" max="1" width="32.81640625" style="79" customWidth="1"/>
    <col min="2" max="2" width="17.453125" style="80" customWidth="1"/>
    <col min="3" max="6" width="19.453125" style="80" customWidth="1"/>
    <col min="7" max="7" width="15" style="79" customWidth="1"/>
    <col min="8" max="13" width="9.1796875" style="127"/>
    <col min="14" max="14" width="9.1796875" style="127" customWidth="1"/>
    <col min="15" max="16384" width="9.1796875" style="127"/>
  </cols>
  <sheetData>
    <row r="1" spans="1:7" x14ac:dyDescent="0.35">
      <c r="A1" s="127" t="s">
        <v>50</v>
      </c>
      <c r="B1" s="127"/>
      <c r="C1" s="127"/>
      <c r="D1" s="127"/>
      <c r="E1" s="127"/>
      <c r="F1" s="127"/>
    </row>
    <row r="2" spans="1:7" ht="31" x14ac:dyDescent="0.35">
      <c r="A2" s="128"/>
      <c r="B2" s="129" t="s">
        <v>51</v>
      </c>
      <c r="C2" s="130" t="s">
        <v>53</v>
      </c>
      <c r="D2" s="131" t="s">
        <v>30</v>
      </c>
      <c r="F2" s="127"/>
    </row>
    <row r="3" spans="1:7" x14ac:dyDescent="0.35">
      <c r="A3" s="132" t="s">
        <v>192</v>
      </c>
      <c r="B3" s="133">
        <f>+Descrizione!B21</f>
        <v>1301.8</v>
      </c>
      <c r="C3" s="134">
        <f>+C55</f>
        <v>2553.6656458922234</v>
      </c>
      <c r="D3" s="135">
        <f>+C3*B3</f>
        <v>3324361.9378224965</v>
      </c>
      <c r="F3" s="127"/>
    </row>
    <row r="4" spans="1:7" x14ac:dyDescent="0.35">
      <c r="A4" s="136"/>
      <c r="B4" s="376" t="s">
        <v>52</v>
      </c>
      <c r="C4" s="377"/>
      <c r="D4" s="137">
        <f>SUM(D3:D3)</f>
        <v>3324361.9378224965</v>
      </c>
      <c r="F4" s="127"/>
    </row>
    <row r="5" spans="1:7" x14ac:dyDescent="0.35">
      <c r="A5" s="138"/>
      <c r="B5" s="139"/>
      <c r="C5" s="139"/>
      <c r="D5" s="140"/>
      <c r="F5" s="127"/>
    </row>
    <row r="6" spans="1:7" x14ac:dyDescent="0.35">
      <c r="A6" s="79" t="s">
        <v>156</v>
      </c>
    </row>
    <row r="7" spans="1:7" x14ac:dyDescent="0.35">
      <c r="A7" s="378" t="s">
        <v>173</v>
      </c>
      <c r="B7" s="379" t="s">
        <v>191</v>
      </c>
      <c r="C7" s="380" t="s">
        <v>174</v>
      </c>
      <c r="D7" s="380"/>
      <c r="E7" s="380"/>
      <c r="F7" s="380"/>
    </row>
    <row r="8" spans="1:7" x14ac:dyDescent="0.35">
      <c r="A8" s="378"/>
      <c r="B8" s="379"/>
      <c r="C8" s="99">
        <v>1</v>
      </c>
      <c r="D8" s="99">
        <v>2</v>
      </c>
      <c r="E8" s="99">
        <v>3</v>
      </c>
      <c r="F8" s="99">
        <v>4</v>
      </c>
      <c r="G8" s="81"/>
    </row>
    <row r="9" spans="1:7" x14ac:dyDescent="0.35">
      <c r="A9" s="93" t="s">
        <v>157</v>
      </c>
      <c r="B9" s="95" t="s">
        <v>158</v>
      </c>
      <c r="C9" s="94">
        <v>300000</v>
      </c>
      <c r="D9" s="94">
        <v>400000</v>
      </c>
      <c r="E9" s="94">
        <v>350000</v>
      </c>
      <c r="F9" s="94">
        <v>200000</v>
      </c>
      <c r="G9" s="83"/>
    </row>
    <row r="10" spans="1:7" x14ac:dyDescent="0.35">
      <c r="A10" s="93" t="s">
        <v>41</v>
      </c>
      <c r="B10" s="95">
        <v>95</v>
      </c>
      <c r="C10" s="95">
        <v>138</v>
      </c>
      <c r="D10" s="95">
        <v>170</v>
      </c>
      <c r="E10" s="95">
        <v>168</v>
      </c>
      <c r="F10" s="95">
        <v>90</v>
      </c>
      <c r="G10" s="83"/>
    </row>
    <row r="11" spans="1:7" x14ac:dyDescent="0.35">
      <c r="A11" s="93" t="s">
        <v>159</v>
      </c>
      <c r="B11" s="95"/>
      <c r="C11" s="96">
        <f>+C9/C10</f>
        <v>2173.913043478261</v>
      </c>
      <c r="D11" s="96">
        <f>+D9/D10</f>
        <v>2352.9411764705883</v>
      </c>
      <c r="E11" s="96">
        <f>+E9/E10</f>
        <v>2083.3333333333335</v>
      </c>
      <c r="F11" s="96">
        <f>+F9/F10</f>
        <v>2222.2222222222222</v>
      </c>
      <c r="G11" s="83"/>
    </row>
    <row r="12" spans="1:7" x14ac:dyDescent="0.35">
      <c r="A12" s="93" t="s">
        <v>160</v>
      </c>
      <c r="B12" s="95" t="s">
        <v>161</v>
      </c>
      <c r="C12" s="95" t="s">
        <v>162</v>
      </c>
      <c r="D12" s="95" t="s">
        <v>162</v>
      </c>
      <c r="E12" s="95" t="s">
        <v>163</v>
      </c>
      <c r="F12" s="95" t="s">
        <v>162</v>
      </c>
      <c r="G12" s="83"/>
    </row>
    <row r="13" spans="1:7" x14ac:dyDescent="0.35">
      <c r="A13" s="93" t="s">
        <v>314</v>
      </c>
      <c r="B13" s="95" t="s">
        <v>315</v>
      </c>
      <c r="C13" s="95" t="s">
        <v>315</v>
      </c>
      <c r="D13" s="95" t="s">
        <v>315</v>
      </c>
      <c r="E13" s="95" t="s">
        <v>315</v>
      </c>
      <c r="F13" s="95" t="s">
        <v>315</v>
      </c>
      <c r="G13" s="83"/>
    </row>
    <row r="14" spans="1:7" x14ac:dyDescent="0.35">
      <c r="A14" s="97" t="s">
        <v>164</v>
      </c>
      <c r="B14" s="95">
        <v>50</v>
      </c>
      <c r="C14" s="95">
        <v>100</v>
      </c>
      <c r="D14" s="95">
        <v>0</v>
      </c>
      <c r="E14" s="95">
        <v>200</v>
      </c>
      <c r="F14" s="95">
        <v>0</v>
      </c>
      <c r="G14" s="83"/>
    </row>
    <row r="15" spans="1:7" x14ac:dyDescent="0.35">
      <c r="A15" s="93" t="s">
        <v>165</v>
      </c>
      <c r="B15" s="95">
        <v>30</v>
      </c>
      <c r="C15" s="95">
        <v>20</v>
      </c>
      <c r="D15" s="95">
        <v>20</v>
      </c>
      <c r="E15" s="95">
        <v>40</v>
      </c>
      <c r="F15" s="95">
        <v>40</v>
      </c>
      <c r="G15" s="83"/>
    </row>
    <row r="16" spans="1:7" x14ac:dyDescent="0.35">
      <c r="A16" s="93" t="s">
        <v>304</v>
      </c>
      <c r="B16" s="95">
        <v>3</v>
      </c>
      <c r="C16" s="95">
        <v>2</v>
      </c>
      <c r="D16" s="95">
        <v>3</v>
      </c>
      <c r="E16" s="95">
        <v>4</v>
      </c>
      <c r="F16" s="95">
        <v>2</v>
      </c>
      <c r="G16" s="83"/>
    </row>
    <row r="17" spans="1:7" x14ac:dyDescent="0.35">
      <c r="A17" s="93" t="s">
        <v>166</v>
      </c>
      <c r="B17" s="98" t="s">
        <v>167</v>
      </c>
      <c r="C17" s="98" t="s">
        <v>167</v>
      </c>
      <c r="D17" s="95" t="s">
        <v>167</v>
      </c>
      <c r="E17" s="95" t="s">
        <v>167</v>
      </c>
      <c r="F17" s="98" t="s">
        <v>168</v>
      </c>
      <c r="G17" s="82"/>
    </row>
    <row r="18" spans="1:7" x14ac:dyDescent="0.35">
      <c r="A18" s="93" t="s">
        <v>169</v>
      </c>
      <c r="B18" s="98" t="s">
        <v>170</v>
      </c>
      <c r="C18" s="98" t="s">
        <v>170</v>
      </c>
      <c r="D18" s="95" t="s">
        <v>171</v>
      </c>
      <c r="E18" s="95" t="s">
        <v>170</v>
      </c>
      <c r="F18" s="95" t="s">
        <v>170</v>
      </c>
      <c r="G18" s="82"/>
    </row>
    <row r="19" spans="1:7" x14ac:dyDescent="0.35">
      <c r="B19" s="85"/>
      <c r="C19" s="85"/>
      <c r="F19" s="85"/>
      <c r="G19" s="80"/>
    </row>
    <row r="20" spans="1:7" x14ac:dyDescent="0.35">
      <c r="A20" s="79" t="s">
        <v>172</v>
      </c>
    </row>
    <row r="21" spans="1:7" x14ac:dyDescent="0.35">
      <c r="A21" s="378" t="s">
        <v>173</v>
      </c>
      <c r="B21" s="381" t="s">
        <v>174</v>
      </c>
      <c r="C21" s="382"/>
      <c r="D21" s="382"/>
      <c r="E21" s="383"/>
      <c r="F21" s="79"/>
    </row>
    <row r="22" spans="1:7" x14ac:dyDescent="0.35">
      <c r="A22" s="378"/>
      <c r="B22" s="90">
        <v>1</v>
      </c>
      <c r="C22" s="90">
        <v>2</v>
      </c>
      <c r="D22" s="90">
        <v>3</v>
      </c>
      <c r="E22" s="90">
        <v>4</v>
      </c>
      <c r="F22" s="79"/>
    </row>
    <row r="23" spans="1:7" x14ac:dyDescent="0.35">
      <c r="A23" s="313" t="s">
        <v>337</v>
      </c>
      <c r="B23" s="90">
        <f>+$B$10-C10</f>
        <v>-43</v>
      </c>
      <c r="C23" s="90">
        <f t="shared" ref="C23:E23" si="0">+$B$10-D10</f>
        <v>-75</v>
      </c>
      <c r="D23" s="90">
        <f t="shared" si="0"/>
        <v>-73</v>
      </c>
      <c r="E23" s="90">
        <f t="shared" si="0"/>
        <v>5</v>
      </c>
      <c r="F23" s="79"/>
    </row>
    <row r="24" spans="1:7" ht="31" x14ac:dyDescent="0.35">
      <c r="A24" s="86" t="s">
        <v>160</v>
      </c>
      <c r="B24" s="87" t="s">
        <v>175</v>
      </c>
      <c r="C24" s="87" t="s">
        <v>175</v>
      </c>
      <c r="D24" s="87" t="s">
        <v>176</v>
      </c>
      <c r="E24" s="87" t="s">
        <v>175</v>
      </c>
      <c r="F24" s="79"/>
    </row>
    <row r="25" spans="1:7" x14ac:dyDescent="0.35">
      <c r="A25" s="86" t="str">
        <f>+A16</f>
        <v>Classe energetica (n. A)</v>
      </c>
      <c r="B25" s="87">
        <f>+$B$16-C16</f>
        <v>1</v>
      </c>
      <c r="C25" s="87">
        <f>+$B$16-D16</f>
        <v>0</v>
      </c>
      <c r="D25" s="87">
        <f>+$B$16-E16</f>
        <v>-1</v>
      </c>
      <c r="E25" s="87">
        <f>+$B$16-F16</f>
        <v>1</v>
      </c>
      <c r="F25" s="79"/>
    </row>
    <row r="26" spans="1:7" x14ac:dyDescent="0.35">
      <c r="A26" s="86" t="str">
        <f>+A17</f>
        <v>Climatizzazione centralizzata</v>
      </c>
      <c r="B26" s="88">
        <v>0</v>
      </c>
      <c r="C26" s="87">
        <v>0</v>
      </c>
      <c r="D26" s="87">
        <v>1</v>
      </c>
      <c r="E26" s="88">
        <v>1</v>
      </c>
      <c r="F26" s="79"/>
    </row>
    <row r="27" spans="1:7" ht="31" x14ac:dyDescent="0.35">
      <c r="A27" s="89" t="s">
        <v>169</v>
      </c>
      <c r="B27" s="90">
        <v>0</v>
      </c>
      <c r="C27" s="87" t="s">
        <v>177</v>
      </c>
      <c r="D27" s="87">
        <v>0</v>
      </c>
      <c r="E27" s="90">
        <v>0</v>
      </c>
      <c r="F27" s="79"/>
    </row>
    <row r="28" spans="1:7" x14ac:dyDescent="0.35">
      <c r="F28" s="79"/>
    </row>
    <row r="29" spans="1:7" x14ac:dyDescent="0.35">
      <c r="A29" s="79" t="s">
        <v>178</v>
      </c>
    </row>
    <row r="30" spans="1:7" x14ac:dyDescent="0.35">
      <c r="A30" s="104" t="s">
        <v>173</v>
      </c>
      <c r="B30" s="106" t="s">
        <v>20</v>
      </c>
      <c r="C30" s="109" t="s">
        <v>107</v>
      </c>
      <c r="D30" s="373" t="s">
        <v>222</v>
      </c>
      <c r="E30" s="375"/>
    </row>
    <row r="31" spans="1:7" x14ac:dyDescent="0.35">
      <c r="A31" s="104" t="s">
        <v>27</v>
      </c>
      <c r="B31" s="318">
        <f>AVERAGE(C11:F11)</f>
        <v>2208.1024438761015</v>
      </c>
      <c r="C31" s="316" t="s">
        <v>180</v>
      </c>
      <c r="D31" s="317" t="s">
        <v>336</v>
      </c>
      <c r="E31" s="315"/>
    </row>
    <row r="32" spans="1:7" x14ac:dyDescent="0.35">
      <c r="A32" s="101" t="s">
        <v>160</v>
      </c>
      <c r="B32" s="109"/>
      <c r="C32" s="109"/>
      <c r="D32" s="166"/>
      <c r="E32" s="167"/>
    </row>
    <row r="33" spans="1:7" x14ac:dyDescent="0.35">
      <c r="A33" s="102" t="s">
        <v>179</v>
      </c>
      <c r="B33" s="111">
        <v>300</v>
      </c>
      <c r="C33" s="112" t="s">
        <v>180</v>
      </c>
      <c r="D33" s="170" t="s">
        <v>219</v>
      </c>
      <c r="E33" s="169"/>
    </row>
    <row r="34" spans="1:7" x14ac:dyDescent="0.35">
      <c r="A34" s="103" t="s">
        <v>181</v>
      </c>
      <c r="B34" s="113">
        <v>300</v>
      </c>
      <c r="C34" s="114" t="s">
        <v>180</v>
      </c>
      <c r="D34" s="171" t="s">
        <v>219</v>
      </c>
      <c r="E34" s="172"/>
      <c r="G34" s="91"/>
    </row>
    <row r="35" spans="1:7" ht="31" x14ac:dyDescent="0.35">
      <c r="A35" s="105" t="s">
        <v>304</v>
      </c>
      <c r="B35" s="115">
        <v>60</v>
      </c>
      <c r="C35" s="87" t="s">
        <v>182</v>
      </c>
      <c r="D35" s="149" t="s">
        <v>220</v>
      </c>
      <c r="E35" s="173"/>
    </row>
    <row r="36" spans="1:7" x14ac:dyDescent="0.35">
      <c r="A36" s="110" t="s">
        <v>166</v>
      </c>
      <c r="B36" s="115">
        <v>100</v>
      </c>
      <c r="C36" s="90" t="s">
        <v>180</v>
      </c>
      <c r="D36" s="174" t="s">
        <v>221</v>
      </c>
      <c r="E36" s="173"/>
    </row>
    <row r="37" spans="1:7" x14ac:dyDescent="0.35">
      <c r="A37" s="102" t="s">
        <v>169</v>
      </c>
      <c r="B37" s="111"/>
      <c r="C37" s="112"/>
      <c r="D37" s="168"/>
      <c r="E37" s="169"/>
    </row>
    <row r="38" spans="1:7" x14ac:dyDescent="0.35">
      <c r="A38" s="103" t="s">
        <v>183</v>
      </c>
      <c r="B38" s="116">
        <v>300</v>
      </c>
      <c r="C38" s="114" t="s">
        <v>180</v>
      </c>
      <c r="D38" s="171" t="s">
        <v>108</v>
      </c>
      <c r="E38" s="172"/>
    </row>
    <row r="39" spans="1:7" x14ac:dyDescent="0.35">
      <c r="A39" s="84"/>
    </row>
    <row r="40" spans="1:7" x14ac:dyDescent="0.35">
      <c r="A40" s="84"/>
    </row>
    <row r="41" spans="1:7" x14ac:dyDescent="0.35">
      <c r="A41" s="84"/>
    </row>
    <row r="43" spans="1:7" x14ac:dyDescent="0.35">
      <c r="A43" s="84" t="s">
        <v>184</v>
      </c>
    </row>
    <row r="44" spans="1:7" x14ac:dyDescent="0.35">
      <c r="A44" s="371" t="s">
        <v>173</v>
      </c>
      <c r="B44" s="373" t="s">
        <v>174</v>
      </c>
      <c r="C44" s="374"/>
      <c r="D44" s="374"/>
      <c r="E44" s="375"/>
    </row>
    <row r="45" spans="1:7" x14ac:dyDescent="0.35">
      <c r="A45" s="372"/>
      <c r="B45" s="314">
        <v>1</v>
      </c>
      <c r="C45" s="312">
        <v>2</v>
      </c>
      <c r="D45" s="314">
        <v>3</v>
      </c>
      <c r="E45" s="314">
        <v>4</v>
      </c>
      <c r="F45" s="81"/>
      <c r="G45" s="81"/>
    </row>
    <row r="46" spans="1:7" x14ac:dyDescent="0.35">
      <c r="A46" s="321" t="str">
        <f>+A11</f>
        <v>Prezzo unitario</v>
      </c>
      <c r="B46" s="122">
        <f>+C9</f>
        <v>300000</v>
      </c>
      <c r="C46" s="320">
        <f>+D9</f>
        <v>400000</v>
      </c>
      <c r="D46" s="122">
        <f>+E9</f>
        <v>350000</v>
      </c>
      <c r="E46" s="122">
        <f>+F9</f>
        <v>200000</v>
      </c>
      <c r="F46" s="83"/>
      <c r="G46" s="83"/>
    </row>
    <row r="47" spans="1:7" x14ac:dyDescent="0.35">
      <c r="A47" s="319" t="s">
        <v>338</v>
      </c>
      <c r="B47" s="120">
        <f>+$B$31*B23</f>
        <v>-94948.40508667237</v>
      </c>
      <c r="C47" s="319">
        <f>+$B$31*C23</f>
        <v>-165607.68329070762</v>
      </c>
      <c r="D47" s="120">
        <f>+$B$31*D23</f>
        <v>-161191.4784029554</v>
      </c>
      <c r="E47" s="120">
        <f>+$B$31*E23</f>
        <v>11040.512219380507</v>
      </c>
      <c r="F47" s="83"/>
      <c r="G47" s="83"/>
    </row>
    <row r="48" spans="1:7" x14ac:dyDescent="0.35">
      <c r="A48" s="322" t="str">
        <f>+A12</f>
        <v>Finiture</v>
      </c>
      <c r="B48" s="121">
        <f>+B34*B10</f>
        <v>28500</v>
      </c>
      <c r="C48" s="118">
        <f>+B34*B10</f>
        <v>28500</v>
      </c>
      <c r="D48" s="121">
        <f>+(B33+B34)*B10</f>
        <v>57000</v>
      </c>
      <c r="E48" s="121">
        <f>+B34*B10</f>
        <v>28500</v>
      </c>
      <c r="F48" s="83"/>
      <c r="G48" s="83"/>
    </row>
    <row r="49" spans="1:7" x14ac:dyDescent="0.35">
      <c r="A49" s="322" t="str">
        <f>+A16</f>
        <v>Classe energetica (n. A)</v>
      </c>
      <c r="B49" s="121">
        <f>+$B$35*$B$10*B25</f>
        <v>5700</v>
      </c>
      <c r="C49" s="118">
        <f>+$B$35*$B$10*C25</f>
        <v>0</v>
      </c>
      <c r="D49" s="121">
        <f>+$B$35*$B$10*D25</f>
        <v>-5700</v>
      </c>
      <c r="E49" s="121">
        <f>+$B$35*$B$10*E25</f>
        <v>5700</v>
      </c>
      <c r="F49" s="83"/>
      <c r="G49" s="83"/>
    </row>
    <row r="50" spans="1:7" x14ac:dyDescent="0.35">
      <c r="A50" s="322" t="str">
        <f>+A17</f>
        <v>Climatizzazione centralizzata</v>
      </c>
      <c r="B50" s="121">
        <f>+B26*$B$10*$B$35</f>
        <v>0</v>
      </c>
      <c r="C50" s="118">
        <f>+C26*$B$10*$B$35</f>
        <v>0</v>
      </c>
      <c r="D50" s="121">
        <f>+D26*$B$10*$B$35</f>
        <v>5700</v>
      </c>
      <c r="E50" s="121">
        <f>+E26*$B$10*$B$35</f>
        <v>5700</v>
      </c>
      <c r="F50" s="83"/>
      <c r="G50" s="83"/>
    </row>
    <row r="51" spans="1:7" x14ac:dyDescent="0.35">
      <c r="A51" s="322" t="str">
        <f>+A18</f>
        <v>Localizzazione</v>
      </c>
      <c r="B51" s="121">
        <v>0</v>
      </c>
      <c r="C51" s="118">
        <f>-B38*B10</f>
        <v>-28500</v>
      </c>
      <c r="D51" s="121">
        <v>0</v>
      </c>
      <c r="E51" s="121">
        <v>0</v>
      </c>
      <c r="F51" s="83"/>
      <c r="G51" s="83"/>
    </row>
    <row r="52" spans="1:7" x14ac:dyDescent="0.35">
      <c r="A52" s="323" t="s">
        <v>339</v>
      </c>
      <c r="B52" s="124">
        <f>SUM(B46:B51)</f>
        <v>239251.59491332763</v>
      </c>
      <c r="C52" s="123">
        <f t="shared" ref="C52:E52" si="1">SUM(C46:C51)</f>
        <v>234392.31670929235</v>
      </c>
      <c r="D52" s="124">
        <f t="shared" si="1"/>
        <v>245808.5215970446</v>
      </c>
      <c r="E52" s="124">
        <f t="shared" si="1"/>
        <v>250940.5122193805</v>
      </c>
      <c r="F52" s="83"/>
      <c r="G52" s="83"/>
    </row>
    <row r="53" spans="1:7" x14ac:dyDescent="0.35">
      <c r="A53" s="92"/>
    </row>
    <row r="54" spans="1:7" ht="31" x14ac:dyDescent="0.35">
      <c r="A54" s="125"/>
      <c r="B54" s="87" t="s">
        <v>185</v>
      </c>
      <c r="C54" s="100" t="s">
        <v>186</v>
      </c>
    </row>
    <row r="55" spans="1:7" x14ac:dyDescent="0.35">
      <c r="A55" s="117" t="s">
        <v>187</v>
      </c>
      <c r="B55" s="121">
        <f>AVERAGE(B52:E52)</f>
        <v>242598.23635976124</v>
      </c>
      <c r="C55" s="107">
        <f>+B55/$B$10</f>
        <v>2553.6656458922234</v>
      </c>
    </row>
    <row r="56" spans="1:7" x14ac:dyDescent="0.35">
      <c r="A56" s="117" t="s">
        <v>188</v>
      </c>
      <c r="B56" s="121">
        <f>MIN(B52:E52)</f>
        <v>234392.31670929235</v>
      </c>
      <c r="C56" s="107">
        <f t="shared" ref="C56:C57" si="2">+B56/$B$10</f>
        <v>2467.2875443083408</v>
      </c>
    </row>
    <row r="57" spans="1:7" x14ac:dyDescent="0.35">
      <c r="A57" s="117" t="s">
        <v>189</v>
      </c>
      <c r="B57" s="121">
        <f>MAX(B52:E52)</f>
        <v>250940.5122193805</v>
      </c>
      <c r="C57" s="107">
        <f t="shared" si="2"/>
        <v>2641.479075993479</v>
      </c>
    </row>
    <row r="58" spans="1:7" x14ac:dyDescent="0.35">
      <c r="A58" s="119" t="s">
        <v>190</v>
      </c>
      <c r="B58" s="126">
        <f>+(B57-B56)/B55</f>
        <v>6.821234877218145E-2</v>
      </c>
      <c r="C58" s="108"/>
    </row>
  </sheetData>
  <mergeCells count="9">
    <mergeCell ref="A44:A45"/>
    <mergeCell ref="B44:E44"/>
    <mergeCell ref="B4:C4"/>
    <mergeCell ref="A7:A8"/>
    <mergeCell ref="B7:B8"/>
    <mergeCell ref="C7:F7"/>
    <mergeCell ref="A21:A22"/>
    <mergeCell ref="B21:E21"/>
    <mergeCell ref="D30:E30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36"/>
  <sheetViews>
    <sheetView topLeftCell="A11" workbookViewId="0">
      <selection activeCell="A33" sqref="A33:B36"/>
    </sheetView>
  </sheetViews>
  <sheetFormatPr defaultColWidth="9.1796875" defaultRowHeight="14" x14ac:dyDescent="0.3"/>
  <cols>
    <col min="1" max="1" width="31.1796875" style="175" customWidth="1"/>
    <col min="2" max="2" width="14" style="176" customWidth="1"/>
    <col min="3" max="3" width="47.1796875" style="177" customWidth="1"/>
    <col min="4" max="5" width="9.1796875" style="175"/>
    <col min="6" max="6" width="21.7265625" style="175" customWidth="1"/>
    <col min="7" max="7" width="17.26953125" style="175" customWidth="1"/>
    <col min="8" max="8" width="13.26953125" style="175" customWidth="1"/>
    <col min="9" max="16384" width="9.1796875" style="175"/>
  </cols>
  <sheetData>
    <row r="1" spans="1:8" x14ac:dyDescent="0.3">
      <c r="A1" s="175" t="s">
        <v>223</v>
      </c>
    </row>
    <row r="3" spans="1:8" x14ac:dyDescent="0.3">
      <c r="A3" s="175" t="s">
        <v>224</v>
      </c>
      <c r="F3" s="384" t="s">
        <v>225</v>
      </c>
      <c r="G3" s="384"/>
      <c r="H3" s="384"/>
    </row>
    <row r="4" spans="1:8" x14ac:dyDescent="0.3">
      <c r="A4" s="178" t="s">
        <v>173</v>
      </c>
      <c r="B4" s="179" t="s">
        <v>277</v>
      </c>
      <c r="C4" s="180" t="s">
        <v>226</v>
      </c>
      <c r="F4" s="181"/>
      <c r="G4" s="182"/>
      <c r="H4" s="183" t="s">
        <v>227</v>
      </c>
    </row>
    <row r="5" spans="1:8" x14ac:dyDescent="0.3">
      <c r="A5" s="184" t="s">
        <v>228</v>
      </c>
      <c r="B5" s="185">
        <v>95</v>
      </c>
      <c r="C5" s="186" t="s">
        <v>229</v>
      </c>
      <c r="F5" s="181" t="s">
        <v>7</v>
      </c>
      <c r="G5" s="187"/>
      <c r="H5" s="188"/>
    </row>
    <row r="6" spans="1:8" x14ac:dyDescent="0.3">
      <c r="A6" s="184" t="s">
        <v>230</v>
      </c>
      <c r="B6" s="190">
        <v>9.5</v>
      </c>
      <c r="C6" s="186" t="s">
        <v>342</v>
      </c>
      <c r="F6" s="189" t="s">
        <v>231</v>
      </c>
      <c r="G6" s="176"/>
      <c r="H6" s="226">
        <f>+B7*12</f>
        <v>10830</v>
      </c>
    </row>
    <row r="7" spans="1:8" x14ac:dyDescent="0.3">
      <c r="A7" s="184" t="s">
        <v>232</v>
      </c>
      <c r="B7" s="185">
        <f>+B6*B5</f>
        <v>902.5</v>
      </c>
      <c r="C7" s="186"/>
      <c r="F7" s="189" t="s">
        <v>233</v>
      </c>
      <c r="G7" s="176"/>
      <c r="H7" s="226">
        <f>+B7*6.5*B9</f>
        <v>58.662500000000001</v>
      </c>
    </row>
    <row r="8" spans="1:8" x14ac:dyDescent="0.3">
      <c r="A8" s="184" t="s">
        <v>234</v>
      </c>
      <c r="B8" s="185">
        <f>+B7*3</f>
        <v>2707.5</v>
      </c>
      <c r="C8" s="191" t="s">
        <v>235</v>
      </c>
      <c r="F8" s="189" t="s">
        <v>236</v>
      </c>
      <c r="G8" s="176"/>
      <c r="H8" s="226">
        <f>+B8*(B9-B10)</f>
        <v>24.367500000000003</v>
      </c>
    </row>
    <row r="9" spans="1:8" ht="28" x14ac:dyDescent="0.3">
      <c r="A9" s="184" t="s">
        <v>237</v>
      </c>
      <c r="B9" s="192">
        <v>0.01</v>
      </c>
      <c r="C9" s="193" t="s">
        <v>238</v>
      </c>
      <c r="F9" s="194" t="s">
        <v>239</v>
      </c>
      <c r="G9" s="195"/>
      <c r="H9" s="227">
        <f>SUM(H6:H8)</f>
        <v>10913.03</v>
      </c>
    </row>
    <row r="10" spans="1:8" x14ac:dyDescent="0.3">
      <c r="A10" s="184" t="s">
        <v>240</v>
      </c>
      <c r="B10" s="192">
        <v>1E-3</v>
      </c>
      <c r="C10" s="193" t="s">
        <v>238</v>
      </c>
      <c r="F10" s="196"/>
      <c r="G10" s="176"/>
      <c r="H10" s="226"/>
    </row>
    <row r="11" spans="1:8" x14ac:dyDescent="0.3">
      <c r="A11" s="184" t="s">
        <v>241</v>
      </c>
      <c r="B11" s="192">
        <v>0.03</v>
      </c>
      <c r="C11" s="193" t="s">
        <v>242</v>
      </c>
      <c r="F11" s="197" t="s">
        <v>15</v>
      </c>
      <c r="G11" s="187"/>
      <c r="H11" s="228"/>
    </row>
    <row r="12" spans="1:8" x14ac:dyDescent="0.3">
      <c r="A12" s="198" t="s">
        <v>243</v>
      </c>
      <c r="B12" s="192">
        <v>0.02</v>
      </c>
      <c r="C12" s="193" t="s">
        <v>244</v>
      </c>
      <c r="F12" s="199" t="s">
        <v>243</v>
      </c>
      <c r="G12" s="195"/>
      <c r="H12" s="229">
        <f>H6*B12</f>
        <v>216.6</v>
      </c>
    </row>
    <row r="13" spans="1:8" x14ac:dyDescent="0.3">
      <c r="A13" s="184" t="s">
        <v>245</v>
      </c>
      <c r="B13" s="192">
        <v>0.02</v>
      </c>
      <c r="C13" s="193" t="s">
        <v>244</v>
      </c>
      <c r="F13" s="389" t="s">
        <v>246</v>
      </c>
      <c r="G13" s="200" t="s">
        <v>247</v>
      </c>
      <c r="H13" s="230">
        <f>H6*B15</f>
        <v>162.44999999999999</v>
      </c>
    </row>
    <row r="14" spans="1:8" x14ac:dyDescent="0.3">
      <c r="A14" s="184" t="s">
        <v>248</v>
      </c>
      <c r="B14" s="192">
        <v>0.01</v>
      </c>
      <c r="C14" s="193" t="s">
        <v>244</v>
      </c>
      <c r="F14" s="390"/>
      <c r="G14" s="201" t="s">
        <v>249</v>
      </c>
      <c r="H14" s="226">
        <f>H6*B17</f>
        <v>1083</v>
      </c>
    </row>
    <row r="15" spans="1:8" x14ac:dyDescent="0.3">
      <c r="A15" s="184" t="s">
        <v>250</v>
      </c>
      <c r="B15" s="192">
        <v>1.4999999999999999E-2</v>
      </c>
      <c r="C15" s="191" t="s">
        <v>244</v>
      </c>
      <c r="F15" s="391"/>
      <c r="G15" s="202" t="s">
        <v>251</v>
      </c>
      <c r="H15" s="227">
        <f>H6*B16</f>
        <v>108.3</v>
      </c>
    </row>
    <row r="16" spans="1:8" x14ac:dyDescent="0.3">
      <c r="A16" s="184" t="s">
        <v>252</v>
      </c>
      <c r="B16" s="192">
        <v>0.01</v>
      </c>
      <c r="C16" s="193" t="s">
        <v>244</v>
      </c>
      <c r="F16" s="392" t="s">
        <v>253</v>
      </c>
      <c r="G16" s="200" t="s">
        <v>254</v>
      </c>
      <c r="H16" s="230">
        <f>H6*B19</f>
        <v>1083</v>
      </c>
    </row>
    <row r="17" spans="1:8" x14ac:dyDescent="0.3">
      <c r="A17" s="184" t="s">
        <v>255</v>
      </c>
      <c r="B17" s="192">
        <v>0.1</v>
      </c>
      <c r="C17" s="193" t="s">
        <v>244</v>
      </c>
      <c r="F17" s="393"/>
      <c r="G17" s="202" t="s">
        <v>256</v>
      </c>
      <c r="H17" s="227">
        <f>H6*B18</f>
        <v>2274.2999999999997</v>
      </c>
    </row>
    <row r="18" spans="1:8" x14ac:dyDescent="0.3">
      <c r="A18" s="184" t="s">
        <v>257</v>
      </c>
      <c r="B18" s="192">
        <v>0.21</v>
      </c>
      <c r="C18" s="191" t="s">
        <v>258</v>
      </c>
      <c r="F18" s="394" t="s">
        <v>259</v>
      </c>
      <c r="G18" s="203" t="s">
        <v>260</v>
      </c>
      <c r="H18" s="226">
        <f>+H6*B13</f>
        <v>216.6</v>
      </c>
    </row>
    <row r="19" spans="1:8" x14ac:dyDescent="0.3">
      <c r="A19" s="204" t="s">
        <v>261</v>
      </c>
      <c r="B19" s="205">
        <v>0.1</v>
      </c>
      <c r="C19" s="206" t="s">
        <v>244</v>
      </c>
      <c r="F19" s="394"/>
      <c r="G19" s="202" t="s">
        <v>262</v>
      </c>
      <c r="H19" s="226">
        <f>+H6*B14</f>
        <v>108.3</v>
      </c>
    </row>
    <row r="20" spans="1:8" x14ac:dyDescent="0.3">
      <c r="F20" s="207" t="s">
        <v>263</v>
      </c>
      <c r="G20" s="208"/>
      <c r="H20" s="230">
        <f>+B11*(H16+H13+H12+H15)/2</f>
        <v>23.555249999999997</v>
      </c>
    </row>
    <row r="21" spans="1:8" x14ac:dyDescent="0.3">
      <c r="A21" s="384" t="s">
        <v>264</v>
      </c>
      <c r="B21" s="384"/>
      <c r="C21" s="384"/>
      <c r="F21" s="209" t="s">
        <v>265</v>
      </c>
      <c r="G21" s="187"/>
      <c r="H21" s="228">
        <f>SUM(H12:H20)</f>
        <v>5276.1052500000005</v>
      </c>
    </row>
    <row r="22" spans="1:8" x14ac:dyDescent="0.3">
      <c r="A22" s="210"/>
      <c r="B22" s="179" t="s">
        <v>277</v>
      </c>
      <c r="C22" s="211" t="s">
        <v>226</v>
      </c>
      <c r="F22" s="385" t="s">
        <v>267</v>
      </c>
      <c r="G22" s="386"/>
      <c r="H22" s="228">
        <f>+H9-H21</f>
        <v>5636.9247500000001</v>
      </c>
    </row>
    <row r="23" spans="1:8" x14ac:dyDescent="0.3">
      <c r="A23" s="212" t="s">
        <v>266</v>
      </c>
      <c r="B23" s="333">
        <f>+B6</f>
        <v>9.5</v>
      </c>
      <c r="C23" s="186" t="s">
        <v>342</v>
      </c>
      <c r="F23" s="387"/>
      <c r="G23" s="388"/>
      <c r="H23" s="225">
        <f>+H22/H6</f>
        <v>0.52049166666666669</v>
      </c>
    </row>
    <row r="24" spans="1:8" x14ac:dyDescent="0.3">
      <c r="A24" s="212" t="s">
        <v>268</v>
      </c>
      <c r="B24" s="212">
        <f>+B23*12</f>
        <v>114</v>
      </c>
      <c r="C24" s="186"/>
    </row>
    <row r="25" spans="1:8" x14ac:dyDescent="0.3">
      <c r="A25" s="212" t="s">
        <v>269</v>
      </c>
      <c r="B25" s="231">
        <v>2550</v>
      </c>
      <c r="C25" s="186" t="s">
        <v>342</v>
      </c>
    </row>
    <row r="26" spans="1:8" x14ac:dyDescent="0.3">
      <c r="A26" s="212" t="s">
        <v>270</v>
      </c>
      <c r="B26" s="214">
        <f>+B24/B25</f>
        <v>4.4705882352941179E-2</v>
      </c>
      <c r="C26" s="213"/>
      <c r="F26" s="215"/>
      <c r="G26" s="176"/>
      <c r="H26" s="216"/>
    </row>
    <row r="27" spans="1:8" x14ac:dyDescent="0.3">
      <c r="A27" s="212" t="s">
        <v>276</v>
      </c>
      <c r="B27" s="217">
        <f>+H23</f>
        <v>0.52049166666666669</v>
      </c>
      <c r="C27" s="218" t="s">
        <v>271</v>
      </c>
      <c r="F27" s="215"/>
      <c r="G27" s="176"/>
      <c r="H27" s="216"/>
    </row>
    <row r="28" spans="1:8" x14ac:dyDescent="0.3">
      <c r="A28" s="219" t="s">
        <v>272</v>
      </c>
      <c r="B28" s="220">
        <f>+B26*B27</f>
        <v>2.3269039215686276E-2</v>
      </c>
      <c r="C28" s="221"/>
      <c r="F28" s="215"/>
      <c r="G28" s="176"/>
      <c r="H28" s="216"/>
    </row>
    <row r="32" spans="1:8" x14ac:dyDescent="0.3">
      <c r="A32" s="215" t="s">
        <v>273</v>
      </c>
      <c r="C32" s="216"/>
    </row>
    <row r="33" spans="1:3" x14ac:dyDescent="0.3">
      <c r="A33" s="209" t="s">
        <v>267</v>
      </c>
      <c r="B33" s="263">
        <f>+H22</f>
        <v>5636.9247500000001</v>
      </c>
      <c r="C33" s="175"/>
    </row>
    <row r="34" spans="1:3" x14ac:dyDescent="0.3">
      <c r="A34" s="219" t="s">
        <v>272</v>
      </c>
      <c r="B34" s="264">
        <f>+B28</f>
        <v>2.3269039215686276E-2</v>
      </c>
      <c r="C34" s="175"/>
    </row>
    <row r="35" spans="1:3" x14ac:dyDescent="0.3">
      <c r="A35" s="209" t="s">
        <v>274</v>
      </c>
      <c r="B35" s="222">
        <f>+B33/B34</f>
        <v>242250</v>
      </c>
      <c r="C35" s="175"/>
    </row>
    <row r="36" spans="1:3" x14ac:dyDescent="0.3">
      <c r="A36" s="223" t="s">
        <v>275</v>
      </c>
      <c r="B36" s="224">
        <f>+B35/B5</f>
        <v>2550</v>
      </c>
    </row>
  </sheetData>
  <mergeCells count="6">
    <mergeCell ref="A21:C21"/>
    <mergeCell ref="F22:G23"/>
    <mergeCell ref="F3:H3"/>
    <mergeCell ref="F13:F15"/>
    <mergeCell ref="F16:F17"/>
    <mergeCell ref="F18:F19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C6"/>
  <sheetViews>
    <sheetView workbookViewId="0">
      <selection activeCell="B3" sqref="B3:C6"/>
    </sheetView>
  </sheetViews>
  <sheetFormatPr defaultRowHeight="14.5" x14ac:dyDescent="0.35"/>
  <cols>
    <col min="1" max="1" width="6.81640625" customWidth="1"/>
    <col min="2" max="2" width="20.1796875" customWidth="1"/>
    <col min="3" max="3" width="13.26953125" bestFit="1" customWidth="1"/>
  </cols>
  <sheetData>
    <row r="1" spans="1:3" x14ac:dyDescent="0.35">
      <c r="A1" t="s">
        <v>76</v>
      </c>
    </row>
    <row r="3" spans="1:3" x14ac:dyDescent="0.35">
      <c r="B3" s="21"/>
      <c r="C3" s="148" t="s">
        <v>277</v>
      </c>
    </row>
    <row r="4" spans="1:3" x14ac:dyDescent="0.35">
      <c r="A4" s="1" t="s">
        <v>13</v>
      </c>
      <c r="B4" s="19" t="s">
        <v>54</v>
      </c>
      <c r="C4" s="59">
        <f>+'RT - Ricavi totali'!D3</f>
        <v>3324361.9378224965</v>
      </c>
    </row>
    <row r="5" spans="1:3" x14ac:dyDescent="0.35">
      <c r="B5" s="19" t="s">
        <v>31</v>
      </c>
      <c r="C5" s="232">
        <v>0.03</v>
      </c>
    </row>
    <row r="6" spans="1:3" x14ac:dyDescent="0.35">
      <c r="B6" s="20" t="s">
        <v>55</v>
      </c>
      <c r="C6" s="233">
        <f>+C5*C4</f>
        <v>99730.858134674898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17"/>
  <sheetViews>
    <sheetView workbookViewId="0">
      <selection activeCell="A3" sqref="A3:G12"/>
    </sheetView>
  </sheetViews>
  <sheetFormatPr defaultRowHeight="14.5" x14ac:dyDescent="0.35"/>
  <cols>
    <col min="1" max="1" width="24.26953125" customWidth="1"/>
    <col min="2" max="2" width="12" bestFit="1" customWidth="1"/>
    <col min="3" max="3" width="13.453125" bestFit="1" customWidth="1"/>
    <col min="4" max="4" width="11.81640625" bestFit="1" customWidth="1"/>
    <col min="5" max="6" width="12.1796875" bestFit="1" customWidth="1"/>
    <col min="7" max="7" width="11.54296875" customWidth="1"/>
  </cols>
  <sheetData>
    <row r="1" spans="1:8" x14ac:dyDescent="0.35">
      <c r="A1" t="s">
        <v>77</v>
      </c>
    </row>
    <row r="3" spans="1:8" x14ac:dyDescent="0.35">
      <c r="A3" s="395"/>
      <c r="B3" s="366" t="s">
        <v>307</v>
      </c>
      <c r="C3" s="367"/>
      <c r="D3" s="367"/>
      <c r="E3" s="367"/>
      <c r="F3" s="367"/>
      <c r="G3" s="395" t="s">
        <v>6</v>
      </c>
    </row>
    <row r="4" spans="1:8" x14ac:dyDescent="0.35">
      <c r="A4" s="397"/>
      <c r="B4" s="289">
        <v>0</v>
      </c>
      <c r="C4" s="290">
        <v>1</v>
      </c>
      <c r="D4" s="288">
        <v>2</v>
      </c>
      <c r="E4" s="290">
        <v>3</v>
      </c>
      <c r="F4" s="288">
        <v>4</v>
      </c>
      <c r="G4" s="396"/>
    </row>
    <row r="5" spans="1:8" x14ac:dyDescent="0.35">
      <c r="A5" s="272" t="s">
        <v>56</v>
      </c>
      <c r="B5" s="276">
        <f>+'Flusso di cassa'!C18</f>
        <v>-304271.36736111116</v>
      </c>
      <c r="C5" s="44">
        <f>+'Flusso di cassa'!D18</f>
        <v>-74769.353333333333</v>
      </c>
      <c r="D5" s="276">
        <f>+'Flusso di cassa'!E18</f>
        <v>-457845.20169242728</v>
      </c>
      <c r="E5" s="44">
        <f>+'Flusso di cassa'!F18</f>
        <v>418106.29500017024</v>
      </c>
      <c r="F5" s="292">
        <f>+'Flusso di cassa'!G18</f>
        <v>923663.74593767803</v>
      </c>
      <c r="G5" s="273">
        <f>SUM(B5:F5)</f>
        <v>504884.11855097651</v>
      </c>
      <c r="H5" s="16"/>
    </row>
    <row r="6" spans="1:8" x14ac:dyDescent="0.35">
      <c r="A6" s="272" t="s">
        <v>92</v>
      </c>
      <c r="B6" s="276">
        <f>+B5</f>
        <v>-304271.36736111116</v>
      </c>
      <c r="C6" s="44">
        <f>+B6+C5+B8</f>
        <v>-385430.41940902785</v>
      </c>
      <c r="D6" s="276">
        <f t="shared" ref="D6:F6" si="0">+C6+D5+C8</f>
        <v>-851369.65990904463</v>
      </c>
      <c r="E6" s="44">
        <f t="shared" si="0"/>
        <v>-451142.12776696432</v>
      </c>
      <c r="F6" s="276">
        <f t="shared" si="0"/>
        <v>463047.63348760747</v>
      </c>
      <c r="G6" s="44"/>
      <c r="H6" s="16"/>
    </row>
    <row r="7" spans="1:8" x14ac:dyDescent="0.35">
      <c r="A7" s="24"/>
      <c r="B7" s="72">
        <f>+B6*'Fiscalità e Finanza'!$B$6*'Fiscalità e Finanza'!$B$7</f>
        <v>-6389.6987145833345</v>
      </c>
      <c r="C7" s="72">
        <f>+C6*'Fiscalità e Finanza'!$B$6*'Fiscalità e Finanza'!$B$7</f>
        <v>-8094.0388075895853</v>
      </c>
      <c r="D7" s="72">
        <f>+D6*'Fiscalità e Finanza'!$B$6*'Fiscalità e Finanza'!$B$7</f>
        <v>-17878.762858089936</v>
      </c>
      <c r="E7" s="72">
        <f>+E6*'Fiscalità e Finanza'!$B$6*'Fiscalità e Finanza'!$B$7</f>
        <v>-9473.9846831062496</v>
      </c>
      <c r="F7" s="72">
        <f>+F6*'Fiscalità e Finanza'!$B$6*'Fiscalità e Finanza'!$B$7</f>
        <v>9724.0003032397562</v>
      </c>
      <c r="G7" s="61"/>
    </row>
    <row r="8" spans="1:8" x14ac:dyDescent="0.35">
      <c r="A8" s="25" t="s">
        <v>61</v>
      </c>
      <c r="B8" s="269">
        <f>IF(B6&lt;0,B7,0)</f>
        <v>-6389.6987145833345</v>
      </c>
      <c r="C8" s="48">
        <f t="shared" ref="C8:F8" si="1">IF(C6&lt;0,C7,0)</f>
        <v>-8094.0388075895853</v>
      </c>
      <c r="D8" s="269">
        <f t="shared" si="1"/>
        <v>-17878.762858089936</v>
      </c>
      <c r="E8" s="48">
        <f t="shared" si="1"/>
        <v>-9473.9846831062496</v>
      </c>
      <c r="F8" s="269">
        <f t="shared" si="1"/>
        <v>0</v>
      </c>
      <c r="G8" s="57">
        <f>SUM(B8:F8)</f>
        <v>-41836.485063369109</v>
      </c>
      <c r="H8" s="16"/>
    </row>
    <row r="9" spans="1:8" x14ac:dyDescent="0.35">
      <c r="A9" s="24" t="s">
        <v>93</v>
      </c>
      <c r="B9" s="72">
        <f>IF(B6&lt;0,B6,B9+B10)</f>
        <v>-304271.36736111116</v>
      </c>
      <c r="C9" s="273">
        <f>IF(C6&lt;0,C6,+B9+C5+B11)</f>
        <v>-385430.41940902785</v>
      </c>
      <c r="D9" s="72">
        <f>IF(D6&lt;0,D6,+C9+D5+C11)</f>
        <v>-851369.65990904463</v>
      </c>
      <c r="E9" s="273">
        <f>IF(E6&lt;0,E6,+D9+E5+D11)</f>
        <v>-451142.12776696432</v>
      </c>
      <c r="F9" s="72">
        <f>IF(F6&lt;0,F6,+E9+F5+E11)</f>
        <v>472521.61817071371</v>
      </c>
      <c r="G9" s="24"/>
    </row>
    <row r="10" spans="1:8" x14ac:dyDescent="0.35">
      <c r="A10" s="24"/>
      <c r="B10" s="72">
        <f>+B9*'Fiscalità e Finanza'!$B$8</f>
        <v>-1521.3568368055558</v>
      </c>
      <c r="C10" s="72">
        <f>+C9*'Fiscalità e Finanza'!$B$8</f>
        <v>-1927.1520970451393</v>
      </c>
      <c r="D10" s="72">
        <f>+D9*'Fiscalità e Finanza'!$B$8</f>
        <v>-4256.8482995452232</v>
      </c>
      <c r="E10" s="72">
        <f>+E9*'Fiscalità e Finanza'!$B$8</f>
        <v>-2255.7106388348216</v>
      </c>
      <c r="F10" s="72">
        <f>+F9*'Fiscalità e Finanza'!$B$8</f>
        <v>2362.6080908535687</v>
      </c>
      <c r="G10" s="24"/>
    </row>
    <row r="11" spans="1:8" x14ac:dyDescent="0.35">
      <c r="A11" s="25" t="s">
        <v>193</v>
      </c>
      <c r="B11" s="269">
        <f>IF(B9&gt;0,B10,0)</f>
        <v>0</v>
      </c>
      <c r="C11" s="48">
        <f t="shared" ref="C11:F11" si="2">IF(C9&gt;0,C10,0)</f>
        <v>0</v>
      </c>
      <c r="D11" s="269">
        <f t="shared" si="2"/>
        <v>0</v>
      </c>
      <c r="E11" s="48">
        <f t="shared" si="2"/>
        <v>0</v>
      </c>
      <c r="F11" s="269">
        <f t="shared" si="2"/>
        <v>2362.6080908535687</v>
      </c>
      <c r="G11" s="57">
        <f>SUM(B11:F11)</f>
        <v>2362.6080908535687</v>
      </c>
    </row>
    <row r="12" spans="1:8" x14ac:dyDescent="0.35">
      <c r="A12" s="25" t="s">
        <v>90</v>
      </c>
      <c r="B12" s="269">
        <f>+B8+B11</f>
        <v>-6389.6987145833345</v>
      </c>
      <c r="C12" s="48">
        <f>+C8+C11</f>
        <v>-8094.0388075895853</v>
      </c>
      <c r="D12" s="269">
        <f>+D8+D11</f>
        <v>-17878.762858089936</v>
      </c>
      <c r="E12" s="48">
        <f>+E8+E11</f>
        <v>-9473.9846831062496</v>
      </c>
      <c r="F12" s="269">
        <f>+F8+F11</f>
        <v>2362.6080908535687</v>
      </c>
      <c r="G12" s="57">
        <f>SUM(B12:F12)</f>
        <v>-39473.876972515543</v>
      </c>
    </row>
    <row r="14" spans="1:8" x14ac:dyDescent="0.35">
      <c r="B14">
        <f t="shared" ref="B14:F14" si="3">+B4</f>
        <v>0</v>
      </c>
      <c r="C14">
        <f t="shared" si="3"/>
        <v>1</v>
      </c>
      <c r="D14">
        <f t="shared" si="3"/>
        <v>2</v>
      </c>
      <c r="E14">
        <f t="shared" si="3"/>
        <v>3</v>
      </c>
      <c r="F14">
        <f t="shared" si="3"/>
        <v>4</v>
      </c>
    </row>
    <row r="15" spans="1:8" x14ac:dyDescent="0.35">
      <c r="A15" t="s">
        <v>310</v>
      </c>
      <c r="B15" s="16">
        <f>+B5+B12</f>
        <v>-310661.06607569451</v>
      </c>
      <c r="C15" s="16">
        <f t="shared" ref="C15:F15" si="4">+C5+C12</f>
        <v>-82863.392140922922</v>
      </c>
      <c r="D15" s="16">
        <f t="shared" si="4"/>
        <v>-475723.96455051721</v>
      </c>
      <c r="E15" s="16">
        <f t="shared" si="4"/>
        <v>408632.310317064</v>
      </c>
      <c r="F15" s="16">
        <f t="shared" si="4"/>
        <v>926026.35402853158</v>
      </c>
      <c r="G15" s="16">
        <f>SUM(B15:F15)</f>
        <v>465410.24157846096</v>
      </c>
    </row>
    <row r="16" spans="1:8" x14ac:dyDescent="0.35">
      <c r="A16" t="s">
        <v>311</v>
      </c>
      <c r="B16" s="16">
        <f>SUM(B15:B15)</f>
        <v>-310661.06607569451</v>
      </c>
      <c r="C16" s="16">
        <f>SUM(B15:C15)</f>
        <v>-393524.45821661747</v>
      </c>
      <c r="D16" s="16">
        <f>SUM(B15:D15)</f>
        <v>-869248.42276713462</v>
      </c>
      <c r="E16" s="16">
        <f>SUM(B15:E15)</f>
        <v>-460616.11245007062</v>
      </c>
      <c r="F16" s="16">
        <f>SUM(B15:F15)</f>
        <v>465410.24157846096</v>
      </c>
    </row>
    <row r="17" spans="2:6" x14ac:dyDescent="0.35">
      <c r="B17" s="16"/>
      <c r="C17" s="16"/>
      <c r="D17" s="16"/>
      <c r="E17" s="16"/>
      <c r="F17" s="16"/>
    </row>
  </sheetData>
  <mergeCells count="3">
    <mergeCell ref="B3:F3"/>
    <mergeCell ref="G3:G4"/>
    <mergeCell ref="A3:A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12"/>
  <sheetViews>
    <sheetView workbookViewId="0">
      <selection activeCell="A3" sqref="A3:F8"/>
    </sheetView>
  </sheetViews>
  <sheetFormatPr defaultRowHeight="14.5" x14ac:dyDescent="0.35"/>
  <cols>
    <col min="1" max="1" width="24.26953125" customWidth="1"/>
    <col min="2" max="2" width="12" bestFit="1" customWidth="1"/>
    <col min="3" max="3" width="13.453125" bestFit="1" customWidth="1"/>
    <col min="4" max="4" width="11.81640625" bestFit="1" customWidth="1"/>
    <col min="5" max="6" width="12.1796875" bestFit="1" customWidth="1"/>
    <col min="7" max="7" width="11.54296875" customWidth="1"/>
  </cols>
  <sheetData>
    <row r="1" spans="1:7" x14ac:dyDescent="0.35">
      <c r="A1" t="s">
        <v>62</v>
      </c>
    </row>
    <row r="3" spans="1:7" x14ac:dyDescent="0.35">
      <c r="A3" s="395"/>
      <c r="B3" s="366" t="s">
        <v>307</v>
      </c>
      <c r="C3" s="367"/>
      <c r="D3" s="367"/>
      <c r="E3" s="367"/>
      <c r="F3" s="368"/>
      <c r="G3" s="1"/>
    </row>
    <row r="4" spans="1:7" x14ac:dyDescent="0.35">
      <c r="A4" s="396"/>
      <c r="B4" s="260">
        <v>0</v>
      </c>
      <c r="C4" s="259">
        <v>1</v>
      </c>
      <c r="D4" s="261">
        <v>2</v>
      </c>
      <c r="E4" s="259">
        <v>3</v>
      </c>
      <c r="F4" s="262">
        <v>4</v>
      </c>
      <c r="G4" s="1"/>
    </row>
    <row r="5" spans="1:7" x14ac:dyDescent="0.35">
      <c r="A5" s="24" t="s">
        <v>308</v>
      </c>
      <c r="B5" s="72">
        <f>+'I - Interessi'!B16</f>
        <v>-310661.06607569451</v>
      </c>
      <c r="C5" s="273">
        <f>+'I - Interessi'!C16</f>
        <v>-393524.45821661747</v>
      </c>
      <c r="D5" s="72">
        <f>+'I - Interessi'!D16</f>
        <v>-869248.42276713462</v>
      </c>
      <c r="E5" s="273">
        <f>+'I - Interessi'!E16</f>
        <v>-460616.11245007062</v>
      </c>
      <c r="F5" s="71">
        <f>+'I - Interessi'!F16</f>
        <v>465410.24157846096</v>
      </c>
      <c r="G5" s="15"/>
    </row>
    <row r="6" spans="1:7" x14ac:dyDescent="0.35">
      <c r="A6" s="24"/>
      <c r="B6" s="72">
        <f>IF(B5&gt;0,B5,0)</f>
        <v>0</v>
      </c>
      <c r="C6" s="273">
        <f t="shared" ref="C6:F6" si="0">IF(C5&gt;0,C5,0)</f>
        <v>0</v>
      </c>
      <c r="D6" s="72">
        <f t="shared" si="0"/>
        <v>0</v>
      </c>
      <c r="E6" s="273">
        <f t="shared" si="0"/>
        <v>0</v>
      </c>
      <c r="F6" s="71">
        <f t="shared" si="0"/>
        <v>465410.24157846096</v>
      </c>
      <c r="G6" s="15"/>
    </row>
    <row r="7" spans="1:7" x14ac:dyDescent="0.35">
      <c r="A7" s="24" t="s">
        <v>95</v>
      </c>
      <c r="B7" s="72">
        <f>+B6</f>
        <v>0</v>
      </c>
      <c r="C7" s="273">
        <f>+C6-B6</f>
        <v>0</v>
      </c>
      <c r="D7" s="72">
        <f t="shared" ref="D7:F7" si="1">+D6-C6</f>
        <v>0</v>
      </c>
      <c r="E7" s="273">
        <f t="shared" si="1"/>
        <v>0</v>
      </c>
      <c r="F7" s="71">
        <f t="shared" si="1"/>
        <v>465410.24157846096</v>
      </c>
      <c r="G7" s="15"/>
    </row>
    <row r="8" spans="1:7" x14ac:dyDescent="0.35">
      <c r="A8" s="7" t="s">
        <v>10</v>
      </c>
      <c r="B8" s="291">
        <f>+B7*('Fiscalità e Finanza'!$B$12+'Fiscalità e Finanza'!$B$13)</f>
        <v>0</v>
      </c>
      <c r="C8" s="291">
        <f>+C7*('Fiscalità e Finanza'!$B$12+'Fiscalità e Finanza'!$B$13)</f>
        <v>0</v>
      </c>
      <c r="D8" s="291">
        <f>+D7*('Fiscalità e Finanza'!$B$12+'Fiscalità e Finanza'!$B$13)</f>
        <v>0</v>
      </c>
      <c r="E8" s="291">
        <f>+E7*('Fiscalità e Finanza'!$B$12+'Fiscalità e Finanza'!$B$13)</f>
        <v>0</v>
      </c>
      <c r="F8" s="291">
        <f>+F7*('Fiscalità e Finanza'!$B$12+'Fiscalità e Finanza'!$B$13)</f>
        <v>129849.4574003906</v>
      </c>
      <c r="G8" s="16"/>
    </row>
    <row r="9" spans="1:7" x14ac:dyDescent="0.35">
      <c r="B9" s="15"/>
      <c r="C9" s="15"/>
      <c r="D9" s="15"/>
      <c r="E9" s="15"/>
      <c r="F9" s="15"/>
      <c r="G9" s="16"/>
    </row>
    <row r="10" spans="1:7" x14ac:dyDescent="0.35">
      <c r="B10" s="15"/>
      <c r="C10" s="15"/>
      <c r="D10" s="15"/>
      <c r="E10" s="15"/>
      <c r="F10" s="15"/>
      <c r="G10" s="16"/>
    </row>
    <row r="11" spans="1:7" x14ac:dyDescent="0.35">
      <c r="B11" s="15"/>
      <c r="C11" s="15"/>
      <c r="D11" s="15"/>
      <c r="E11" s="15"/>
      <c r="F11" s="15"/>
      <c r="G11" s="16"/>
    </row>
    <row r="12" spans="1:7" x14ac:dyDescent="0.35">
      <c r="B12" s="15"/>
      <c r="C12" s="15"/>
      <c r="D12" s="15"/>
      <c r="E12" s="15"/>
      <c r="F12" s="15"/>
      <c r="G12" s="16"/>
    </row>
  </sheetData>
  <mergeCells count="2">
    <mergeCell ref="B3:F3"/>
    <mergeCell ref="A3:A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H13"/>
  <sheetViews>
    <sheetView zoomScale="130" zoomScaleNormal="130" workbookViewId="0">
      <selection activeCell="A2" sqref="A2:H12"/>
    </sheetView>
  </sheetViews>
  <sheetFormatPr defaultRowHeight="14.5" x14ac:dyDescent="0.35"/>
  <cols>
    <col min="1" max="1" width="5.81640625" customWidth="1"/>
    <col min="2" max="2" width="27.54296875" customWidth="1"/>
  </cols>
  <sheetData>
    <row r="2" spans="1:8" x14ac:dyDescent="0.35">
      <c r="A2" s="398"/>
      <c r="B2" s="398"/>
      <c r="C2" s="399" t="s">
        <v>120</v>
      </c>
      <c r="D2" s="399"/>
      <c r="E2" s="399"/>
      <c r="F2" s="399"/>
      <c r="G2" s="399"/>
      <c r="H2" s="400" t="s">
        <v>6</v>
      </c>
    </row>
    <row r="3" spans="1:8" x14ac:dyDescent="0.35">
      <c r="A3" s="398"/>
      <c r="B3" s="398"/>
      <c r="C3" s="7">
        <v>0</v>
      </c>
      <c r="D3" s="7">
        <v>1</v>
      </c>
      <c r="E3" s="7">
        <v>2</v>
      </c>
      <c r="F3" s="7">
        <v>3</v>
      </c>
      <c r="G3" s="7">
        <v>4</v>
      </c>
      <c r="H3" s="400"/>
    </row>
    <row r="4" spans="1:8" x14ac:dyDescent="0.35">
      <c r="A4" s="7" t="s">
        <v>78</v>
      </c>
      <c r="B4" s="7" t="s">
        <v>11</v>
      </c>
      <c r="C4" s="8">
        <v>1</v>
      </c>
      <c r="D4" s="8"/>
      <c r="E4" s="8"/>
      <c r="F4" s="8"/>
      <c r="G4" s="8"/>
      <c r="H4" s="9">
        <f>SUM(C4:G4)</f>
        <v>1</v>
      </c>
    </row>
    <row r="5" spans="1:8" x14ac:dyDescent="0.35">
      <c r="A5" s="7" t="s">
        <v>79</v>
      </c>
      <c r="B5" s="7" t="s">
        <v>18</v>
      </c>
      <c r="C5" s="8"/>
      <c r="D5" s="8">
        <v>0.5</v>
      </c>
      <c r="E5" s="8">
        <v>0.5</v>
      </c>
      <c r="F5" s="8"/>
      <c r="G5" s="8"/>
      <c r="H5" s="9">
        <f>SUM(C5:G5)</f>
        <v>1</v>
      </c>
    </row>
    <row r="6" spans="1:8" x14ac:dyDescent="0.35">
      <c r="A6" s="401" t="s">
        <v>278</v>
      </c>
      <c r="B6" s="402"/>
      <c r="C6" s="234"/>
      <c r="D6" s="234"/>
      <c r="E6" s="234"/>
      <c r="F6" s="234"/>
      <c r="G6" s="234"/>
      <c r="H6" s="9"/>
    </row>
    <row r="7" spans="1:8" x14ac:dyDescent="0.35">
      <c r="A7" s="7" t="s">
        <v>81</v>
      </c>
      <c r="B7" s="7" t="s">
        <v>19</v>
      </c>
      <c r="C7" s="8"/>
      <c r="D7" s="8">
        <v>1</v>
      </c>
      <c r="E7" s="8"/>
      <c r="F7" s="8"/>
      <c r="G7" s="8"/>
      <c r="H7" s="9">
        <f>SUM(C7:G7)</f>
        <v>1</v>
      </c>
    </row>
    <row r="8" spans="1:8" x14ac:dyDescent="0.35">
      <c r="A8" s="7" t="s">
        <v>82</v>
      </c>
      <c r="B8" s="7" t="s">
        <v>12</v>
      </c>
      <c r="C8" s="8"/>
      <c r="D8" s="8"/>
      <c r="E8" s="8">
        <v>1</v>
      </c>
      <c r="F8" s="8"/>
      <c r="G8" s="8"/>
      <c r="H8" s="9">
        <f>SUM(C8:G8)</f>
        <v>1</v>
      </c>
    </row>
    <row r="9" spans="1:8" x14ac:dyDescent="0.35">
      <c r="A9" s="7" t="s">
        <v>83</v>
      </c>
      <c r="B9" s="7" t="s">
        <v>2</v>
      </c>
      <c r="C9" s="8"/>
      <c r="D9" s="8"/>
      <c r="E9" s="8">
        <v>0.5</v>
      </c>
      <c r="F9" s="8">
        <v>0.3</v>
      </c>
      <c r="G9" s="8">
        <v>0.2</v>
      </c>
      <c r="H9" s="9">
        <f>SUM(C9:G9)</f>
        <v>1</v>
      </c>
    </row>
    <row r="10" spans="1:8" x14ac:dyDescent="0.35">
      <c r="A10" s="7" t="s">
        <v>84</v>
      </c>
      <c r="B10" s="7" t="s">
        <v>3</v>
      </c>
      <c r="C10" s="8"/>
      <c r="D10" s="8"/>
      <c r="E10" s="8">
        <v>1</v>
      </c>
      <c r="F10" s="8"/>
      <c r="G10" s="8"/>
      <c r="H10" s="9">
        <f>SUM(C10:G10)</f>
        <v>1</v>
      </c>
    </row>
    <row r="11" spans="1:8" x14ac:dyDescent="0.35">
      <c r="A11" s="7"/>
      <c r="B11" s="7"/>
      <c r="C11" s="234"/>
      <c r="D11" s="234"/>
      <c r="E11" s="234"/>
      <c r="F11" s="234"/>
      <c r="G11" s="234"/>
      <c r="H11" s="9"/>
    </row>
    <row r="12" spans="1:8" x14ac:dyDescent="0.35">
      <c r="A12" s="10" t="s">
        <v>13</v>
      </c>
      <c r="B12" s="7" t="s">
        <v>9</v>
      </c>
      <c r="C12" s="8"/>
      <c r="D12" s="8">
        <v>0</v>
      </c>
      <c r="E12" s="8">
        <v>0.3</v>
      </c>
      <c r="F12" s="8">
        <v>0.3</v>
      </c>
      <c r="G12" s="8">
        <v>0.4</v>
      </c>
      <c r="H12" s="9">
        <f>SUM(C12:G12)</f>
        <v>1</v>
      </c>
    </row>
    <row r="13" spans="1:8" x14ac:dyDescent="0.35">
      <c r="C13" s="2"/>
      <c r="D13" s="2"/>
      <c r="E13" s="2"/>
      <c r="F13" s="2"/>
      <c r="G13" s="2"/>
    </row>
  </sheetData>
  <mergeCells count="4">
    <mergeCell ref="A2:B3"/>
    <mergeCell ref="C2:G2"/>
    <mergeCell ref="H2:H3"/>
    <mergeCell ref="A6:B6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2:H32"/>
  <sheetViews>
    <sheetView topLeftCell="A13" zoomScale="130" zoomScaleNormal="130" workbookViewId="0">
      <selection activeCell="A21" sqref="A21:H27"/>
    </sheetView>
  </sheetViews>
  <sheetFormatPr defaultRowHeight="14.5" x14ac:dyDescent="0.35"/>
  <cols>
    <col min="1" max="1" width="5.81640625" customWidth="1"/>
    <col min="2" max="2" width="27.54296875" customWidth="1"/>
    <col min="3" max="3" width="13.54296875" bestFit="1" customWidth="1"/>
    <col min="4" max="4" width="12.453125" bestFit="1" customWidth="1"/>
    <col min="5" max="5" width="12.26953125" bestFit="1" customWidth="1"/>
    <col min="6" max="6" width="12.453125" bestFit="1" customWidth="1"/>
    <col min="7" max="7" width="12.453125" customWidth="1"/>
    <col min="8" max="8" width="14.7265625" customWidth="1"/>
  </cols>
  <sheetData>
    <row r="2" spans="1:8" x14ac:dyDescent="0.35">
      <c r="A2" s="403"/>
      <c r="B2" s="404"/>
      <c r="C2" s="366" t="s">
        <v>307</v>
      </c>
      <c r="D2" s="367"/>
      <c r="E2" s="367"/>
      <c r="F2" s="367"/>
      <c r="G2" s="367"/>
      <c r="H2" s="407" t="s">
        <v>6</v>
      </c>
    </row>
    <row r="3" spans="1:8" x14ac:dyDescent="0.35">
      <c r="A3" s="405"/>
      <c r="B3" s="410"/>
      <c r="C3" s="286">
        <v>0</v>
      </c>
      <c r="D3" s="259">
        <v>1</v>
      </c>
      <c r="E3" s="287">
        <v>2</v>
      </c>
      <c r="F3" s="259">
        <v>3</v>
      </c>
      <c r="G3" s="287">
        <v>4</v>
      </c>
      <c r="H3" s="409"/>
    </row>
    <row r="4" spans="1:8" x14ac:dyDescent="0.35">
      <c r="A4" s="283" t="s">
        <v>306</v>
      </c>
      <c r="B4" s="284"/>
      <c r="C4" s="23"/>
      <c r="D4" s="272"/>
      <c r="E4" s="23"/>
      <c r="F4" s="272"/>
      <c r="G4" s="23"/>
      <c r="H4" s="285"/>
    </row>
    <row r="5" spans="1:8" x14ac:dyDescent="0.35">
      <c r="A5" s="43" t="s">
        <v>78</v>
      </c>
      <c r="B5" s="275" t="s">
        <v>11</v>
      </c>
      <c r="C5" s="276">
        <f>+'Ca - Costo area'!$B$12*'Distribuzione Costi&amp;Ricavi'!C4</f>
        <v>304271.36736111116</v>
      </c>
      <c r="D5" s="44">
        <f>+'Ca - Costo area'!$B$12*'Distribuzione Costi&amp;Ricavi'!D4</f>
        <v>0</v>
      </c>
      <c r="E5" s="276">
        <f>+'Ca - Costo area'!$B$12*'Distribuzione Costi&amp;Ricavi'!E4</f>
        <v>0</v>
      </c>
      <c r="F5" s="44">
        <f>+'Ca - Costo area'!$B$12*'Distribuzione Costi&amp;Ricavi'!F4</f>
        <v>0</v>
      </c>
      <c r="G5" s="276">
        <f>+'Ca - Costo area'!$B$12*'Distribuzione Costi&amp;Ricavi'!G4</f>
        <v>0</v>
      </c>
      <c r="H5" s="44">
        <f t="shared" ref="H5:H15" si="0">SUM(C5:G5)</f>
        <v>304271.36736111116</v>
      </c>
    </row>
    <row r="6" spans="1:8" x14ac:dyDescent="0.35">
      <c r="A6" s="19" t="s">
        <v>79</v>
      </c>
      <c r="B6" s="150" t="s">
        <v>18</v>
      </c>
      <c r="C6" s="72">
        <f>+'On - Oneri concessori'!$B$17*'Distribuzione Costi&amp;Ricavi'!C5</f>
        <v>0</v>
      </c>
      <c r="D6" s="273">
        <f>+'On - Oneri concessori'!$B$17*'Distribuzione Costi&amp;Ricavi'!D5</f>
        <v>52026.953333333338</v>
      </c>
      <c r="E6" s="72">
        <f>+'On - Oneri concessori'!$B$17*'Distribuzione Costi&amp;Ricavi'!E5</f>
        <v>52026.953333333338</v>
      </c>
      <c r="F6" s="273">
        <f>+'On - Oneri concessori'!$B$17*'Distribuzione Costi&amp;Ricavi'!F5</f>
        <v>0</v>
      </c>
      <c r="G6" s="72">
        <f>+'On - Oneri concessori'!$B$17*'Distribuzione Costi&amp;Ricavi'!G5</f>
        <v>0</v>
      </c>
      <c r="H6" s="273">
        <f t="shared" si="0"/>
        <v>104053.90666666668</v>
      </c>
    </row>
    <row r="7" spans="1:8" x14ac:dyDescent="0.35">
      <c r="A7" s="19" t="s">
        <v>80</v>
      </c>
      <c r="B7" s="150" t="s">
        <v>1</v>
      </c>
      <c r="C7" s="72">
        <f t="shared" ref="C7:G7" si="1">SUM(C8:C11)</f>
        <v>0</v>
      </c>
      <c r="D7" s="273">
        <f t="shared" si="1"/>
        <v>22080</v>
      </c>
      <c r="E7" s="72">
        <f t="shared" si="1"/>
        <v>1245991.8086066965</v>
      </c>
      <c r="F7" s="273">
        <f t="shared" si="1"/>
        <v>498396.72344267857</v>
      </c>
      <c r="G7" s="72">
        <f t="shared" si="1"/>
        <v>332264.48229511909</v>
      </c>
      <c r="H7" s="273">
        <f t="shared" si="0"/>
        <v>2098733.0143444943</v>
      </c>
    </row>
    <row r="8" spans="1:8" x14ac:dyDescent="0.35">
      <c r="A8" s="265" t="s">
        <v>81</v>
      </c>
      <c r="B8" s="271" t="s">
        <v>19</v>
      </c>
      <c r="C8" s="266">
        <f>+'Cc - Costo costruzione'!$D$4*'Distribuzione Costi&amp;Ricavi'!C7</f>
        <v>0</v>
      </c>
      <c r="D8" s="274">
        <f>+'Cc - Costo costruzione'!$D$4*'Distribuzione Costi&amp;Ricavi'!D7</f>
        <v>22080</v>
      </c>
      <c r="E8" s="266">
        <f>+'Cc - Costo costruzione'!$D$4*'Distribuzione Costi&amp;Ricavi'!E7</f>
        <v>0</v>
      </c>
      <c r="F8" s="274">
        <f>+'Cc - Costo costruzione'!$D$4*'Distribuzione Costi&amp;Ricavi'!F7</f>
        <v>0</v>
      </c>
      <c r="G8" s="266">
        <f>+'Cc - Costo costruzione'!$D$4*'Distribuzione Costi&amp;Ricavi'!G7</f>
        <v>0</v>
      </c>
      <c r="H8" s="274">
        <f t="shared" si="0"/>
        <v>22080</v>
      </c>
    </row>
    <row r="9" spans="1:8" x14ac:dyDescent="0.35">
      <c r="A9" s="265" t="s">
        <v>82</v>
      </c>
      <c r="B9" s="271" t="s">
        <v>12</v>
      </c>
      <c r="C9" s="266">
        <f>+'Cc - Costo costruzione'!$D$5*'Distribuzione Costi&amp;Ricavi'!C8</f>
        <v>0</v>
      </c>
      <c r="D9" s="274">
        <f>+'Cc - Costo costruzione'!$D$5*'Distribuzione Costi&amp;Ricavi'!D8</f>
        <v>0</v>
      </c>
      <c r="E9" s="266">
        <f>+'Cc - Costo costruzione'!$D$5*'Distribuzione Costi&amp;Ricavi'!E8</f>
        <v>0</v>
      </c>
      <c r="F9" s="274">
        <f>+'Cc - Costo costruzione'!$D$5*'Distribuzione Costi&amp;Ricavi'!F8</f>
        <v>0</v>
      </c>
      <c r="G9" s="266">
        <f>+'Cc - Costo costruzione'!$D$5*'Distribuzione Costi&amp;Ricavi'!G8</f>
        <v>0</v>
      </c>
      <c r="H9" s="274">
        <f t="shared" si="0"/>
        <v>0</v>
      </c>
    </row>
    <row r="10" spans="1:8" x14ac:dyDescent="0.35">
      <c r="A10" s="265" t="s">
        <v>83</v>
      </c>
      <c r="B10" s="271" t="s">
        <v>2</v>
      </c>
      <c r="C10" s="266">
        <f>+'Cc - Costo costruzione'!$D$6*'Distribuzione Costi&amp;Ricavi'!C9</f>
        <v>0</v>
      </c>
      <c r="D10" s="274">
        <f>+'Cc - Costo costruzione'!$D$6*'Distribuzione Costi&amp;Ricavi'!D9</f>
        <v>0</v>
      </c>
      <c r="E10" s="266">
        <f>+'Cc - Costo costruzione'!$D$6*'Distribuzione Costi&amp;Ricavi'!E9</f>
        <v>830661.20573779766</v>
      </c>
      <c r="F10" s="274">
        <f>+'Cc - Costo costruzione'!$D$6*'Distribuzione Costi&amp;Ricavi'!F9</f>
        <v>498396.72344267857</v>
      </c>
      <c r="G10" s="266">
        <f>+'Cc - Costo costruzione'!$D$6*'Distribuzione Costi&amp;Ricavi'!G9</f>
        <v>332264.48229511909</v>
      </c>
      <c r="H10" s="274">
        <f t="shared" si="0"/>
        <v>1661322.4114755956</v>
      </c>
    </row>
    <row r="11" spans="1:8" x14ac:dyDescent="0.35">
      <c r="A11" s="265" t="s">
        <v>84</v>
      </c>
      <c r="B11" s="271" t="s">
        <v>3</v>
      </c>
      <c r="C11" s="266">
        <f>+'Cc - Costo costruzione'!$D$7*'Distribuzione Costi&amp;Ricavi'!C10</f>
        <v>0</v>
      </c>
      <c r="D11" s="274">
        <f>+'Cc - Costo costruzione'!$D$7*'Distribuzione Costi&amp;Ricavi'!D10</f>
        <v>0</v>
      </c>
      <c r="E11" s="266">
        <f>+'Cc - Costo costruzione'!$D$7*'Distribuzione Costi&amp;Ricavi'!E10</f>
        <v>415330.60286889883</v>
      </c>
      <c r="F11" s="274">
        <f>+'Cc - Costo costruzione'!$D$7*'Distribuzione Costi&amp;Ricavi'!F10</f>
        <v>0</v>
      </c>
      <c r="G11" s="266">
        <f>+'Cc - Costo costruzione'!$D$7*'Distribuzione Costi&amp;Ricavi'!G10</f>
        <v>0</v>
      </c>
      <c r="H11" s="274">
        <f t="shared" si="0"/>
        <v>415330.60286889883</v>
      </c>
    </row>
    <row r="12" spans="1:8" x14ac:dyDescent="0.35">
      <c r="A12" s="19" t="s">
        <v>85</v>
      </c>
      <c r="B12" s="150" t="s">
        <v>0</v>
      </c>
      <c r="C12" s="72">
        <f>+C8*'St - Spese tecniche'!$C4+C9*'St - Spese tecniche'!$C5+'Flusso di cassa'!C10*'St - Spese tecniche'!$C6+'Flusso di cassa'!C11*'St - Spese tecniche'!$C7</f>
        <v>0</v>
      </c>
      <c r="D12" s="273">
        <f>+D8*'St - Spese tecniche'!$C4+D9*'St - Spese tecniche'!$C5+'Flusso di cassa'!D10*'St - Spese tecniche'!$C6+'Flusso di cassa'!D11*'St - Spese tecniche'!$C7</f>
        <v>0</v>
      </c>
      <c r="E12" s="72">
        <f>+E8*'St - Spese tecniche'!$C4+E9*'St - Spese tecniche'!$C5+'Flusso di cassa'!E10*'St - Spese tecniche'!$C6+'Flusso di cassa'!E11*'St - Spese tecniche'!$C7</f>
        <v>87219.426602468768</v>
      </c>
      <c r="F12" s="273">
        <f>+F8*'St - Spese tecniche'!$C4+F9*'St - Spese tecniche'!$C5+'Flusso di cassa'!F10*'St - Spese tecniche'!$C6+'Flusso di cassa'!F11*'St - Spese tecniche'!$C7</f>
        <v>34887.770640987503</v>
      </c>
      <c r="G12" s="72">
        <f>+G8*'St - Spese tecniche'!$C4+G9*'St - Spese tecniche'!$C5+'Flusso di cassa'!G10*'St - Spese tecniche'!$C6+'Flusso di cassa'!G11*'St - Spese tecniche'!$C7</f>
        <v>23258.513760658338</v>
      </c>
      <c r="H12" s="273">
        <f t="shared" si="0"/>
        <v>145365.71100411459</v>
      </c>
    </row>
    <row r="13" spans="1:8" x14ac:dyDescent="0.35">
      <c r="A13" s="19" t="s">
        <v>86</v>
      </c>
      <c r="B13" s="150" t="s">
        <v>5</v>
      </c>
      <c r="C13" s="72">
        <f>+'Sg - Spese generali'!$B$7*('Flusso di cassa'!C7+'Flusso di cassa'!C12)</f>
        <v>0</v>
      </c>
      <c r="D13" s="273">
        <f>+'Sg - Spese generali'!$B$7*('Flusso di cassa'!D7+'Flusso di cassa'!D12)</f>
        <v>662.4</v>
      </c>
      <c r="E13" s="72">
        <f>+'Sg - Spese generali'!$B$7*('Flusso di cassa'!E7+'Flusso di cassa'!E12)</f>
        <v>39996.337056274962</v>
      </c>
      <c r="F13" s="273">
        <f>+'Sg - Spese generali'!$B$7*('Flusso di cassa'!F7+'Flusso di cassa'!F12)</f>
        <v>15998.534822509982</v>
      </c>
      <c r="G13" s="72">
        <f>+'Sg - Spese generali'!$B$7*('Flusso di cassa'!G7+'Flusso di cassa'!G12)</f>
        <v>10665.689881673323</v>
      </c>
      <c r="H13" s="273">
        <f t="shared" si="0"/>
        <v>67322.961760458275</v>
      </c>
    </row>
    <row r="14" spans="1:8" x14ac:dyDescent="0.35">
      <c r="A14" s="19" t="s">
        <v>87</v>
      </c>
      <c r="B14" s="150" t="s">
        <v>4</v>
      </c>
      <c r="C14" s="72">
        <f>+C17*'Sc - Spese commercializzazione'!$C$5</f>
        <v>0</v>
      </c>
      <c r="D14" s="273">
        <f>+D17*'Sc - Spese commercializzazione'!$C$5</f>
        <v>0</v>
      </c>
      <c r="E14" s="72">
        <f>+E17*'Sc - Spese commercializzazione'!$C$5</f>
        <v>29919.257440402464</v>
      </c>
      <c r="F14" s="273">
        <f>+F17*'Sc - Spese commercializzazione'!$C$5</f>
        <v>29919.257440402464</v>
      </c>
      <c r="G14" s="72">
        <f>+G17*'Sc - Spese commercializzazione'!$C$5</f>
        <v>39892.343253869964</v>
      </c>
      <c r="H14" s="273">
        <f t="shared" si="0"/>
        <v>99730.858134674898</v>
      </c>
    </row>
    <row r="15" spans="1:8" x14ac:dyDescent="0.35">
      <c r="A15" s="20" t="s">
        <v>88</v>
      </c>
      <c r="B15" s="253" t="s">
        <v>8</v>
      </c>
      <c r="C15" s="269">
        <f t="shared" ref="C15:G15" si="2">+C13+C14+C7+C6+C12+C5</f>
        <v>304271.36736111116</v>
      </c>
      <c r="D15" s="48">
        <f t="shared" si="2"/>
        <v>74769.353333333333</v>
      </c>
      <c r="E15" s="269">
        <f t="shared" si="2"/>
        <v>1455153.7830391761</v>
      </c>
      <c r="F15" s="48">
        <f t="shared" si="2"/>
        <v>579202.28634657862</v>
      </c>
      <c r="G15" s="269">
        <f t="shared" si="2"/>
        <v>406081.0291913207</v>
      </c>
      <c r="H15" s="48">
        <f t="shared" si="0"/>
        <v>2819477.8192715198</v>
      </c>
    </row>
    <row r="16" spans="1:8" x14ac:dyDescent="0.35">
      <c r="A16" s="277" t="s">
        <v>7</v>
      </c>
      <c r="B16" s="278"/>
      <c r="C16" s="53"/>
      <c r="D16" s="54"/>
      <c r="E16" s="53"/>
      <c r="F16" s="54"/>
      <c r="G16" s="53"/>
      <c r="H16" s="54"/>
    </row>
    <row r="17" spans="1:8" x14ac:dyDescent="0.35">
      <c r="A17" s="279" t="s">
        <v>13</v>
      </c>
      <c r="B17" s="253" t="s">
        <v>9</v>
      </c>
      <c r="C17" s="280">
        <f>+'RT - Ricavi totali'!$D$3*'Distribuzione Costi&amp;Ricavi'!C12</f>
        <v>0</v>
      </c>
      <c r="D17" s="281">
        <f>+'RT - Ricavi totali'!$D$3*'Distribuzione Costi&amp;Ricavi'!D12</f>
        <v>0</v>
      </c>
      <c r="E17" s="280">
        <f>+'RT - Ricavi totali'!$D$3*'Distribuzione Costi&amp;Ricavi'!E12</f>
        <v>997308.58134674886</v>
      </c>
      <c r="F17" s="281">
        <f>+'RT - Ricavi totali'!$D$3*'Distribuzione Costi&amp;Ricavi'!F12</f>
        <v>997308.58134674886</v>
      </c>
      <c r="G17" s="280">
        <f>+'RT - Ricavi totali'!$D$3*'Distribuzione Costi&amp;Ricavi'!G12</f>
        <v>1329744.7751289988</v>
      </c>
      <c r="H17" s="282">
        <f>SUM(C17:G17)</f>
        <v>3324361.9378224965</v>
      </c>
    </row>
    <row r="18" spans="1:8" x14ac:dyDescent="0.35">
      <c r="A18" s="20" t="s">
        <v>14</v>
      </c>
      <c r="B18" s="253" t="s">
        <v>305</v>
      </c>
      <c r="C18" s="269">
        <f t="shared" ref="C18:H18" si="3">+C17-C15</f>
        <v>-304271.36736111116</v>
      </c>
      <c r="D18" s="48">
        <f t="shared" si="3"/>
        <v>-74769.353333333333</v>
      </c>
      <c r="E18" s="269">
        <f t="shared" si="3"/>
        <v>-457845.20169242728</v>
      </c>
      <c r="F18" s="48">
        <f t="shared" si="3"/>
        <v>418106.29500017024</v>
      </c>
      <c r="G18" s="269">
        <f t="shared" si="3"/>
        <v>923663.74593767803</v>
      </c>
      <c r="H18" s="48">
        <f t="shared" si="3"/>
        <v>504884.11855097674</v>
      </c>
    </row>
    <row r="19" spans="1:8" x14ac:dyDescent="0.35">
      <c r="A19" s="23"/>
      <c r="B19" s="23"/>
      <c r="C19" s="72"/>
      <c r="D19" s="72"/>
      <c r="E19" s="72"/>
      <c r="F19" s="72"/>
      <c r="G19" s="72"/>
      <c r="H19" s="72"/>
    </row>
    <row r="20" spans="1:8" x14ac:dyDescent="0.35">
      <c r="A20" s="23"/>
      <c r="B20" s="23"/>
      <c r="C20" s="72"/>
      <c r="D20" s="72"/>
      <c r="E20" s="72"/>
      <c r="F20" s="72"/>
      <c r="G20" s="72"/>
      <c r="H20" s="72"/>
    </row>
    <row r="21" spans="1:8" x14ac:dyDescent="0.35">
      <c r="A21" s="403"/>
      <c r="B21" s="404"/>
      <c r="C21" s="366" t="s">
        <v>307</v>
      </c>
      <c r="D21" s="367"/>
      <c r="E21" s="367"/>
      <c r="F21" s="367"/>
      <c r="G21" s="367"/>
      <c r="H21" s="407" t="s">
        <v>6</v>
      </c>
    </row>
    <row r="22" spans="1:8" x14ac:dyDescent="0.35">
      <c r="A22" s="405"/>
      <c r="B22" s="406"/>
      <c r="C22" s="259">
        <v>0</v>
      </c>
      <c r="D22" s="259">
        <v>1</v>
      </c>
      <c r="E22" s="259">
        <v>2</v>
      </c>
      <c r="F22" s="261">
        <v>3</v>
      </c>
      <c r="G22" s="259">
        <v>4</v>
      </c>
      <c r="H22" s="408"/>
    </row>
    <row r="23" spans="1:8" x14ac:dyDescent="0.35">
      <c r="A23" s="64" t="str">
        <f>+A18</f>
        <v>FE</v>
      </c>
      <c r="B23" s="72" t="str">
        <f t="shared" ref="B23:H23" si="4">+B18</f>
        <v>FLUSSO CASSA ECONOMICO</v>
      </c>
      <c r="C23" s="273">
        <f t="shared" si="4"/>
        <v>-304271.36736111116</v>
      </c>
      <c r="D23" s="273">
        <f t="shared" si="4"/>
        <v>-74769.353333333333</v>
      </c>
      <c r="E23" s="273">
        <f t="shared" si="4"/>
        <v>-457845.20169242728</v>
      </c>
      <c r="F23" s="72">
        <f t="shared" si="4"/>
        <v>418106.29500017024</v>
      </c>
      <c r="G23" s="273">
        <f t="shared" si="4"/>
        <v>923663.74593767803</v>
      </c>
      <c r="H23" s="71">
        <f t="shared" si="4"/>
        <v>504884.11855097674</v>
      </c>
    </row>
    <row r="24" spans="1:8" x14ac:dyDescent="0.35">
      <c r="A24" s="19" t="s">
        <v>89</v>
      </c>
      <c r="B24" s="23" t="s">
        <v>90</v>
      </c>
      <c r="C24" s="61">
        <f>+'I - Interessi'!B12</f>
        <v>-6389.6987145833345</v>
      </c>
      <c r="D24" s="61">
        <f>+'I - Interessi'!C12</f>
        <v>-8094.0388075895853</v>
      </c>
      <c r="E24" s="61">
        <f>+'I - Interessi'!D12</f>
        <v>-17878.762858089936</v>
      </c>
      <c r="F24" s="60">
        <f>+'I - Interessi'!E12</f>
        <v>-9473.9846831062496</v>
      </c>
      <c r="G24" s="61">
        <f>+'I - Interessi'!F12</f>
        <v>2362.6080908535687</v>
      </c>
      <c r="H24" s="267">
        <f>SUM(C24:G24)</f>
        <v>-39473.876972515543</v>
      </c>
    </row>
    <row r="25" spans="1:8" x14ac:dyDescent="0.35">
      <c r="A25" s="19" t="s">
        <v>16</v>
      </c>
      <c r="B25" s="23" t="s">
        <v>310</v>
      </c>
      <c r="C25" s="273">
        <f>+C24+C18</f>
        <v>-310661.06607569451</v>
      </c>
      <c r="D25" s="273">
        <f>+D24+D18</f>
        <v>-82863.392140922922</v>
      </c>
      <c r="E25" s="273">
        <f>+E24+E18</f>
        <v>-475723.96455051721</v>
      </c>
      <c r="F25" s="72">
        <f>+F24+F18</f>
        <v>408632.310317064</v>
      </c>
      <c r="G25" s="273">
        <f>+G24+G18</f>
        <v>926026.35402853158</v>
      </c>
      <c r="H25" s="267">
        <f>SUM(C25:G25)</f>
        <v>465410.24157846096</v>
      </c>
    </row>
    <row r="26" spans="1:8" x14ac:dyDescent="0.35">
      <c r="A26" s="19" t="s">
        <v>17</v>
      </c>
      <c r="B26" s="23" t="s">
        <v>10</v>
      </c>
      <c r="C26" s="61">
        <f>-'T - Tasse'!B8</f>
        <v>0</v>
      </c>
      <c r="D26" s="61">
        <f>-'T - Tasse'!C8</f>
        <v>0</v>
      </c>
      <c r="E26" s="61">
        <f>-'T - Tasse'!D8</f>
        <v>0</v>
      </c>
      <c r="F26" s="60">
        <f>-'T - Tasse'!E8</f>
        <v>0</v>
      </c>
      <c r="G26" s="61">
        <f>-'T - Tasse'!F8</f>
        <v>-129849.4574003906</v>
      </c>
      <c r="H26" s="267">
        <f>SUM(C26:G26)</f>
        <v>-129849.4574003906</v>
      </c>
    </row>
    <row r="27" spans="1:8" x14ac:dyDescent="0.35">
      <c r="A27" s="20" t="s">
        <v>91</v>
      </c>
      <c r="B27" s="268" t="s">
        <v>309</v>
      </c>
      <c r="C27" s="48">
        <f t="shared" ref="C27:H27" si="5">+C25+C26</f>
        <v>-310661.06607569451</v>
      </c>
      <c r="D27" s="48">
        <f t="shared" si="5"/>
        <v>-82863.392140922922</v>
      </c>
      <c r="E27" s="48">
        <f t="shared" si="5"/>
        <v>-475723.96455051721</v>
      </c>
      <c r="F27" s="269">
        <f t="shared" si="5"/>
        <v>408632.310317064</v>
      </c>
      <c r="G27" s="48">
        <f t="shared" si="5"/>
        <v>796176.89662814094</v>
      </c>
      <c r="H27" s="270">
        <f t="shared" si="5"/>
        <v>335560.78417807037</v>
      </c>
    </row>
    <row r="29" spans="1:8" x14ac:dyDescent="0.35">
      <c r="C29">
        <f>+C3</f>
        <v>0</v>
      </c>
      <c r="D29">
        <f>+D3</f>
        <v>1</v>
      </c>
      <c r="E29">
        <f>+E3</f>
        <v>2</v>
      </c>
      <c r="F29">
        <f>+F3</f>
        <v>3</v>
      </c>
      <c r="G29">
        <f>+G3</f>
        <v>4</v>
      </c>
    </row>
    <row r="30" spans="1:8" x14ac:dyDescent="0.35">
      <c r="B30" t="str">
        <f t="shared" ref="B30:G30" si="6">+B18</f>
        <v>FLUSSO CASSA ECONOMICO</v>
      </c>
      <c r="C30" s="15">
        <f t="shared" si="6"/>
        <v>-304271.36736111116</v>
      </c>
      <c r="D30" s="15">
        <f t="shared" si="6"/>
        <v>-74769.353333333333</v>
      </c>
      <c r="E30" s="15">
        <f t="shared" si="6"/>
        <v>-457845.20169242728</v>
      </c>
      <c r="F30" s="15">
        <f t="shared" si="6"/>
        <v>418106.29500017024</v>
      </c>
      <c r="G30" s="15">
        <f t="shared" si="6"/>
        <v>923663.74593767803</v>
      </c>
    </row>
    <row r="31" spans="1:8" x14ac:dyDescent="0.35">
      <c r="B31" t="str">
        <f>+B27</f>
        <v>FLUSSO CASSA NETTO</v>
      </c>
      <c r="C31" s="15">
        <f t="shared" ref="C31:G31" si="7">+C27</f>
        <v>-310661.06607569451</v>
      </c>
      <c r="D31" s="15">
        <f t="shared" si="7"/>
        <v>-82863.392140922922</v>
      </c>
      <c r="E31" s="15">
        <f t="shared" si="7"/>
        <v>-475723.96455051721</v>
      </c>
      <c r="F31" s="15">
        <f t="shared" si="7"/>
        <v>408632.310317064</v>
      </c>
      <c r="G31" s="15">
        <f t="shared" si="7"/>
        <v>796176.89662814094</v>
      </c>
      <c r="H31" s="16"/>
    </row>
    <row r="32" spans="1:8" x14ac:dyDescent="0.35">
      <c r="B32" t="s">
        <v>335</v>
      </c>
      <c r="C32" s="16">
        <f>+C31</f>
        <v>-310661.06607569451</v>
      </c>
      <c r="D32" s="16">
        <f>+C32+D31</f>
        <v>-393524.45821661747</v>
      </c>
      <c r="E32" s="16">
        <f t="shared" ref="E32:G32" si="8">+D32+E31</f>
        <v>-869248.42276713462</v>
      </c>
      <c r="F32" s="16">
        <f t="shared" si="8"/>
        <v>-460616.11245007062</v>
      </c>
      <c r="G32" s="16">
        <f t="shared" si="8"/>
        <v>335560.78417807032</v>
      </c>
    </row>
  </sheetData>
  <mergeCells count="6">
    <mergeCell ref="A21:B22"/>
    <mergeCell ref="C21:G21"/>
    <mergeCell ref="H21:H22"/>
    <mergeCell ref="C2:G2"/>
    <mergeCell ref="H2:H3"/>
    <mergeCell ref="A2:B3"/>
  </mergeCells>
  <pageMargins left="0.7" right="0.7" top="0.75" bottom="0.75" header="0.3" footer="0.3"/>
  <pageSetup paperSize="9" orientation="portrait" horizontalDpi="0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"/>
  <sheetViews>
    <sheetView workbookViewId="0">
      <selection activeCell="E30" sqref="E30"/>
    </sheetView>
  </sheetViews>
  <sheetFormatPr defaultRowHeight="14.5" x14ac:dyDescent="0.35"/>
  <sheetData/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7"/>
  <sheetViews>
    <sheetView workbookViewId="0">
      <selection activeCell="I19" sqref="I19"/>
    </sheetView>
  </sheetViews>
  <sheetFormatPr defaultRowHeight="14.5" x14ac:dyDescent="0.35"/>
  <cols>
    <col min="1" max="1" width="32.1796875" customWidth="1"/>
    <col min="2" max="2" width="17.6328125" customWidth="1"/>
    <col min="3" max="3" width="17.26953125" customWidth="1"/>
  </cols>
  <sheetData>
    <row r="1" spans="1:8" ht="18.5" x14ac:dyDescent="0.45">
      <c r="A1" s="17" t="s">
        <v>96</v>
      </c>
    </row>
    <row r="2" spans="1:8" x14ac:dyDescent="0.35">
      <c r="A2" s="12" t="s">
        <v>320</v>
      </c>
    </row>
    <row r="4" spans="1:8" x14ac:dyDescent="0.35">
      <c r="A4" t="s">
        <v>205</v>
      </c>
    </row>
    <row r="5" spans="1:8" ht="29" x14ac:dyDescent="0.35">
      <c r="A5" s="328"/>
      <c r="B5" s="27" t="s">
        <v>329</v>
      </c>
      <c r="C5" s="154" t="s">
        <v>330</v>
      </c>
    </row>
    <row r="6" spans="1:8" x14ac:dyDescent="0.35">
      <c r="A6" s="349" t="s">
        <v>69</v>
      </c>
      <c r="B6" s="352">
        <f>IRR('Flusso di cassa'!C18:G18)</f>
        <v>0.20191298863410267</v>
      </c>
      <c r="C6" s="350">
        <f>IRR('Flusso di cassa'!C27:G27)</f>
        <v>0.13869778272600675</v>
      </c>
      <c r="G6" s="411"/>
      <c r="H6" s="412"/>
    </row>
    <row r="7" spans="1:8" x14ac:dyDescent="0.35">
      <c r="A7" s="351" t="s">
        <v>328</v>
      </c>
      <c r="B7" s="353">
        <f>NPV('Fiscalità e Finanza'!B39,'Flusso di cassa'!C18:G18)</f>
        <v>310421.85674685665</v>
      </c>
      <c r="C7" s="354">
        <f>NPV('Fiscalità e Finanza'!B25,'Flusso di cassa'!C27:G27)</f>
        <v>145892.7744251363</v>
      </c>
    </row>
    <row r="10" spans="1:8" x14ac:dyDescent="0.35">
      <c r="A10" t="s">
        <v>306</v>
      </c>
    </row>
    <row r="11" spans="1:8" x14ac:dyDescent="0.35">
      <c r="A11" t="s">
        <v>11</v>
      </c>
      <c r="B11" s="15">
        <f>+'Flusso di cassa'!H5</f>
        <v>304271.36736111116</v>
      </c>
    </row>
    <row r="12" spans="1:8" x14ac:dyDescent="0.35">
      <c r="A12" t="s">
        <v>18</v>
      </c>
      <c r="B12" s="15">
        <f>+'Flusso di cassa'!H6</f>
        <v>104053.90666666668</v>
      </c>
    </row>
    <row r="13" spans="1:8" x14ac:dyDescent="0.35">
      <c r="A13" t="s">
        <v>1</v>
      </c>
      <c r="B13" s="15">
        <f>+'Flusso di cassa'!H7</f>
        <v>2098733.0143444943</v>
      </c>
    </row>
    <row r="14" spans="1:8" x14ac:dyDescent="0.35">
      <c r="A14" s="298" t="s">
        <v>19</v>
      </c>
      <c r="B14" s="299">
        <f>+'Flusso di cassa'!H8</f>
        <v>22080</v>
      </c>
    </row>
    <row r="15" spans="1:8" x14ac:dyDescent="0.35">
      <c r="A15" s="298" t="s">
        <v>12</v>
      </c>
      <c r="B15" s="299">
        <f>+'Flusso di cassa'!H9</f>
        <v>0</v>
      </c>
    </row>
    <row r="16" spans="1:8" x14ac:dyDescent="0.35">
      <c r="A16" s="298" t="s">
        <v>2</v>
      </c>
      <c r="B16" s="299">
        <f>+'Flusso di cassa'!H10</f>
        <v>1661322.4114755956</v>
      </c>
    </row>
    <row r="17" spans="1:2" x14ac:dyDescent="0.35">
      <c r="A17" s="298" t="s">
        <v>3</v>
      </c>
      <c r="B17" s="299">
        <f>+'Flusso di cassa'!H11</f>
        <v>415330.60286889883</v>
      </c>
    </row>
    <row r="18" spans="1:2" x14ac:dyDescent="0.35">
      <c r="A18" t="s">
        <v>0</v>
      </c>
      <c r="B18" s="15">
        <f>+'Flusso di cassa'!H12</f>
        <v>145365.71100411459</v>
      </c>
    </row>
    <row r="19" spans="1:2" x14ac:dyDescent="0.35">
      <c r="A19" t="s">
        <v>5</v>
      </c>
      <c r="B19" s="15">
        <f>+'Flusso di cassa'!H13</f>
        <v>67322.961760458275</v>
      </c>
    </row>
    <row r="20" spans="1:2" x14ac:dyDescent="0.35">
      <c r="A20" t="s">
        <v>4</v>
      </c>
      <c r="B20" s="15">
        <f>+'Flusso di cassa'!H14</f>
        <v>99730.858134674898</v>
      </c>
    </row>
    <row r="21" spans="1:2" x14ac:dyDescent="0.35">
      <c r="A21" t="s">
        <v>90</v>
      </c>
      <c r="B21" s="15">
        <f>-'Flusso di cassa'!H24</f>
        <v>39473.876972515543</v>
      </c>
    </row>
    <row r="22" spans="1:2" x14ac:dyDescent="0.35">
      <c r="A22" t="s">
        <v>10</v>
      </c>
      <c r="B22" s="15">
        <f>-'Flusso di cassa'!H26</f>
        <v>129849.4574003906</v>
      </c>
    </row>
    <row r="23" spans="1:2" x14ac:dyDescent="0.35">
      <c r="A23" t="s">
        <v>8</v>
      </c>
      <c r="B23" s="15">
        <f>+B11+B12+B13+B18+B19+B20+B21+B22</f>
        <v>2988801.1536444258</v>
      </c>
    </row>
    <row r="25" spans="1:2" x14ac:dyDescent="0.35">
      <c r="A25" t="s">
        <v>7</v>
      </c>
      <c r="B25" s="15">
        <f>+'Flusso di cassa'!H17</f>
        <v>3324361.9378224965</v>
      </c>
    </row>
    <row r="27" spans="1:2" x14ac:dyDescent="0.35">
      <c r="A27" t="s">
        <v>331</v>
      </c>
      <c r="B27" s="16">
        <f>+B25-B23</f>
        <v>335560.78417807072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16</vt:i4>
      </vt:variant>
    </vt:vector>
  </HeadingPairs>
  <TitlesOfParts>
    <vt:vector size="16" baseType="lpstr">
      <vt:lpstr>Descrizione</vt:lpstr>
      <vt:lpstr>Fiscalità e Finanza</vt:lpstr>
      <vt:lpstr>Ca - Costo area</vt:lpstr>
      <vt:lpstr>Cc - Costo costruzione</vt:lpstr>
      <vt:lpstr>On - Oneri concessori</vt:lpstr>
      <vt:lpstr>St - Spese tecniche</vt:lpstr>
      <vt:lpstr>Sg - Spese generali</vt:lpstr>
      <vt:lpstr>RT - Ricavi totali</vt:lpstr>
      <vt:lpstr>Ricavi da Locazione</vt:lpstr>
      <vt:lpstr>Sc - Spese commercializzazione</vt:lpstr>
      <vt:lpstr>I - Interessi</vt:lpstr>
      <vt:lpstr>T - Tasse</vt:lpstr>
      <vt:lpstr>Distribuzione Costi&amp;Ricavi</vt:lpstr>
      <vt:lpstr>Flusso di cassa</vt:lpstr>
      <vt:lpstr>Grafici</vt:lpstr>
      <vt:lpstr>Risultati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Revisore</dc:creator>
  <cp:lastModifiedBy>ROSATO PAOLO</cp:lastModifiedBy>
  <dcterms:created xsi:type="dcterms:W3CDTF">2020-06-13T15:54:05Z</dcterms:created>
  <dcterms:modified xsi:type="dcterms:W3CDTF">2026-10-26T11:15:45Z</dcterms:modified>
</cp:coreProperties>
</file>